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Override PartName="/xl/embeddings/oleObject3.bin" ContentType="application/vnd.openxmlformats-officedocument.oleObject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EstaPasta_de_trabalho"/>
  <bookViews>
    <workbookView xWindow="0" yWindow="0" windowWidth="19155" windowHeight="11205" activeTab="2"/>
  </bookViews>
  <sheets>
    <sheet name="DADOS" sheetId="16" r:id="rId1"/>
    <sheet name="INSUMOS" sheetId="25" r:id="rId2"/>
    <sheet name="PO" sheetId="12" r:id="rId3"/>
    <sheet name="CFF" sheetId="11" r:id="rId4"/>
    <sheet name="Planilha1" sheetId="27" r:id="rId5"/>
    <sheet name="ABC" sheetId="26" state="veryHidden" r:id="rId6"/>
    <sheet name="Plan1" sheetId="28" r:id="rId7"/>
  </sheets>
  <definedNames>
    <definedName name="_xlnm._FilterDatabase" localSheetId="5" hidden="1">ABC!$A$10:$U$481</definedName>
    <definedName name="_xlnm._FilterDatabase" localSheetId="3" hidden="1">CFF!#REF!</definedName>
    <definedName name="_xlnm._FilterDatabase" localSheetId="0" hidden="1">DADOS!#REF!</definedName>
    <definedName name="_xlnm._FilterDatabase" localSheetId="1" hidden="1">INSUMOS!$A$4:$G$5</definedName>
    <definedName name="_xlnm._FilterDatabase" localSheetId="2" hidden="1">PO!$C$9:$U$12</definedName>
    <definedName name="ABC.ABC">OFFSET(ABC!$A$10:$U$10,1,0,ABC!$A$7)</definedName>
    <definedName name="ABC.Filtro">OFFSET(ABC!$A$10:$U$10,0,0,ABC!$A$7+1)</definedName>
    <definedName name="ABC.LinhaPadrão">ABC!$A$9:$U$9</definedName>
    <definedName name="ABC.LinhasExistentes">ABC!$A$7</definedName>
    <definedName name="ABC.LinhasNecessárias">ABC!$A$8</definedName>
    <definedName name="ABC.Ordem">ABC!$A$3</definedName>
    <definedName name="ABC.Serviços">ABC!$A$6</definedName>
    <definedName name="_xlnm.Print_Area" localSheetId="5">ABC!$B$1:$U$491</definedName>
    <definedName name="_xlnm.Print_Area" localSheetId="3">CFF!$L$1:$X$441</definedName>
    <definedName name="_xlnm.Print_Area" localSheetId="0">DADOS!$A$1:$X$64</definedName>
    <definedName name="_xlnm.Print_Area" localSheetId="2">PO!$K$1:$U$1515</definedName>
    <definedName name="Banco">INSUMOS!$A$4:OFFSET(INSUMOS!$G$171,-1,0)</definedName>
    <definedName name="Banco.LP">INSUMOS!$A$5:$G$5</definedName>
    <definedName name="Banco.Opção">INSUMOS!$A$2</definedName>
    <definedName name="Banco.RH">OFFSET(Banco,MATCH("Rec. Humanos",OFFSET(Banco,1,1,,1),0),1,MATCH("Rec. Materiais",OFFSET(Banco,1,1,,1),0)-MATCH("Rec. Humanos",OFFSET(Banco,1,1,,1),0),1)</definedName>
    <definedName name="Banco.RM">OFFSET(Banco,MATCH("Rec. Materiais",OFFSET(Banco,1,1,,1),0),1,MATCH("Serv. Terc.",OFFSET(Banco,1,1,,1),0)-MATCH("Rec. Materiais",OFFSET(Banco,1,1,,1),0),1)</definedName>
    <definedName name="Banco.ST">OFFSET(Banco,MATCH("Serv. Terc.",OFFSET(Banco,1,1,,1),0),1,1+MATCH("zzzzzzzz",OFFSET(Banco,1,1,,1),1)-MATCH("Serv. Terc.",OFFSET(Banco,1,1,,1),0),1)</definedName>
    <definedName name="Banco.UL">INSUMOS!$A$3</definedName>
    <definedName name="CFF.Colunas">CFF!$P$10:$X$10</definedName>
    <definedName name="CFF.Dados">OFFSET(CFF!$L$17,1,0):OFFSET(CFF!$X$435,-1,-1)</definedName>
    <definedName name="CFF.IncluirLinha">MAX(PO!$W$11:$W$1504)*CFF.NumLinha-ROW(CFF!$F$435)+ROW(CFF!$F$17)+1</definedName>
    <definedName name="CFF.Item">OFFSET(CFF!$L$17,1,0):OFFSET(CFF!$X$435,-1,-1)</definedName>
    <definedName name="CFF.LinhaPadrão">CFF!$A$11:$W$11</definedName>
    <definedName name="CFF.NumLinha">ROW(CFF!$D$14)-ROW(CFF!$D$10)-1</definedName>
    <definedName name="Dados.Assinatura1">DADOS!$B$33:$E$35</definedName>
    <definedName name="Dados.Assinatura2">DADOS!$H$33:$K$35</definedName>
    <definedName name="Dados.Lista.BDI">DADOS!$T$29:$X$29</definedName>
    <definedName name="Import.Ação">DADOS!$C$24</definedName>
    <definedName name="Import.Código">OFFSET(PO!$N$11,1,0):OFFSET(PO!$N$1504,-1,0)</definedName>
    <definedName name="Import.CR">DADOS!$A$24</definedName>
    <definedName name="Import.CustoUnitário">OFFSET(PO!$R$11,1,0):OFFSET(PO!$R$1504,-1,0)</definedName>
    <definedName name="Import.DataBase">DADOS!$A$30</definedName>
    <definedName name="Import.DataBaseLicit">DADOS!$A$30</definedName>
    <definedName name="Import.DataInícioObra">DADOS!$C$30</definedName>
    <definedName name="Import.Descrição">OFFSET(PO!$O$11,1,0):OFFSET(PO!$O$1504,-1,0)</definedName>
    <definedName name="Import.Empresa">DADOS!$E$30</definedName>
    <definedName name="Import.Fonte">OFFSET(PO!$L$11,1,0):OFFSET(PO!$L$1504,-1,0)</definedName>
    <definedName name="Import.Item">OFFSET(PO!$K$11,1,0):OFFSET(PO!$K$1504,-1,0)</definedName>
    <definedName name="Import.Município">DADOS!$U$24</definedName>
    <definedName name="Import.Nível">OFFSET(PO!$J$11,1,0):OFFSET(PO!$J$1504,-1,0)</definedName>
    <definedName name="Import.ObjetoCR">DADOS!$A$27</definedName>
    <definedName name="Import.ObjetoCTEF">DADOS!$J$27</definedName>
    <definedName name="Import.PO">OFFSET(PO!$K$11,1,0):OFFSET(PO!$AA$1504,-1,0)</definedName>
    <definedName name="Import.PreçoTotal">OFFSET(PO!$U$11,1,0):OFFSET(PO!$U$1504,-1,0)</definedName>
    <definedName name="Import.PreçoUnitário">OFFSET(PO!$T$11,1,0):OFFSET(PO!$T$1504,-1,0)</definedName>
    <definedName name="Import.Programa">DADOS!$C$24</definedName>
    <definedName name="Import.Proponente">DADOS!$J$24</definedName>
    <definedName name="Import.Quantidade">OFFSET(PO!$Q$11,1,0):OFFSET(PO!$Q$1504,-1,0)</definedName>
    <definedName name="Import.Tipo">OFFSET(PO!$M$11,1,0):OFFSET(PO!$M$1504,-1,0)</definedName>
    <definedName name="Import.Unidade">OFFSET(PO!$P$11,1,0):OFFSET(PO!$P$1504,-1,0)</definedName>
    <definedName name="Import.ValorBDI">OFFSET(PO!$AA$11,1,0):OFFSET(PO!$AA$1504,-1,0)</definedName>
    <definedName name="NMaxCrono">CFF!$A$9</definedName>
    <definedName name="PARETO">ABC!$R$7</definedName>
    <definedName name="PO.BDI">OFFSET(PO!$S$11,1,0):OFFSET(PO!$S$1504,-1,0)</definedName>
    <definedName name="PO.CustoRef">OFFSET(PO!$Z$11,1,0):OFFSET(PO!$Z$1504,-1,0)</definedName>
    <definedName name="PO.Dados">PO!$C$11:OFFSET(PO!$AA$1504,-1,0)</definedName>
    <definedName name="PO.LinhaPadrão">PO!$C$10:$AA$10</definedName>
    <definedName name="SaldoPerc">1-IF(ISNUMBER(CFF!XFD2),CFF!XFD2,0)</definedName>
    <definedName name="SENHAGT" hidden="1">"5381GEPAD10"</definedName>
    <definedName name="SomaAgrup">SUMIF(OFFSET(PO!$A1,1,0,PO!$B1),"S",OFFSET(PO!A1,1,0,PO!$B1))</definedName>
    <definedName name="TipoOrçamento">"BASE"</definedName>
    <definedName name="_xlnm.Print_Titles" localSheetId="3">CFF!$L:$O,CFF!$10:$10</definedName>
    <definedName name="_xlnm.Print_Titles" localSheetId="2">PO!$9:$9</definedName>
    <definedName name="VTOTAL1">ROUND(ROUND(PO!$Q1,2)*ROUND(PO!$T1,2),2)</definedName>
  </definedNames>
  <calcPr calcId="125725"/>
</workbook>
</file>

<file path=xl/calcChain.xml><?xml version="1.0" encoding="utf-8"?>
<calcChain xmlns="http://schemas.openxmlformats.org/spreadsheetml/2006/main">
  <c r="AA1490" i="12"/>
  <c r="X1490"/>
  <c r="Y1490" s="1"/>
  <c r="T1490"/>
  <c r="A1490"/>
  <c r="AA1472"/>
  <c r="X1472"/>
  <c r="Y1472" s="1"/>
  <c r="T1472"/>
  <c r="A1472"/>
  <c r="AA1447"/>
  <c r="X1447"/>
  <c r="Y1447" s="1"/>
  <c r="T1447"/>
  <c r="A1447"/>
  <c r="AA1442"/>
  <c r="X1442"/>
  <c r="Y1442" s="1"/>
  <c r="T1442"/>
  <c r="A1442"/>
  <c r="AA1436"/>
  <c r="X1436"/>
  <c r="Y1436" s="1"/>
  <c r="T1436"/>
  <c r="A1436"/>
  <c r="AA1431"/>
  <c r="X1431"/>
  <c r="Y1431" s="1"/>
  <c r="T1431"/>
  <c r="A1431"/>
  <c r="AA1425"/>
  <c r="X1425"/>
  <c r="Y1425" s="1"/>
  <c r="T1425"/>
  <c r="A1425"/>
  <c r="AA1414"/>
  <c r="X1414"/>
  <c r="Y1414" s="1"/>
  <c r="T1414"/>
  <c r="A1414"/>
  <c r="AA1418"/>
  <c r="X1418"/>
  <c r="Y1418" s="1"/>
  <c r="T1418"/>
  <c r="A1418"/>
  <c r="AA299"/>
  <c r="X299"/>
  <c r="A299"/>
  <c r="W299" s="1"/>
  <c r="AA287"/>
  <c r="X287"/>
  <c r="A287"/>
  <c r="W287" s="1"/>
  <c r="AA1128"/>
  <c r="X1128"/>
  <c r="Y1128" s="1"/>
  <c r="T1128"/>
  <c r="A1128"/>
  <c r="AA1027"/>
  <c r="X1027"/>
  <c r="Y1027" s="1"/>
  <c r="T1027"/>
  <c r="A1027"/>
  <c r="AA1165"/>
  <c r="X1165"/>
  <c r="Y1165" s="1"/>
  <c r="T1165"/>
  <c r="A1165"/>
  <c r="AA1145"/>
  <c r="X1145"/>
  <c r="Y1145" s="1"/>
  <c r="T1145"/>
  <c r="A1145"/>
  <c r="AA1142"/>
  <c r="X1142"/>
  <c r="Y1142" s="1"/>
  <c r="T1142"/>
  <c r="A1142"/>
  <c r="AA1129"/>
  <c r="X1129"/>
  <c r="Y1129" s="1"/>
  <c r="T1129"/>
  <c r="A1129"/>
  <c r="F1129" s="1"/>
  <c r="AA1124"/>
  <c r="X1124"/>
  <c r="Y1124" s="1"/>
  <c r="T1124"/>
  <c r="A1124"/>
  <c r="AA1185"/>
  <c r="X1185"/>
  <c r="Y1185" s="1"/>
  <c r="T1185"/>
  <c r="A1185"/>
  <c r="AA1120"/>
  <c r="X1120"/>
  <c r="Y1120" s="1"/>
  <c r="T1120"/>
  <c r="A1120"/>
  <c r="AA1394"/>
  <c r="X1394"/>
  <c r="Y1394" s="1"/>
  <c r="T1394"/>
  <c r="A1394"/>
  <c r="AA1391"/>
  <c r="X1391"/>
  <c r="Y1391" s="1"/>
  <c r="T1391"/>
  <c r="A1391"/>
  <c r="AA1372"/>
  <c r="X1372"/>
  <c r="Y1372" s="1"/>
  <c r="T1372"/>
  <c r="A1372"/>
  <c r="AA1369"/>
  <c r="X1369"/>
  <c r="Y1369" s="1"/>
  <c r="T1369"/>
  <c r="A1369"/>
  <c r="AA1345"/>
  <c r="X1345"/>
  <c r="Y1345" s="1"/>
  <c r="T1345"/>
  <c r="A1345"/>
  <c r="AA1324"/>
  <c r="X1324"/>
  <c r="Y1324" s="1"/>
  <c r="T1324"/>
  <c r="A1324"/>
  <c r="AA1304"/>
  <c r="X1304"/>
  <c r="Y1304" s="1"/>
  <c r="T1304"/>
  <c r="A1304"/>
  <c r="AA1277"/>
  <c r="X1277"/>
  <c r="Y1277" s="1"/>
  <c r="T1277"/>
  <c r="A1277"/>
  <c r="AA1257"/>
  <c r="X1257"/>
  <c r="Y1257" s="1"/>
  <c r="T1257"/>
  <c r="A1257"/>
  <c r="AA1254"/>
  <c r="X1254"/>
  <c r="Y1254" s="1"/>
  <c r="T1254"/>
  <c r="A1254"/>
  <c r="AA1234"/>
  <c r="X1234"/>
  <c r="Y1234" s="1"/>
  <c r="T1234"/>
  <c r="A1234"/>
  <c r="AA1231"/>
  <c r="X1231"/>
  <c r="Y1231" s="1"/>
  <c r="T1231"/>
  <c r="A1231"/>
  <c r="AA1207"/>
  <c r="X1207"/>
  <c r="Y1207" s="1"/>
  <c r="T1207"/>
  <c r="A1207"/>
  <c r="AA1202"/>
  <c r="X1202"/>
  <c r="Y1202" s="1"/>
  <c r="T1202"/>
  <c r="A1202"/>
  <c r="AA1198"/>
  <c r="X1198"/>
  <c r="Y1198" s="1"/>
  <c r="T1198"/>
  <c r="A1198"/>
  <c r="AA1195"/>
  <c r="X1195"/>
  <c r="Y1195" s="1"/>
  <c r="R1195" s="1"/>
  <c r="T1195"/>
  <c r="A1195"/>
  <c r="F1195" s="1"/>
  <c r="AA1095"/>
  <c r="X1095"/>
  <c r="Y1095" s="1"/>
  <c r="T1095"/>
  <c r="A1095"/>
  <c r="AA1077"/>
  <c r="X1077"/>
  <c r="Y1077" s="1"/>
  <c r="T1077"/>
  <c r="A1077"/>
  <c r="AA1074"/>
  <c r="X1074"/>
  <c r="Y1074" s="1"/>
  <c r="T1074"/>
  <c r="A1074"/>
  <c r="AA1056"/>
  <c r="X1056"/>
  <c r="Y1056" s="1"/>
  <c r="T1056"/>
  <c r="A1056"/>
  <c r="AA1053"/>
  <c r="X1053"/>
  <c r="Y1053" s="1"/>
  <c r="T1053"/>
  <c r="A1053"/>
  <c r="AA1028"/>
  <c r="X1028"/>
  <c r="Y1028" s="1"/>
  <c r="T1028"/>
  <c r="A1028"/>
  <c r="AA1021"/>
  <c r="X1021"/>
  <c r="Y1021" s="1"/>
  <c r="T1021"/>
  <c r="A1021"/>
  <c r="AA1015"/>
  <c r="X1015"/>
  <c r="Y1015" s="1"/>
  <c r="T1015"/>
  <c r="A1015"/>
  <c r="AA996"/>
  <c r="X996"/>
  <c r="Y996" s="1"/>
  <c r="T996"/>
  <c r="A996"/>
  <c r="AA993"/>
  <c r="X993"/>
  <c r="Y993" s="1"/>
  <c r="T993"/>
  <c r="A993"/>
  <c r="AA974"/>
  <c r="X974"/>
  <c r="Y974" s="1"/>
  <c r="R974" s="1"/>
  <c r="T974"/>
  <c r="A974"/>
  <c r="F974" s="1"/>
  <c r="AA971"/>
  <c r="X971"/>
  <c r="Y971" s="1"/>
  <c r="T971"/>
  <c r="A971"/>
  <c r="AA945"/>
  <c r="X945"/>
  <c r="Y945" s="1"/>
  <c r="T945"/>
  <c r="A945"/>
  <c r="AA925"/>
  <c r="X925"/>
  <c r="Y925" s="1"/>
  <c r="T925"/>
  <c r="A925"/>
  <c r="AA906"/>
  <c r="X906"/>
  <c r="Y906" s="1"/>
  <c r="T906"/>
  <c r="A906"/>
  <c r="AA882"/>
  <c r="X882"/>
  <c r="Y882" s="1"/>
  <c r="T882"/>
  <c r="A882"/>
  <c r="AA858"/>
  <c r="X858"/>
  <c r="Y858" s="1"/>
  <c r="T858"/>
  <c r="A858"/>
  <c r="AA855"/>
  <c r="X855"/>
  <c r="Y855" s="1"/>
  <c r="T855"/>
  <c r="A855"/>
  <c r="AA831"/>
  <c r="X831"/>
  <c r="Y831" s="1"/>
  <c r="T831"/>
  <c r="A831"/>
  <c r="AA828"/>
  <c r="X828"/>
  <c r="Y828" s="1"/>
  <c r="T828"/>
  <c r="A828"/>
  <c r="AA800"/>
  <c r="X800"/>
  <c r="Y800" s="1"/>
  <c r="T800"/>
  <c r="A800"/>
  <c r="AA780"/>
  <c r="X780"/>
  <c r="Y780" s="1"/>
  <c r="T780"/>
  <c r="A780"/>
  <c r="AA771"/>
  <c r="X771"/>
  <c r="Y771" s="1"/>
  <c r="T771"/>
  <c r="A771"/>
  <c r="AA752"/>
  <c r="X752"/>
  <c r="Y752" s="1"/>
  <c r="T752"/>
  <c r="A752"/>
  <c r="AA743"/>
  <c r="X743"/>
  <c r="Y743" s="1"/>
  <c r="T743"/>
  <c r="A743"/>
  <c r="F743" s="1"/>
  <c r="AA720"/>
  <c r="X720"/>
  <c r="Y720" s="1"/>
  <c r="T720"/>
  <c r="A720"/>
  <c r="F720" s="1"/>
  <c r="AA717"/>
  <c r="X717"/>
  <c r="Y717" s="1"/>
  <c r="T717"/>
  <c r="A717"/>
  <c r="AA713"/>
  <c r="X713"/>
  <c r="Y713" s="1"/>
  <c r="T713"/>
  <c r="A713"/>
  <c r="AA707"/>
  <c r="X707"/>
  <c r="Y707" s="1"/>
  <c r="T707"/>
  <c r="A707"/>
  <c r="AA704"/>
  <c r="X704"/>
  <c r="Y704" s="1"/>
  <c r="T704"/>
  <c r="A704"/>
  <c r="AA700"/>
  <c r="X700"/>
  <c r="Y700" s="1"/>
  <c r="T700"/>
  <c r="A700"/>
  <c r="AA694"/>
  <c r="X694"/>
  <c r="Y694" s="1"/>
  <c r="T694"/>
  <c r="A694"/>
  <c r="AA684"/>
  <c r="X684"/>
  <c r="Y684" s="1"/>
  <c r="T684"/>
  <c r="A684"/>
  <c r="AA672"/>
  <c r="X672"/>
  <c r="Y672" s="1"/>
  <c r="T672"/>
  <c r="A672"/>
  <c r="AA666"/>
  <c r="X666"/>
  <c r="Y666" s="1"/>
  <c r="T666"/>
  <c r="A666"/>
  <c r="AA663"/>
  <c r="X663"/>
  <c r="Y663" s="1"/>
  <c r="T663"/>
  <c r="A663"/>
  <c r="AA657"/>
  <c r="X657"/>
  <c r="Y657" s="1"/>
  <c r="T657"/>
  <c r="A657"/>
  <c r="AA653"/>
  <c r="X653"/>
  <c r="Y653" s="1"/>
  <c r="T653"/>
  <c r="A653"/>
  <c r="AA650"/>
  <c r="X650"/>
  <c r="Y650" s="1"/>
  <c r="T650"/>
  <c r="A650"/>
  <c r="AA642"/>
  <c r="X642"/>
  <c r="Y642" s="1"/>
  <c r="T642"/>
  <c r="A642"/>
  <c r="AA622"/>
  <c r="X622"/>
  <c r="Y622" s="1"/>
  <c r="T622"/>
  <c r="A622"/>
  <c r="AA603"/>
  <c r="X603"/>
  <c r="Y603" s="1"/>
  <c r="T603"/>
  <c r="A603"/>
  <c r="AA580"/>
  <c r="X580"/>
  <c r="Y580" s="1"/>
  <c r="T580"/>
  <c r="A580"/>
  <c r="AA561"/>
  <c r="X561"/>
  <c r="Y561" s="1"/>
  <c r="T561"/>
  <c r="A561"/>
  <c r="AA558"/>
  <c r="X558"/>
  <c r="Y558" s="1"/>
  <c r="T558"/>
  <c r="A558"/>
  <c r="AA549"/>
  <c r="X549"/>
  <c r="Y549" s="1"/>
  <c r="T549"/>
  <c r="A549"/>
  <c r="AA530"/>
  <c r="X530"/>
  <c r="Y530" s="1"/>
  <c r="T530"/>
  <c r="A530"/>
  <c r="AA527"/>
  <c r="X527"/>
  <c r="Y527" s="1"/>
  <c r="T527"/>
  <c r="A527"/>
  <c r="AA518"/>
  <c r="X518"/>
  <c r="Y518" s="1"/>
  <c r="T518"/>
  <c r="A518"/>
  <c r="F518" s="1"/>
  <c r="AA492"/>
  <c r="X492"/>
  <c r="Y492" s="1"/>
  <c r="T492"/>
  <c r="A492"/>
  <c r="AA471"/>
  <c r="X471"/>
  <c r="Y471" s="1"/>
  <c r="T471"/>
  <c r="A471"/>
  <c r="AA467"/>
  <c r="X467"/>
  <c r="Y467" s="1"/>
  <c r="T467"/>
  <c r="A467"/>
  <c r="AA464"/>
  <c r="X464"/>
  <c r="Y464" s="1"/>
  <c r="T464"/>
  <c r="A464"/>
  <c r="AA444"/>
  <c r="X444"/>
  <c r="Y444" s="1"/>
  <c r="T444"/>
  <c r="A444"/>
  <c r="AA440"/>
  <c r="X440"/>
  <c r="Y440" s="1"/>
  <c r="T440"/>
  <c r="A440"/>
  <c r="AA437"/>
  <c r="X437"/>
  <c r="Y437" s="1"/>
  <c r="T437"/>
  <c r="A437"/>
  <c r="AA410"/>
  <c r="X410"/>
  <c r="Y410" s="1"/>
  <c r="T410"/>
  <c r="A410"/>
  <c r="AA390"/>
  <c r="X390"/>
  <c r="Y390" s="1"/>
  <c r="T390"/>
  <c r="A390"/>
  <c r="AA387"/>
  <c r="X387"/>
  <c r="Y387" s="1"/>
  <c r="T387"/>
  <c r="A387"/>
  <c r="AA368"/>
  <c r="X368"/>
  <c r="Y368" s="1"/>
  <c r="T368"/>
  <c r="A368"/>
  <c r="AA365"/>
  <c r="X365"/>
  <c r="Y365" s="1"/>
  <c r="T365"/>
  <c r="A365"/>
  <c r="AA339"/>
  <c r="X339"/>
  <c r="Y339" s="1"/>
  <c r="T339"/>
  <c r="A339"/>
  <c r="AA327"/>
  <c r="X327"/>
  <c r="Y327" s="1"/>
  <c r="T327"/>
  <c r="A327"/>
  <c r="AA323"/>
  <c r="X323"/>
  <c r="Y323" s="1"/>
  <c r="T323"/>
  <c r="A323"/>
  <c r="AA320"/>
  <c r="X320"/>
  <c r="Y320" s="1"/>
  <c r="T320"/>
  <c r="A320"/>
  <c r="AA311"/>
  <c r="X311"/>
  <c r="Y311" s="1"/>
  <c r="T311"/>
  <c r="A311"/>
  <c r="AA300"/>
  <c r="X300"/>
  <c r="Y300" s="1"/>
  <c r="T300"/>
  <c r="A300"/>
  <c r="AA296"/>
  <c r="X296"/>
  <c r="Y296" s="1"/>
  <c r="T296"/>
  <c r="A296"/>
  <c r="AA293"/>
  <c r="X293"/>
  <c r="Y293" s="1"/>
  <c r="T293"/>
  <c r="A293"/>
  <c r="AA283"/>
  <c r="X283"/>
  <c r="Y283" s="1"/>
  <c r="T283"/>
  <c r="A283"/>
  <c r="AA271"/>
  <c r="X271"/>
  <c r="Y271" s="1"/>
  <c r="T271"/>
  <c r="A271"/>
  <c r="AA250"/>
  <c r="X250"/>
  <c r="Y250" s="1"/>
  <c r="T250"/>
  <c r="A250"/>
  <c r="AA230"/>
  <c r="X230"/>
  <c r="Y230" s="1"/>
  <c r="T230"/>
  <c r="A230"/>
  <c r="AA203"/>
  <c r="X203"/>
  <c r="Y203" s="1"/>
  <c r="T203"/>
  <c r="A203"/>
  <c r="AA198"/>
  <c r="X198"/>
  <c r="Y198" s="1"/>
  <c r="T198"/>
  <c r="A198"/>
  <c r="AA189"/>
  <c r="X189"/>
  <c r="Y189" s="1"/>
  <c r="T189"/>
  <c r="A189"/>
  <c r="AA170"/>
  <c r="X170"/>
  <c r="Y170" s="1"/>
  <c r="T170"/>
  <c r="A170"/>
  <c r="AA151"/>
  <c r="X151"/>
  <c r="Y151" s="1"/>
  <c r="T151"/>
  <c r="A151"/>
  <c r="AA147"/>
  <c r="X147"/>
  <c r="Y147" s="1"/>
  <c r="T147"/>
  <c r="A147"/>
  <c r="AA138"/>
  <c r="X138"/>
  <c r="Y138" s="1"/>
  <c r="T138"/>
  <c r="A138"/>
  <c r="AA1127"/>
  <c r="X1127"/>
  <c r="A1127"/>
  <c r="W1127" s="1"/>
  <c r="AA1123"/>
  <c r="X1123"/>
  <c r="A1123"/>
  <c r="W1123" s="1"/>
  <c r="AA201"/>
  <c r="X201"/>
  <c r="A201"/>
  <c r="W201" s="1"/>
  <c r="AA150"/>
  <c r="X150"/>
  <c r="A150"/>
  <c r="W150" s="1"/>
  <c r="AA716"/>
  <c r="X716"/>
  <c r="A716"/>
  <c r="W716" s="1"/>
  <c r="P1490" l="1"/>
  <c r="R1490"/>
  <c r="L1490"/>
  <c r="E1490"/>
  <c r="G1490"/>
  <c r="F1490"/>
  <c r="P1472"/>
  <c r="R1472"/>
  <c r="L1472"/>
  <c r="E1472"/>
  <c r="G1472"/>
  <c r="F1472"/>
  <c r="P1447"/>
  <c r="R1447"/>
  <c r="L1447"/>
  <c r="E1447"/>
  <c r="G1447"/>
  <c r="F1447"/>
  <c r="P1442"/>
  <c r="R1442"/>
  <c r="L1442"/>
  <c r="E1442"/>
  <c r="G1442"/>
  <c r="F1442"/>
  <c r="P1436"/>
  <c r="R1436"/>
  <c r="L1436"/>
  <c r="E1436"/>
  <c r="G1436"/>
  <c r="F1436"/>
  <c r="P1431"/>
  <c r="R1431"/>
  <c r="L1431"/>
  <c r="E1431"/>
  <c r="G1431"/>
  <c r="F1431"/>
  <c r="P1425"/>
  <c r="R1425"/>
  <c r="L1425"/>
  <c r="E1425"/>
  <c r="G1425"/>
  <c r="F1425"/>
  <c r="P1414"/>
  <c r="R1414"/>
  <c r="L1414"/>
  <c r="E1414"/>
  <c r="G1414"/>
  <c r="F1414"/>
  <c r="P1418"/>
  <c r="R1418"/>
  <c r="L1418"/>
  <c r="E1418"/>
  <c r="G1418"/>
  <c r="F1418"/>
  <c r="B287"/>
  <c r="H299"/>
  <c r="H287"/>
  <c r="B299"/>
  <c r="I299"/>
  <c r="I287"/>
  <c r="P1128"/>
  <c r="R1128"/>
  <c r="L1128"/>
  <c r="E1128"/>
  <c r="G1128"/>
  <c r="D1128"/>
  <c r="F1128"/>
  <c r="P1027"/>
  <c r="R1027"/>
  <c r="L1027"/>
  <c r="E1027"/>
  <c r="G1027"/>
  <c r="D1027"/>
  <c r="F1027"/>
  <c r="P1165"/>
  <c r="R1165"/>
  <c r="L1165"/>
  <c r="E1165"/>
  <c r="G1165"/>
  <c r="F1165"/>
  <c r="P1145"/>
  <c r="R1145"/>
  <c r="L1145"/>
  <c r="E1145"/>
  <c r="G1145"/>
  <c r="F1145"/>
  <c r="P1142"/>
  <c r="R1142"/>
  <c r="L1142"/>
  <c r="E1142"/>
  <c r="G1142"/>
  <c r="F1142"/>
  <c r="R1129"/>
  <c r="P1129"/>
  <c r="E1129"/>
  <c r="G1129"/>
  <c r="L1129"/>
  <c r="P1124"/>
  <c r="R1124"/>
  <c r="L1124"/>
  <c r="E1124"/>
  <c r="G1124"/>
  <c r="F1124"/>
  <c r="P1185"/>
  <c r="R1185"/>
  <c r="L1185"/>
  <c r="E1185"/>
  <c r="G1185"/>
  <c r="F1185"/>
  <c r="P1120"/>
  <c r="R1120"/>
  <c r="L1120"/>
  <c r="E1120"/>
  <c r="G1120"/>
  <c r="F1120"/>
  <c r="P1394"/>
  <c r="R1394"/>
  <c r="L1394"/>
  <c r="E1394"/>
  <c r="G1394"/>
  <c r="F1394"/>
  <c r="P1391"/>
  <c r="R1391"/>
  <c r="L1391"/>
  <c r="E1391"/>
  <c r="G1391"/>
  <c r="F1391"/>
  <c r="P1372"/>
  <c r="R1372"/>
  <c r="L1372"/>
  <c r="E1372"/>
  <c r="G1372"/>
  <c r="F1372"/>
  <c r="P1369"/>
  <c r="R1369"/>
  <c r="L1369"/>
  <c r="E1369"/>
  <c r="G1369"/>
  <c r="F1369"/>
  <c r="P1345"/>
  <c r="R1345"/>
  <c r="L1345"/>
  <c r="E1345"/>
  <c r="G1345"/>
  <c r="F1345"/>
  <c r="P1324"/>
  <c r="R1324"/>
  <c r="L1324"/>
  <c r="E1324"/>
  <c r="G1324"/>
  <c r="F1324"/>
  <c r="P1304"/>
  <c r="R1304"/>
  <c r="L1304"/>
  <c r="E1304"/>
  <c r="G1304"/>
  <c r="F1304"/>
  <c r="P1277"/>
  <c r="R1277"/>
  <c r="L1277"/>
  <c r="E1277"/>
  <c r="G1277"/>
  <c r="F1277"/>
  <c r="P1257"/>
  <c r="R1257"/>
  <c r="L1257"/>
  <c r="E1257"/>
  <c r="G1257"/>
  <c r="F1257"/>
  <c r="P1254"/>
  <c r="R1254"/>
  <c r="L1254"/>
  <c r="E1254"/>
  <c r="G1254"/>
  <c r="F1254"/>
  <c r="P1234"/>
  <c r="R1234"/>
  <c r="L1234"/>
  <c r="E1234"/>
  <c r="G1234"/>
  <c r="F1234"/>
  <c r="P1231"/>
  <c r="R1231"/>
  <c r="L1231"/>
  <c r="E1231"/>
  <c r="G1231"/>
  <c r="F1231"/>
  <c r="P1207"/>
  <c r="R1207"/>
  <c r="L1207"/>
  <c r="E1207"/>
  <c r="G1207"/>
  <c r="F1207"/>
  <c r="P1202"/>
  <c r="R1202"/>
  <c r="L1202"/>
  <c r="E1202"/>
  <c r="G1202"/>
  <c r="F1202"/>
  <c r="P1198"/>
  <c r="R1198"/>
  <c r="L1198"/>
  <c r="E1198"/>
  <c r="G1198"/>
  <c r="F1198"/>
  <c r="P1195"/>
  <c r="E1195"/>
  <c r="G1195"/>
  <c r="L1195"/>
  <c r="P1095"/>
  <c r="R1095"/>
  <c r="L1095"/>
  <c r="E1095"/>
  <c r="G1095"/>
  <c r="F1095"/>
  <c r="P1077"/>
  <c r="R1077"/>
  <c r="L1077"/>
  <c r="E1077"/>
  <c r="G1077"/>
  <c r="F1077"/>
  <c r="P1074"/>
  <c r="R1074"/>
  <c r="L1074"/>
  <c r="E1074"/>
  <c r="G1074"/>
  <c r="F1074"/>
  <c r="P1056"/>
  <c r="R1056"/>
  <c r="L1056"/>
  <c r="E1056"/>
  <c r="G1056"/>
  <c r="F1056"/>
  <c r="P1053"/>
  <c r="R1053"/>
  <c r="L1053"/>
  <c r="E1053"/>
  <c r="G1053"/>
  <c r="F1053"/>
  <c r="P1028"/>
  <c r="R1028"/>
  <c r="L1028"/>
  <c r="E1028"/>
  <c r="G1028"/>
  <c r="F1028"/>
  <c r="P1021"/>
  <c r="R1021"/>
  <c r="L1021"/>
  <c r="E1021"/>
  <c r="G1021"/>
  <c r="F1021"/>
  <c r="P1015"/>
  <c r="R1015"/>
  <c r="L1015"/>
  <c r="E1015"/>
  <c r="G1015"/>
  <c r="F1015"/>
  <c r="P996"/>
  <c r="R996"/>
  <c r="L996"/>
  <c r="E996"/>
  <c r="G996"/>
  <c r="F996"/>
  <c r="P993"/>
  <c r="R993"/>
  <c r="L993"/>
  <c r="E993"/>
  <c r="G993"/>
  <c r="F993"/>
  <c r="P974"/>
  <c r="E974"/>
  <c r="G974"/>
  <c r="L974"/>
  <c r="P971"/>
  <c r="R971"/>
  <c r="L971"/>
  <c r="E971"/>
  <c r="G971"/>
  <c r="F971"/>
  <c r="P945"/>
  <c r="R945"/>
  <c r="L945"/>
  <c r="E945"/>
  <c r="G945"/>
  <c r="F945"/>
  <c r="P925"/>
  <c r="R925"/>
  <c r="L925"/>
  <c r="E925"/>
  <c r="G925"/>
  <c r="F925"/>
  <c r="P906"/>
  <c r="R906"/>
  <c r="L906"/>
  <c r="E906"/>
  <c r="G906"/>
  <c r="F906"/>
  <c r="P882"/>
  <c r="R882"/>
  <c r="L882"/>
  <c r="E882"/>
  <c r="G882"/>
  <c r="F882"/>
  <c r="P858"/>
  <c r="R858"/>
  <c r="L858"/>
  <c r="E858"/>
  <c r="G858"/>
  <c r="F858"/>
  <c r="P855"/>
  <c r="R855"/>
  <c r="L855"/>
  <c r="E855"/>
  <c r="G855"/>
  <c r="F855"/>
  <c r="P831"/>
  <c r="R831"/>
  <c r="L831"/>
  <c r="E831"/>
  <c r="G831"/>
  <c r="F831"/>
  <c r="P828"/>
  <c r="R828"/>
  <c r="L828"/>
  <c r="E828"/>
  <c r="G828"/>
  <c r="F828"/>
  <c r="P800"/>
  <c r="R800"/>
  <c r="L800"/>
  <c r="E800"/>
  <c r="G800"/>
  <c r="F800"/>
  <c r="P780"/>
  <c r="R780"/>
  <c r="L780"/>
  <c r="E780"/>
  <c r="G780"/>
  <c r="F780"/>
  <c r="P771"/>
  <c r="R771"/>
  <c r="L771"/>
  <c r="E771"/>
  <c r="G771"/>
  <c r="F771"/>
  <c r="P752"/>
  <c r="R752"/>
  <c r="L752"/>
  <c r="E752"/>
  <c r="G752"/>
  <c r="F752"/>
  <c r="R743"/>
  <c r="P743"/>
  <c r="E743"/>
  <c r="G743"/>
  <c r="L743"/>
  <c r="R720"/>
  <c r="P720"/>
  <c r="E720"/>
  <c r="G720"/>
  <c r="L720"/>
  <c r="P717"/>
  <c r="R717"/>
  <c r="L717"/>
  <c r="E717"/>
  <c r="G717"/>
  <c r="F717"/>
  <c r="P713"/>
  <c r="R713"/>
  <c r="L713"/>
  <c r="E713"/>
  <c r="G713"/>
  <c r="F713"/>
  <c r="P707"/>
  <c r="R707"/>
  <c r="L707"/>
  <c r="E707"/>
  <c r="G707"/>
  <c r="F707"/>
  <c r="P704"/>
  <c r="R704"/>
  <c r="L704"/>
  <c r="E704"/>
  <c r="G704"/>
  <c r="F704"/>
  <c r="P700"/>
  <c r="R700"/>
  <c r="L700"/>
  <c r="E700"/>
  <c r="G700"/>
  <c r="F700"/>
  <c r="P694"/>
  <c r="R694"/>
  <c r="L694"/>
  <c r="E694"/>
  <c r="G694"/>
  <c r="F694"/>
  <c r="P684"/>
  <c r="R684"/>
  <c r="L684"/>
  <c r="E684"/>
  <c r="G684"/>
  <c r="F684"/>
  <c r="P672"/>
  <c r="R672"/>
  <c r="L672"/>
  <c r="E672"/>
  <c r="G672"/>
  <c r="F672"/>
  <c r="P666"/>
  <c r="R666"/>
  <c r="L666"/>
  <c r="E666"/>
  <c r="G666"/>
  <c r="F666"/>
  <c r="P663"/>
  <c r="R663"/>
  <c r="L663"/>
  <c r="E663"/>
  <c r="G663"/>
  <c r="F663"/>
  <c r="P657"/>
  <c r="R657"/>
  <c r="L657"/>
  <c r="E657"/>
  <c r="G657"/>
  <c r="F657"/>
  <c r="P653"/>
  <c r="R653"/>
  <c r="L653"/>
  <c r="E653"/>
  <c r="G653"/>
  <c r="F653"/>
  <c r="P650"/>
  <c r="R650"/>
  <c r="L650"/>
  <c r="E650"/>
  <c r="G650"/>
  <c r="F650"/>
  <c r="P642"/>
  <c r="R642"/>
  <c r="L642"/>
  <c r="E642"/>
  <c r="G642"/>
  <c r="F642"/>
  <c r="P622"/>
  <c r="R622"/>
  <c r="L622"/>
  <c r="E622"/>
  <c r="G622"/>
  <c r="F622"/>
  <c r="P603"/>
  <c r="R603"/>
  <c r="L603"/>
  <c r="E603"/>
  <c r="G603"/>
  <c r="F603"/>
  <c r="P580"/>
  <c r="R580"/>
  <c r="L580"/>
  <c r="E580"/>
  <c r="G580"/>
  <c r="F580"/>
  <c r="P561"/>
  <c r="R561"/>
  <c r="L561"/>
  <c r="E561"/>
  <c r="G561"/>
  <c r="F561"/>
  <c r="P558"/>
  <c r="R558"/>
  <c r="L558"/>
  <c r="E558"/>
  <c r="G558"/>
  <c r="F558"/>
  <c r="P549"/>
  <c r="R549"/>
  <c r="L549"/>
  <c r="E549"/>
  <c r="G549"/>
  <c r="F549"/>
  <c r="P530"/>
  <c r="R530"/>
  <c r="L530"/>
  <c r="E530"/>
  <c r="G530"/>
  <c r="F530"/>
  <c r="P527"/>
  <c r="R527"/>
  <c r="L527"/>
  <c r="E527"/>
  <c r="G527"/>
  <c r="F527"/>
  <c r="R518"/>
  <c r="P518"/>
  <c r="E518"/>
  <c r="G518"/>
  <c r="L518"/>
  <c r="P492"/>
  <c r="R492"/>
  <c r="L492"/>
  <c r="E492"/>
  <c r="G492"/>
  <c r="F492"/>
  <c r="P471"/>
  <c r="R471"/>
  <c r="L471"/>
  <c r="E471"/>
  <c r="G471"/>
  <c r="F471"/>
  <c r="P467"/>
  <c r="R467"/>
  <c r="L467"/>
  <c r="E467"/>
  <c r="G467"/>
  <c r="F467"/>
  <c r="P464"/>
  <c r="R464"/>
  <c r="L464"/>
  <c r="E464"/>
  <c r="G464"/>
  <c r="F464"/>
  <c r="P444"/>
  <c r="R444"/>
  <c r="L444"/>
  <c r="E444"/>
  <c r="G444"/>
  <c r="F444"/>
  <c r="P440"/>
  <c r="R440"/>
  <c r="L440"/>
  <c r="E440"/>
  <c r="G440"/>
  <c r="F440"/>
  <c r="P437"/>
  <c r="R437"/>
  <c r="L437"/>
  <c r="E437"/>
  <c r="G437"/>
  <c r="F437"/>
  <c r="P410"/>
  <c r="R410"/>
  <c r="L410"/>
  <c r="E410"/>
  <c r="G410"/>
  <c r="F410"/>
  <c r="P390"/>
  <c r="R390"/>
  <c r="L390"/>
  <c r="E390"/>
  <c r="G390"/>
  <c r="F390"/>
  <c r="P387"/>
  <c r="R387"/>
  <c r="L387"/>
  <c r="E387"/>
  <c r="G387"/>
  <c r="F387"/>
  <c r="P368"/>
  <c r="R368"/>
  <c r="L368"/>
  <c r="E368"/>
  <c r="G368"/>
  <c r="F368"/>
  <c r="P365"/>
  <c r="R365"/>
  <c r="L365"/>
  <c r="E365"/>
  <c r="G365"/>
  <c r="F365"/>
  <c r="P339"/>
  <c r="R339"/>
  <c r="L339"/>
  <c r="E339"/>
  <c r="G339"/>
  <c r="F339"/>
  <c r="P327"/>
  <c r="R327"/>
  <c r="L327"/>
  <c r="E327"/>
  <c r="G327"/>
  <c r="F327"/>
  <c r="P323"/>
  <c r="R323"/>
  <c r="L323"/>
  <c r="E323"/>
  <c r="G323"/>
  <c r="F323"/>
  <c r="P320"/>
  <c r="R320"/>
  <c r="L320"/>
  <c r="E320"/>
  <c r="G320"/>
  <c r="F320"/>
  <c r="P311"/>
  <c r="R311"/>
  <c r="L311"/>
  <c r="E311"/>
  <c r="G311"/>
  <c r="F311"/>
  <c r="P300"/>
  <c r="R300"/>
  <c r="L300"/>
  <c r="E300"/>
  <c r="G300"/>
  <c r="F300"/>
  <c r="P296"/>
  <c r="R296"/>
  <c r="L296"/>
  <c r="E296"/>
  <c r="G296"/>
  <c r="F296"/>
  <c r="P293"/>
  <c r="R293"/>
  <c r="L293"/>
  <c r="E293"/>
  <c r="G293"/>
  <c r="F293"/>
  <c r="P283"/>
  <c r="R283"/>
  <c r="L283"/>
  <c r="E283"/>
  <c r="G283"/>
  <c r="F283"/>
  <c r="P271"/>
  <c r="R271"/>
  <c r="L271"/>
  <c r="E271"/>
  <c r="G271"/>
  <c r="F271"/>
  <c r="P250"/>
  <c r="R250"/>
  <c r="L250"/>
  <c r="E250"/>
  <c r="G250"/>
  <c r="F250"/>
  <c r="P230"/>
  <c r="R230"/>
  <c r="L230"/>
  <c r="E230"/>
  <c r="G230"/>
  <c r="F230"/>
  <c r="P203"/>
  <c r="R203"/>
  <c r="L203"/>
  <c r="E203"/>
  <c r="G203"/>
  <c r="F203"/>
  <c r="P198"/>
  <c r="R198"/>
  <c r="L198"/>
  <c r="E198"/>
  <c r="G198"/>
  <c r="F198"/>
  <c r="P189"/>
  <c r="R189"/>
  <c r="L189"/>
  <c r="E189"/>
  <c r="G189"/>
  <c r="F189"/>
  <c r="P170"/>
  <c r="R170"/>
  <c r="L170"/>
  <c r="E170"/>
  <c r="G170"/>
  <c r="F170"/>
  <c r="P151"/>
  <c r="R151"/>
  <c r="L151"/>
  <c r="E151"/>
  <c r="G151"/>
  <c r="F151"/>
  <c r="B1123"/>
  <c r="P147"/>
  <c r="R147"/>
  <c r="L147"/>
  <c r="E147"/>
  <c r="G147"/>
  <c r="F147"/>
  <c r="H1127"/>
  <c r="H1123"/>
  <c r="B1127"/>
  <c r="P138"/>
  <c r="R138"/>
  <c r="L138"/>
  <c r="E138"/>
  <c r="G138"/>
  <c r="F138"/>
  <c r="I1127"/>
  <c r="I1123"/>
  <c r="H201"/>
  <c r="B201"/>
  <c r="I201"/>
  <c r="H150"/>
  <c r="B150"/>
  <c r="I150"/>
  <c r="H716"/>
  <c r="B716"/>
  <c r="I716"/>
  <c r="AA13" l="1"/>
  <c r="X13"/>
  <c r="Y13" s="1"/>
  <c r="R13" s="1"/>
  <c r="T13"/>
  <c r="A13"/>
  <c r="F13" s="1"/>
  <c r="AA84"/>
  <c r="X84"/>
  <c r="Y84" s="1"/>
  <c r="T84"/>
  <c r="A84"/>
  <c r="AA53"/>
  <c r="X53"/>
  <c r="Y53" s="1"/>
  <c r="T53"/>
  <c r="A53"/>
  <c r="AA669"/>
  <c r="X669"/>
  <c r="A669"/>
  <c r="W669" s="1"/>
  <c r="AA667"/>
  <c r="X667"/>
  <c r="A667"/>
  <c r="W667" s="1"/>
  <c r="AA645"/>
  <c r="X645"/>
  <c r="A645"/>
  <c r="W645" s="1"/>
  <c r="AA643"/>
  <c r="X643"/>
  <c r="A643"/>
  <c r="W643" s="1"/>
  <c r="AA275"/>
  <c r="X275"/>
  <c r="A275"/>
  <c r="W275" s="1"/>
  <c r="AA1441"/>
  <c r="X1441"/>
  <c r="Y1441" s="1"/>
  <c r="T1441"/>
  <c r="A1441"/>
  <c r="AA1430"/>
  <c r="X1430"/>
  <c r="Y1430" s="1"/>
  <c r="T1430"/>
  <c r="A1430"/>
  <c r="AA1344"/>
  <c r="X1344"/>
  <c r="Y1344" s="1"/>
  <c r="T1344"/>
  <c r="A1344"/>
  <c r="AA1413"/>
  <c r="X1413"/>
  <c r="Y1413" s="1"/>
  <c r="T1413"/>
  <c r="A1413"/>
  <c r="AA1206"/>
  <c r="X1206"/>
  <c r="Y1206" s="1"/>
  <c r="T1206"/>
  <c r="A1206"/>
  <c r="AA944"/>
  <c r="X944"/>
  <c r="Y944" s="1"/>
  <c r="T944"/>
  <c r="A944"/>
  <c r="AA799"/>
  <c r="X799"/>
  <c r="Y799" s="1"/>
  <c r="T799"/>
  <c r="A799"/>
  <c r="AA693"/>
  <c r="X693"/>
  <c r="Y693" s="1"/>
  <c r="T693"/>
  <c r="A693"/>
  <c r="AA641"/>
  <c r="X641"/>
  <c r="Y641" s="1"/>
  <c r="T641"/>
  <c r="A641"/>
  <c r="AA740"/>
  <c r="X740"/>
  <c r="A740"/>
  <c r="H740" s="1"/>
  <c r="AA768"/>
  <c r="X768"/>
  <c r="A768"/>
  <c r="AA797"/>
  <c r="X797"/>
  <c r="A797"/>
  <c r="E667" l="1"/>
  <c r="G667"/>
  <c r="F667"/>
  <c r="E643"/>
  <c r="F643"/>
  <c r="P13"/>
  <c r="E13"/>
  <c r="G13"/>
  <c r="L13"/>
  <c r="P84"/>
  <c r="R84"/>
  <c r="L84"/>
  <c r="E84"/>
  <c r="G84"/>
  <c r="F84"/>
  <c r="P53"/>
  <c r="R53"/>
  <c r="L53"/>
  <c r="E53"/>
  <c r="G53"/>
  <c r="F53"/>
  <c r="B669"/>
  <c r="B667"/>
  <c r="H669"/>
  <c r="H667"/>
  <c r="I669"/>
  <c r="I667"/>
  <c r="B643"/>
  <c r="H645"/>
  <c r="H643"/>
  <c r="B645"/>
  <c r="I645"/>
  <c r="I643"/>
  <c r="H275"/>
  <c r="B275"/>
  <c r="I275"/>
  <c r="P1441"/>
  <c r="R1441"/>
  <c r="L1441"/>
  <c r="E1441"/>
  <c r="G1441"/>
  <c r="D1441"/>
  <c r="F1441"/>
  <c r="P1430"/>
  <c r="R1430"/>
  <c r="L1430"/>
  <c r="E1430"/>
  <c r="G1430"/>
  <c r="D1430"/>
  <c r="F1430"/>
  <c r="P1344"/>
  <c r="R1344"/>
  <c r="L1344"/>
  <c r="E1344"/>
  <c r="G1344"/>
  <c r="D1344"/>
  <c r="F1344"/>
  <c r="P1413"/>
  <c r="R1413"/>
  <c r="L1413"/>
  <c r="E1413"/>
  <c r="G1413"/>
  <c r="D1413"/>
  <c r="F1413"/>
  <c r="P1206"/>
  <c r="R1206"/>
  <c r="L1206"/>
  <c r="E1206"/>
  <c r="G1206"/>
  <c r="D1206"/>
  <c r="F1206"/>
  <c r="P944"/>
  <c r="R944"/>
  <c r="L944"/>
  <c r="E944"/>
  <c r="G944"/>
  <c r="D944"/>
  <c r="F944"/>
  <c r="P799"/>
  <c r="R799"/>
  <c r="L799"/>
  <c r="E799"/>
  <c r="G799"/>
  <c r="D799"/>
  <c r="F799"/>
  <c r="P693"/>
  <c r="R693"/>
  <c r="L693"/>
  <c r="E693"/>
  <c r="G693"/>
  <c r="D693"/>
  <c r="F693"/>
  <c r="P641"/>
  <c r="R641"/>
  <c r="L641"/>
  <c r="E641"/>
  <c r="G641"/>
  <c r="D641"/>
  <c r="F641"/>
  <c r="G643"/>
  <c r="I740"/>
  <c r="W740"/>
  <c r="B740"/>
  <c r="I768"/>
  <c r="W768"/>
  <c r="H768"/>
  <c r="B768"/>
  <c r="H797"/>
  <c r="I797"/>
  <c r="W797"/>
  <c r="B797"/>
  <c r="AA73"/>
  <c r="X73"/>
  <c r="A73"/>
  <c r="AA34"/>
  <c r="X34"/>
  <c r="A34"/>
  <c r="I73" l="1"/>
  <c r="W73"/>
  <c r="H73"/>
  <c r="B73"/>
  <c r="I34"/>
  <c r="W34"/>
  <c r="H34"/>
  <c r="B34"/>
  <c r="AA750"/>
  <c r="X750"/>
  <c r="A750"/>
  <c r="AA747"/>
  <c r="X747"/>
  <c r="A747"/>
  <c r="AA1502"/>
  <c r="X1502"/>
  <c r="A1502"/>
  <c r="H1502" s="1"/>
  <c r="AA1484"/>
  <c r="X1484"/>
  <c r="A1484"/>
  <c r="H1484" s="1"/>
  <c r="AA1463"/>
  <c r="X1463"/>
  <c r="A1463"/>
  <c r="AA1406"/>
  <c r="X1406"/>
  <c r="A1406"/>
  <c r="H1406" s="1"/>
  <c r="AA1384"/>
  <c r="X1384"/>
  <c r="A1384"/>
  <c r="H1384" s="1"/>
  <c r="AA1361"/>
  <c r="X1361"/>
  <c r="A1361"/>
  <c r="H1361" s="1"/>
  <c r="AA1336"/>
  <c r="X1336"/>
  <c r="A1336"/>
  <c r="H1336" s="1"/>
  <c r="AA1316"/>
  <c r="X1316"/>
  <c r="A1316"/>
  <c r="H1316" s="1"/>
  <c r="AA1293"/>
  <c r="X1293"/>
  <c r="A1293"/>
  <c r="H1293" s="1"/>
  <c r="AA1269"/>
  <c r="X1269"/>
  <c r="A1269"/>
  <c r="H1269" s="1"/>
  <c r="AA1246"/>
  <c r="X1246"/>
  <c r="A1246"/>
  <c r="H1246" s="1"/>
  <c r="AA1223"/>
  <c r="X1223"/>
  <c r="A1223"/>
  <c r="H1223" s="1"/>
  <c r="AA1189"/>
  <c r="X1189"/>
  <c r="A1189"/>
  <c r="H1189" s="1"/>
  <c r="AA1133"/>
  <c r="X1133"/>
  <c r="A1133"/>
  <c r="B1133" s="1"/>
  <c r="AA1177"/>
  <c r="X1177"/>
  <c r="A1177"/>
  <c r="H1177" s="1"/>
  <c r="AA1157"/>
  <c r="X1157"/>
  <c r="A1157"/>
  <c r="H1157" s="1"/>
  <c r="AA1111"/>
  <c r="X1111"/>
  <c r="A1111"/>
  <c r="B1111" s="1"/>
  <c r="AA1088"/>
  <c r="X1088"/>
  <c r="A1088"/>
  <c r="H1088" s="1"/>
  <c r="AA1067"/>
  <c r="X1067"/>
  <c r="A1067"/>
  <c r="H1067" s="1"/>
  <c r="AA1043"/>
  <c r="X1043"/>
  <c r="A1043"/>
  <c r="H1043" s="1"/>
  <c r="AA1026"/>
  <c r="X1026"/>
  <c r="A1026"/>
  <c r="AA1020"/>
  <c r="X1020"/>
  <c r="A1020"/>
  <c r="H1020" s="1"/>
  <c r="AA1008"/>
  <c r="X1008"/>
  <c r="A1008"/>
  <c r="H1008" s="1"/>
  <c r="AA986"/>
  <c r="X986"/>
  <c r="A986"/>
  <c r="H986" s="1"/>
  <c r="AA961"/>
  <c r="X961"/>
  <c r="A961"/>
  <c r="H961" s="1"/>
  <c r="AA937"/>
  <c r="X937"/>
  <c r="A937"/>
  <c r="B937" s="1"/>
  <c r="AA918"/>
  <c r="X918"/>
  <c r="A918"/>
  <c r="AA898"/>
  <c r="X898"/>
  <c r="A898"/>
  <c r="H898" s="1"/>
  <c r="AA874"/>
  <c r="X874"/>
  <c r="A874"/>
  <c r="B874" s="1"/>
  <c r="AA817"/>
  <c r="X817"/>
  <c r="A817"/>
  <c r="AA847"/>
  <c r="X847"/>
  <c r="A847"/>
  <c r="H847" s="1"/>
  <c r="AA793"/>
  <c r="X793"/>
  <c r="A793"/>
  <c r="AA778"/>
  <c r="X778"/>
  <c r="A778"/>
  <c r="H778" s="1"/>
  <c r="AA775"/>
  <c r="X775"/>
  <c r="A775"/>
  <c r="H775" s="1"/>
  <c r="AA765"/>
  <c r="X765"/>
  <c r="A765"/>
  <c r="B765" s="1"/>
  <c r="AA736"/>
  <c r="X736"/>
  <c r="A736"/>
  <c r="H736" s="1"/>
  <c r="AA712"/>
  <c r="X712"/>
  <c r="A712"/>
  <c r="H712" s="1"/>
  <c r="AA699"/>
  <c r="X699"/>
  <c r="A699"/>
  <c r="B699" s="1"/>
  <c r="AA687"/>
  <c r="X687"/>
  <c r="A687"/>
  <c r="H687" s="1"/>
  <c r="AA675"/>
  <c r="X675"/>
  <c r="A675"/>
  <c r="H675" s="1"/>
  <c r="AA662"/>
  <c r="X662"/>
  <c r="A662"/>
  <c r="H662" s="1"/>
  <c r="AA649"/>
  <c r="X649"/>
  <c r="A649"/>
  <c r="H649" s="1"/>
  <c r="AA634"/>
  <c r="X634"/>
  <c r="A634"/>
  <c r="AA615"/>
  <c r="X615"/>
  <c r="A615"/>
  <c r="H615" s="1"/>
  <c r="AA596"/>
  <c r="X596"/>
  <c r="A596"/>
  <c r="AA573"/>
  <c r="X573"/>
  <c r="A573"/>
  <c r="H573" s="1"/>
  <c r="AA555"/>
  <c r="X555"/>
  <c r="A555"/>
  <c r="H555" s="1"/>
  <c r="AA553"/>
  <c r="X553"/>
  <c r="A553"/>
  <c r="H553" s="1"/>
  <c r="AA542"/>
  <c r="X542"/>
  <c r="A542"/>
  <c r="H542" s="1"/>
  <c r="AA525"/>
  <c r="X525"/>
  <c r="A525"/>
  <c r="AA522"/>
  <c r="X522"/>
  <c r="A522"/>
  <c r="H522" s="1"/>
  <c r="AA508"/>
  <c r="X508"/>
  <c r="A508"/>
  <c r="H508" s="1"/>
  <c r="AA483"/>
  <c r="X483"/>
  <c r="A483"/>
  <c r="H483" s="1"/>
  <c r="AA456"/>
  <c r="X456"/>
  <c r="A456"/>
  <c r="H456" s="1"/>
  <c r="AA425"/>
  <c r="X425"/>
  <c r="A425"/>
  <c r="H425" s="1"/>
  <c r="AA402"/>
  <c r="X402"/>
  <c r="A402"/>
  <c r="H402" s="1"/>
  <c r="AA380"/>
  <c r="X380"/>
  <c r="A380"/>
  <c r="H380" s="1"/>
  <c r="AA355"/>
  <c r="X355"/>
  <c r="A355"/>
  <c r="AA335"/>
  <c r="X335"/>
  <c r="A335"/>
  <c r="AA318"/>
  <c r="X318"/>
  <c r="A318"/>
  <c r="AA315"/>
  <c r="X315"/>
  <c r="A315"/>
  <c r="H315" s="1"/>
  <c r="AA308"/>
  <c r="X308"/>
  <c r="A308"/>
  <c r="H308" s="1"/>
  <c r="AA291"/>
  <c r="X291"/>
  <c r="A291"/>
  <c r="W291" s="1"/>
  <c r="AA288"/>
  <c r="X288"/>
  <c r="A288"/>
  <c r="H288" s="1"/>
  <c r="AA280"/>
  <c r="X280"/>
  <c r="A280"/>
  <c r="H280" s="1"/>
  <c r="AA262"/>
  <c r="X262"/>
  <c r="A262"/>
  <c r="B262" s="1"/>
  <c r="AA242"/>
  <c r="X242"/>
  <c r="A242"/>
  <c r="H242" s="1"/>
  <c r="AA219"/>
  <c r="X219"/>
  <c r="A219"/>
  <c r="W219" s="1"/>
  <c r="AA196"/>
  <c r="X196"/>
  <c r="A196"/>
  <c r="H196" s="1"/>
  <c r="AA193"/>
  <c r="X193"/>
  <c r="A193"/>
  <c r="H193" s="1"/>
  <c r="AA183"/>
  <c r="X183"/>
  <c r="A183"/>
  <c r="AA164"/>
  <c r="X164"/>
  <c r="A164"/>
  <c r="AA145"/>
  <c r="X145"/>
  <c r="A145"/>
  <c r="H145" s="1"/>
  <c r="AA142"/>
  <c r="X142"/>
  <c r="A142"/>
  <c r="H142" s="1"/>
  <c r="AA130"/>
  <c r="X130"/>
  <c r="A130"/>
  <c r="H130" s="1"/>
  <c r="AA97"/>
  <c r="X97"/>
  <c r="A97"/>
  <c r="H97" s="1"/>
  <c r="AA66"/>
  <c r="X66"/>
  <c r="A66"/>
  <c r="H66" s="1"/>
  <c r="AA30"/>
  <c r="X30"/>
  <c r="A30"/>
  <c r="C83" i="25"/>
  <c r="A83" s="1"/>
  <c r="B1484" i="12" l="1"/>
  <c r="B750"/>
  <c r="I750"/>
  <c r="W750"/>
  <c r="H750"/>
  <c r="B1502"/>
  <c r="I747"/>
  <c r="W747"/>
  <c r="B747"/>
  <c r="H747"/>
  <c r="I1502"/>
  <c r="W1502"/>
  <c r="B1293"/>
  <c r="I1484"/>
  <c r="W1484"/>
  <c r="B1361"/>
  <c r="B1384"/>
  <c r="B1406"/>
  <c r="I1463"/>
  <c r="W1463"/>
  <c r="B1463"/>
  <c r="H1463"/>
  <c r="B1316"/>
  <c r="B1336"/>
  <c r="I1406"/>
  <c r="W1406"/>
  <c r="B1269"/>
  <c r="I1384"/>
  <c r="W1384"/>
  <c r="I1361"/>
  <c r="W1361"/>
  <c r="I1336"/>
  <c r="W1336"/>
  <c r="B1246"/>
  <c r="I1316"/>
  <c r="W1316"/>
  <c r="H1133"/>
  <c r="B1189"/>
  <c r="B1223"/>
  <c r="I1293"/>
  <c r="W1293"/>
  <c r="I1269"/>
  <c r="W1269"/>
  <c r="H1111"/>
  <c r="B1157"/>
  <c r="I1246"/>
  <c r="W1246"/>
  <c r="I1223"/>
  <c r="W1223"/>
  <c r="B1177"/>
  <c r="I1189"/>
  <c r="W1189"/>
  <c r="I1133"/>
  <c r="W1133"/>
  <c r="B1088"/>
  <c r="I1177"/>
  <c r="W1177"/>
  <c r="B1043"/>
  <c r="B1067"/>
  <c r="I1157"/>
  <c r="W1157"/>
  <c r="I1111"/>
  <c r="W1111"/>
  <c r="I1088"/>
  <c r="W1088"/>
  <c r="I1067"/>
  <c r="W1067"/>
  <c r="B986"/>
  <c r="B1008"/>
  <c r="I1043"/>
  <c r="W1043"/>
  <c r="B1020"/>
  <c r="I1026"/>
  <c r="W1026"/>
  <c r="B1026"/>
  <c r="H1026"/>
  <c r="H937"/>
  <c r="B961"/>
  <c r="I1020"/>
  <c r="W1020"/>
  <c r="I1008"/>
  <c r="W1008"/>
  <c r="I986"/>
  <c r="W986"/>
  <c r="I961"/>
  <c r="W961"/>
  <c r="I937"/>
  <c r="W937"/>
  <c r="H874"/>
  <c r="B898"/>
  <c r="W918"/>
  <c r="B918"/>
  <c r="I918"/>
  <c r="H918"/>
  <c r="I898"/>
  <c r="W898"/>
  <c r="I874"/>
  <c r="W874"/>
  <c r="B847"/>
  <c r="I817"/>
  <c r="W817"/>
  <c r="B817"/>
  <c r="H817"/>
  <c r="I847"/>
  <c r="W847"/>
  <c r="H765"/>
  <c r="B775"/>
  <c r="B778"/>
  <c r="B793"/>
  <c r="I793"/>
  <c r="W793"/>
  <c r="H793"/>
  <c r="I778"/>
  <c r="W778"/>
  <c r="H699"/>
  <c r="B712"/>
  <c r="B736"/>
  <c r="I775"/>
  <c r="W775"/>
  <c r="I765"/>
  <c r="W765"/>
  <c r="I736"/>
  <c r="W736"/>
  <c r="I712"/>
  <c r="W712"/>
  <c r="B649"/>
  <c r="B662"/>
  <c r="B675"/>
  <c r="B687"/>
  <c r="I699"/>
  <c r="W699"/>
  <c r="I687"/>
  <c r="W687"/>
  <c r="I675"/>
  <c r="W675"/>
  <c r="I662"/>
  <c r="W662"/>
  <c r="I649"/>
  <c r="W649"/>
  <c r="B542"/>
  <c r="B615"/>
  <c r="I634"/>
  <c r="W634"/>
  <c r="B634"/>
  <c r="H634"/>
  <c r="I615"/>
  <c r="W615"/>
  <c r="B553"/>
  <c r="B555"/>
  <c r="B573"/>
  <c r="I596"/>
  <c r="W596"/>
  <c r="B596"/>
  <c r="H596"/>
  <c r="I573"/>
  <c r="W573"/>
  <c r="I555"/>
  <c r="W555"/>
  <c r="I553"/>
  <c r="W553"/>
  <c r="I542"/>
  <c r="W542"/>
  <c r="B380"/>
  <c r="B402"/>
  <c r="B425"/>
  <c r="B456"/>
  <c r="B483"/>
  <c r="B508"/>
  <c r="B522"/>
  <c r="B525"/>
  <c r="I525"/>
  <c r="W525"/>
  <c r="H525"/>
  <c r="I522"/>
  <c r="W522"/>
  <c r="I508"/>
  <c r="W508"/>
  <c r="I483"/>
  <c r="W483"/>
  <c r="I456"/>
  <c r="W456"/>
  <c r="I425"/>
  <c r="W425"/>
  <c r="I402"/>
  <c r="W402"/>
  <c r="I380"/>
  <c r="W380"/>
  <c r="I355"/>
  <c r="W355"/>
  <c r="B355"/>
  <c r="H355"/>
  <c r="I335"/>
  <c r="B335"/>
  <c r="W335"/>
  <c r="H335"/>
  <c r="H262"/>
  <c r="B280"/>
  <c r="B288"/>
  <c r="B291"/>
  <c r="B308"/>
  <c r="B315"/>
  <c r="W318"/>
  <c r="B318"/>
  <c r="I318"/>
  <c r="H318"/>
  <c r="I315"/>
  <c r="W315"/>
  <c r="I308"/>
  <c r="W308"/>
  <c r="H291"/>
  <c r="I291"/>
  <c r="I288"/>
  <c r="W288"/>
  <c r="H219"/>
  <c r="B242"/>
  <c r="I280"/>
  <c r="W280"/>
  <c r="I262"/>
  <c r="W262"/>
  <c r="B193"/>
  <c r="B196"/>
  <c r="B219"/>
  <c r="I242"/>
  <c r="W242"/>
  <c r="I219"/>
  <c r="I196"/>
  <c r="W196"/>
  <c r="I193"/>
  <c r="W193"/>
  <c r="W183"/>
  <c r="B183"/>
  <c r="I183"/>
  <c r="H183"/>
  <c r="B142"/>
  <c r="B145"/>
  <c r="I164"/>
  <c r="W164"/>
  <c r="B164"/>
  <c r="H164"/>
  <c r="I145"/>
  <c r="W145"/>
  <c r="I142"/>
  <c r="W142"/>
  <c r="B130"/>
  <c r="I130"/>
  <c r="W130"/>
  <c r="I97"/>
  <c r="W97"/>
  <c r="B97"/>
  <c r="I66"/>
  <c r="W66"/>
  <c r="B66"/>
  <c r="I30"/>
  <c r="W30"/>
  <c r="H30"/>
  <c r="B30"/>
  <c r="AA1194"/>
  <c r="X1194"/>
  <c r="A1194"/>
  <c r="H1194" s="1"/>
  <c r="AA1193"/>
  <c r="X1193"/>
  <c r="A1193"/>
  <c r="H1193" s="1"/>
  <c r="AA1138"/>
  <c r="X1138"/>
  <c r="A1138"/>
  <c r="AA1137"/>
  <c r="X1137"/>
  <c r="A1137"/>
  <c r="H1137" s="1"/>
  <c r="AA689"/>
  <c r="X689"/>
  <c r="A689"/>
  <c r="AA688"/>
  <c r="X688"/>
  <c r="A688"/>
  <c r="H688" s="1"/>
  <c r="AA677"/>
  <c r="X677"/>
  <c r="A677"/>
  <c r="AA676"/>
  <c r="X676"/>
  <c r="A676"/>
  <c r="B1193" l="1"/>
  <c r="B1194"/>
  <c r="I1194"/>
  <c r="W1194"/>
  <c r="I1193"/>
  <c r="W1193"/>
  <c r="I1138"/>
  <c r="W1138"/>
  <c r="B1138"/>
  <c r="H1138"/>
  <c r="B1137"/>
  <c r="I1137"/>
  <c r="W1137"/>
  <c r="I689"/>
  <c r="W689"/>
  <c r="B689"/>
  <c r="H689"/>
  <c r="I688"/>
  <c r="W688"/>
  <c r="B688"/>
  <c r="I677"/>
  <c r="W677"/>
  <c r="B677"/>
  <c r="H677"/>
  <c r="I676"/>
  <c r="W676"/>
  <c r="H676"/>
  <c r="B676"/>
  <c r="AA186"/>
  <c r="X186"/>
  <c r="A186"/>
  <c r="AA167"/>
  <c r="X167"/>
  <c r="A167"/>
  <c r="H167" s="1"/>
  <c r="AA134"/>
  <c r="X134"/>
  <c r="A134"/>
  <c r="H134" s="1"/>
  <c r="AA1423"/>
  <c r="X1423"/>
  <c r="A1423"/>
  <c r="AA1249"/>
  <c r="X1249"/>
  <c r="A1249"/>
  <c r="W186" l="1"/>
  <c r="B186"/>
  <c r="I186"/>
  <c r="H186"/>
  <c r="I167"/>
  <c r="W167"/>
  <c r="B167"/>
  <c r="I134"/>
  <c r="W134"/>
  <c r="B134"/>
  <c r="I1423"/>
  <c r="W1423"/>
  <c r="H1423"/>
  <c r="B1423"/>
  <c r="I1249"/>
  <c r="W1249"/>
  <c r="H1249"/>
  <c r="B1249"/>
  <c r="AA72"/>
  <c r="X72"/>
  <c r="A72"/>
  <c r="AA33"/>
  <c r="X33"/>
  <c r="A33"/>
  <c r="I72" l="1"/>
  <c r="W72"/>
  <c r="H72"/>
  <c r="B72"/>
  <c r="I33"/>
  <c r="W33"/>
  <c r="H33"/>
  <c r="B33"/>
  <c r="AA1273"/>
  <c r="X1273"/>
  <c r="A1273"/>
  <c r="AA1227"/>
  <c r="X1227"/>
  <c r="A1227"/>
  <c r="I1273" l="1"/>
  <c r="W1273"/>
  <c r="H1273"/>
  <c r="B1273"/>
  <c r="I1227"/>
  <c r="W1227"/>
  <c r="H1227"/>
  <c r="B1227"/>
  <c r="AA1362"/>
  <c r="X1362"/>
  <c r="A1362"/>
  <c r="H1362" s="1"/>
  <c r="AA1112"/>
  <c r="X1112"/>
  <c r="A1112"/>
  <c r="AA905"/>
  <c r="X905"/>
  <c r="A905"/>
  <c r="H905" s="1"/>
  <c r="AA133"/>
  <c r="X133"/>
  <c r="A133"/>
  <c r="B905" l="1"/>
  <c r="B1362"/>
  <c r="I1362"/>
  <c r="W1362"/>
  <c r="B1112"/>
  <c r="I1112"/>
  <c r="W1112"/>
  <c r="H1112"/>
  <c r="I905"/>
  <c r="W905"/>
  <c r="I133"/>
  <c r="W133"/>
  <c r="H133"/>
  <c r="B133"/>
  <c r="AA47"/>
  <c r="X47"/>
  <c r="A47"/>
  <c r="I47" l="1"/>
  <c r="W47"/>
  <c r="H47"/>
  <c r="B47"/>
  <c r="AA332"/>
  <c r="X332"/>
  <c r="A332"/>
  <c r="I332" l="1"/>
  <c r="W332"/>
  <c r="H332"/>
  <c r="B332"/>
  <c r="AA476" l="1"/>
  <c r="X476"/>
  <c r="A476"/>
  <c r="H476" s="1"/>
  <c r="AA449"/>
  <c r="X449"/>
  <c r="A449"/>
  <c r="H449" s="1"/>
  <c r="AA1429"/>
  <c r="X1429"/>
  <c r="A1429"/>
  <c r="H1429" s="1"/>
  <c r="AA1428"/>
  <c r="X1428"/>
  <c r="A1428"/>
  <c r="H1428" s="1"/>
  <c r="AA1427"/>
  <c r="X1427"/>
  <c r="A1427"/>
  <c r="AA1426"/>
  <c r="X1426"/>
  <c r="A1426"/>
  <c r="AA1422"/>
  <c r="X1422"/>
  <c r="A1422"/>
  <c r="H1422" s="1"/>
  <c r="AA1421"/>
  <c r="X1421"/>
  <c r="A1421"/>
  <c r="AA1186"/>
  <c r="X1186"/>
  <c r="A1186"/>
  <c r="B449" l="1"/>
  <c r="B476"/>
  <c r="I476"/>
  <c r="W476"/>
  <c r="I449"/>
  <c r="W449"/>
  <c r="B1428"/>
  <c r="B1429"/>
  <c r="I1429"/>
  <c r="W1429"/>
  <c r="I1428"/>
  <c r="W1428"/>
  <c r="I1427"/>
  <c r="W1427"/>
  <c r="B1427"/>
  <c r="H1427"/>
  <c r="I1426"/>
  <c r="W1426"/>
  <c r="B1426"/>
  <c r="H1426"/>
  <c r="E1426"/>
  <c r="E1427" s="1"/>
  <c r="E1428" s="1"/>
  <c r="E1429" s="1"/>
  <c r="F1426"/>
  <c r="F1427" s="1"/>
  <c r="F1428" s="1"/>
  <c r="F1429" s="1"/>
  <c r="G1426"/>
  <c r="G1427" s="1"/>
  <c r="G1428" s="1"/>
  <c r="G1429" s="1"/>
  <c r="I1422"/>
  <c r="W1422"/>
  <c r="B1422"/>
  <c r="H1421"/>
  <c r="I1421"/>
  <c r="W1421"/>
  <c r="B1421"/>
  <c r="I1186"/>
  <c r="W1186"/>
  <c r="H1186"/>
  <c r="B1186"/>
  <c r="AA1094"/>
  <c r="X1094"/>
  <c r="A1094"/>
  <c r="H1094" s="1"/>
  <c r="AA1073"/>
  <c r="X1073"/>
  <c r="A1073"/>
  <c r="AA1052"/>
  <c r="X1052"/>
  <c r="A1052"/>
  <c r="W1052" s="1"/>
  <c r="B1094" l="1"/>
  <c r="H1052"/>
  <c r="B1052"/>
  <c r="I1094"/>
  <c r="W1094"/>
  <c r="I1073"/>
  <c r="W1073"/>
  <c r="H1073"/>
  <c r="B1073"/>
  <c r="I1052"/>
  <c r="AA779"/>
  <c r="X779"/>
  <c r="A779"/>
  <c r="H779" s="1"/>
  <c r="AA751"/>
  <c r="X751"/>
  <c r="A751"/>
  <c r="AA557"/>
  <c r="X557"/>
  <c r="A557"/>
  <c r="H557" s="1"/>
  <c r="AA526"/>
  <c r="X526"/>
  <c r="A526"/>
  <c r="AA319"/>
  <c r="X319"/>
  <c r="A319"/>
  <c r="B319" s="1"/>
  <c r="AA305"/>
  <c r="X305"/>
  <c r="A305"/>
  <c r="AA292"/>
  <c r="X292"/>
  <c r="A292"/>
  <c r="B292" s="1"/>
  <c r="AA278"/>
  <c r="X278"/>
  <c r="A278"/>
  <c r="B278" s="1"/>
  <c r="C82" i="25"/>
  <c r="A82" s="1"/>
  <c r="AA197" i="12"/>
  <c r="X197"/>
  <c r="A197"/>
  <c r="H197" s="1"/>
  <c r="AA146"/>
  <c r="X146"/>
  <c r="A146"/>
  <c r="B557" l="1"/>
  <c r="B779"/>
  <c r="I779"/>
  <c r="W779"/>
  <c r="I751"/>
  <c r="W751"/>
  <c r="B751"/>
  <c r="H751"/>
  <c r="I557"/>
  <c r="W557"/>
  <c r="I526"/>
  <c r="W526"/>
  <c r="B526"/>
  <c r="H526"/>
  <c r="H319"/>
  <c r="H292"/>
  <c r="H278"/>
  <c r="I319"/>
  <c r="W319"/>
  <c r="B305"/>
  <c r="I305"/>
  <c r="W305"/>
  <c r="H305"/>
  <c r="I292"/>
  <c r="W292"/>
  <c r="I278"/>
  <c r="W278"/>
  <c r="I197"/>
  <c r="W197"/>
  <c r="B197"/>
  <c r="I146"/>
  <c r="W146"/>
  <c r="H146"/>
  <c r="B146"/>
  <c r="AA1408" l="1"/>
  <c r="X1408"/>
  <c r="A1408"/>
  <c r="H1408" s="1"/>
  <c r="AA1387"/>
  <c r="X1387"/>
  <c r="A1387"/>
  <c r="H1387" s="1"/>
  <c r="AA1364"/>
  <c r="X1364"/>
  <c r="A1364"/>
  <c r="H1364" s="1"/>
  <c r="AA1339"/>
  <c r="X1339"/>
  <c r="A1339"/>
  <c r="H1339" s="1"/>
  <c r="AA1319"/>
  <c r="X1319"/>
  <c r="A1319"/>
  <c r="H1319" s="1"/>
  <c r="AA1296"/>
  <c r="X1296"/>
  <c r="A1296"/>
  <c r="B1387" l="1"/>
  <c r="B1408"/>
  <c r="I1408"/>
  <c r="W1408"/>
  <c r="I1387"/>
  <c r="W1387"/>
  <c r="I1364"/>
  <c r="W1364"/>
  <c r="B1364"/>
  <c r="I1339"/>
  <c r="W1339"/>
  <c r="B1339"/>
  <c r="I1319"/>
  <c r="W1319"/>
  <c r="B1319"/>
  <c r="I1296"/>
  <c r="W1296"/>
  <c r="H1296"/>
  <c r="B1296"/>
  <c r="AA1115"/>
  <c r="X1115"/>
  <c r="A1115"/>
  <c r="AA1160"/>
  <c r="X1160"/>
  <c r="A1160"/>
  <c r="AA1180"/>
  <c r="X1180"/>
  <c r="A1180"/>
  <c r="AA1011"/>
  <c r="X1011"/>
  <c r="A1011"/>
  <c r="B1011" s="1"/>
  <c r="AA989"/>
  <c r="X989"/>
  <c r="A989"/>
  <c r="AA964"/>
  <c r="X964"/>
  <c r="A964"/>
  <c r="AA940"/>
  <c r="X940"/>
  <c r="A940"/>
  <c r="AA921"/>
  <c r="X921"/>
  <c r="A921"/>
  <c r="AA902"/>
  <c r="X902"/>
  <c r="A902"/>
  <c r="H902" s="1"/>
  <c r="AA577"/>
  <c r="X577"/>
  <c r="A577"/>
  <c r="H577" s="1"/>
  <c r="AA545"/>
  <c r="X545"/>
  <c r="A545"/>
  <c r="B545" s="1"/>
  <c r="AA512"/>
  <c r="X512"/>
  <c r="A512"/>
  <c r="AA405"/>
  <c r="X405"/>
  <c r="A405"/>
  <c r="AA383"/>
  <c r="X383"/>
  <c r="A383"/>
  <c r="AA358"/>
  <c r="X358"/>
  <c r="A358"/>
  <c r="AA333"/>
  <c r="X333"/>
  <c r="A333"/>
  <c r="AA306"/>
  <c r="X306"/>
  <c r="A306"/>
  <c r="AA276"/>
  <c r="X276"/>
  <c r="A276"/>
  <c r="H276" s="1"/>
  <c r="AA266"/>
  <c r="X266"/>
  <c r="A266"/>
  <c r="AA246"/>
  <c r="X246"/>
  <c r="A246"/>
  <c r="AA222"/>
  <c r="X222"/>
  <c r="A222"/>
  <c r="AA317"/>
  <c r="X317"/>
  <c r="A317"/>
  <c r="B317" s="1"/>
  <c r="AA290"/>
  <c r="X290"/>
  <c r="A290"/>
  <c r="H290" s="1"/>
  <c r="AA777"/>
  <c r="X777"/>
  <c r="A777"/>
  <c r="B777" s="1"/>
  <c r="AA749"/>
  <c r="X749"/>
  <c r="A749"/>
  <c r="B749" s="1"/>
  <c r="AA556"/>
  <c r="X556"/>
  <c r="A556"/>
  <c r="AA524"/>
  <c r="X524"/>
  <c r="A524"/>
  <c r="B524" s="1"/>
  <c r="AA195"/>
  <c r="X195"/>
  <c r="A195"/>
  <c r="H195" s="1"/>
  <c r="AA144"/>
  <c r="X144"/>
  <c r="A144"/>
  <c r="B144" s="1"/>
  <c r="C170" i="25"/>
  <c r="A170" s="1"/>
  <c r="AA490" i="12"/>
  <c r="X490"/>
  <c r="A490"/>
  <c r="B490" s="1"/>
  <c r="AA489"/>
  <c r="X489"/>
  <c r="A489"/>
  <c r="B489" s="1"/>
  <c r="AA488"/>
  <c r="X488"/>
  <c r="A488"/>
  <c r="B488" s="1"/>
  <c r="AA487"/>
  <c r="X487"/>
  <c r="A487"/>
  <c r="B487" s="1"/>
  <c r="AA486"/>
  <c r="X486"/>
  <c r="A486"/>
  <c r="B486" s="1"/>
  <c r="AA485"/>
  <c r="X485"/>
  <c r="A485"/>
  <c r="B485" s="1"/>
  <c r="AA484"/>
  <c r="X484"/>
  <c r="A484"/>
  <c r="B484" s="1"/>
  <c r="AA482"/>
  <c r="X482"/>
  <c r="A482"/>
  <c r="B482" s="1"/>
  <c r="AA481"/>
  <c r="X481"/>
  <c r="A481"/>
  <c r="B481" s="1"/>
  <c r="AA480"/>
  <c r="X480"/>
  <c r="A480"/>
  <c r="B480" s="1"/>
  <c r="AA479"/>
  <c r="X479"/>
  <c r="A479"/>
  <c r="B479" s="1"/>
  <c r="AA478"/>
  <c r="X478"/>
  <c r="A478"/>
  <c r="B478" s="1"/>
  <c r="AA477"/>
  <c r="X477"/>
  <c r="A477"/>
  <c r="B477" s="1"/>
  <c r="AA475"/>
  <c r="X475"/>
  <c r="A475"/>
  <c r="B475" s="1"/>
  <c r="AA474"/>
  <c r="X474"/>
  <c r="A474"/>
  <c r="B474" s="1"/>
  <c r="AA473"/>
  <c r="X473"/>
  <c r="A473"/>
  <c r="B473" s="1"/>
  <c r="AA472"/>
  <c r="X472"/>
  <c r="A472"/>
  <c r="B472" s="1"/>
  <c r="AA463"/>
  <c r="X463"/>
  <c r="A463"/>
  <c r="B463" s="1"/>
  <c r="AA462"/>
  <c r="X462"/>
  <c r="A462"/>
  <c r="AA461"/>
  <c r="X461"/>
  <c r="A461"/>
  <c r="AA460"/>
  <c r="X460"/>
  <c r="A460"/>
  <c r="I460" s="1"/>
  <c r="AA459"/>
  <c r="X459"/>
  <c r="A459"/>
  <c r="I459" s="1"/>
  <c r="AA458"/>
  <c r="X458"/>
  <c r="A458"/>
  <c r="H458" s="1"/>
  <c r="AA457"/>
  <c r="X457"/>
  <c r="A457"/>
  <c r="I457" s="1"/>
  <c r="AA455"/>
  <c r="X455"/>
  <c r="A455"/>
  <c r="I455" s="1"/>
  <c r="AA454"/>
  <c r="X454"/>
  <c r="A454"/>
  <c r="I454" s="1"/>
  <c r="AA453"/>
  <c r="X453"/>
  <c r="A453"/>
  <c r="AA452"/>
  <c r="X452"/>
  <c r="A452"/>
  <c r="I452" s="1"/>
  <c r="AA451"/>
  <c r="X451"/>
  <c r="A451"/>
  <c r="I451" s="1"/>
  <c r="AA450"/>
  <c r="X450"/>
  <c r="A450"/>
  <c r="I450" s="1"/>
  <c r="AA448"/>
  <c r="X448"/>
  <c r="A448"/>
  <c r="AA447"/>
  <c r="X447"/>
  <c r="A447"/>
  <c r="B447" s="1"/>
  <c r="AA446"/>
  <c r="X446"/>
  <c r="A446"/>
  <c r="W446" s="1"/>
  <c r="AA445"/>
  <c r="X445"/>
  <c r="A445"/>
  <c r="W445" s="1"/>
  <c r="AA409"/>
  <c r="X409"/>
  <c r="Y409" s="1"/>
  <c r="R409" s="1"/>
  <c r="T409"/>
  <c r="A409"/>
  <c r="G409" s="1"/>
  <c r="AA436"/>
  <c r="X436"/>
  <c r="A436"/>
  <c r="W436" s="1"/>
  <c r="AA435"/>
  <c r="X435"/>
  <c r="A435"/>
  <c r="I435" s="1"/>
  <c r="AA434"/>
  <c r="X434"/>
  <c r="A434"/>
  <c r="W434" s="1"/>
  <c r="AA433"/>
  <c r="X433"/>
  <c r="A433"/>
  <c r="H433" s="1"/>
  <c r="AA432"/>
  <c r="X432"/>
  <c r="A432"/>
  <c r="I432" s="1"/>
  <c r="AA431"/>
  <c r="X431"/>
  <c r="A431"/>
  <c r="H431" s="1"/>
  <c r="AA430"/>
  <c r="X430"/>
  <c r="A430"/>
  <c r="W430" s="1"/>
  <c r="AA429"/>
  <c r="X429"/>
  <c r="A429"/>
  <c r="H429" s="1"/>
  <c r="AA428"/>
  <c r="X428"/>
  <c r="A428"/>
  <c r="I428" s="1"/>
  <c r="AA427"/>
  <c r="X427"/>
  <c r="A427"/>
  <c r="B427" s="1"/>
  <c r="AA426"/>
  <c r="X426"/>
  <c r="A426"/>
  <c r="W426" s="1"/>
  <c r="AA424"/>
  <c r="X424"/>
  <c r="A424"/>
  <c r="I424" s="1"/>
  <c r="AA423"/>
  <c r="X423"/>
  <c r="A423"/>
  <c r="I423" s="1"/>
  <c r="AA422"/>
  <c r="X422"/>
  <c r="A422"/>
  <c r="I422" s="1"/>
  <c r="AA421"/>
  <c r="X421"/>
  <c r="A421"/>
  <c r="H421" s="1"/>
  <c r="AA420"/>
  <c r="X420"/>
  <c r="A420"/>
  <c r="I420" s="1"/>
  <c r="AA419"/>
  <c r="X419"/>
  <c r="A419"/>
  <c r="AA418"/>
  <c r="X418"/>
  <c r="A418"/>
  <c r="AA417"/>
  <c r="X417"/>
  <c r="A417"/>
  <c r="W417" s="1"/>
  <c r="AA416"/>
  <c r="X416"/>
  <c r="A416"/>
  <c r="AA415"/>
  <c r="X415"/>
  <c r="A415"/>
  <c r="AA414"/>
  <c r="X414"/>
  <c r="A414"/>
  <c r="AA413"/>
  <c r="X413"/>
  <c r="A413"/>
  <c r="AA412"/>
  <c r="X412"/>
  <c r="A412"/>
  <c r="I412" s="1"/>
  <c r="AA411"/>
  <c r="X411"/>
  <c r="A411"/>
  <c r="W411" s="1"/>
  <c r="I1115" l="1"/>
  <c r="W1115"/>
  <c r="B1115"/>
  <c r="H1115"/>
  <c r="I1160"/>
  <c r="W1160"/>
  <c r="B1160"/>
  <c r="H1160"/>
  <c r="H1011"/>
  <c r="I1180"/>
  <c r="W1180"/>
  <c r="B1180"/>
  <c r="H1180"/>
  <c r="I1011"/>
  <c r="W1011"/>
  <c r="I989"/>
  <c r="W989"/>
  <c r="B989"/>
  <c r="H989"/>
  <c r="B964"/>
  <c r="W964"/>
  <c r="I964"/>
  <c r="H964"/>
  <c r="W940"/>
  <c r="B940"/>
  <c r="I940"/>
  <c r="H940"/>
  <c r="B902"/>
  <c r="I921"/>
  <c r="W921"/>
  <c r="B921"/>
  <c r="H921"/>
  <c r="I902"/>
  <c r="W902"/>
  <c r="H545"/>
  <c r="B577"/>
  <c r="I577"/>
  <c r="W577"/>
  <c r="I545"/>
  <c r="W545"/>
  <c r="W512"/>
  <c r="B512"/>
  <c r="I512"/>
  <c r="H512"/>
  <c r="I405"/>
  <c r="B405"/>
  <c r="W405"/>
  <c r="H405"/>
  <c r="I383"/>
  <c r="W383"/>
  <c r="B383"/>
  <c r="H383"/>
  <c r="I358"/>
  <c r="W358"/>
  <c r="B358"/>
  <c r="H358"/>
  <c r="I333"/>
  <c r="W333"/>
  <c r="B333"/>
  <c r="H333"/>
  <c r="B276"/>
  <c r="I306"/>
  <c r="B306"/>
  <c r="W306"/>
  <c r="H306"/>
  <c r="I276"/>
  <c r="W276"/>
  <c r="I266"/>
  <c r="W266"/>
  <c r="B266"/>
  <c r="H266"/>
  <c r="W246"/>
  <c r="B246"/>
  <c r="I246"/>
  <c r="H246"/>
  <c r="H524"/>
  <c r="H144"/>
  <c r="H317"/>
  <c r="H777"/>
  <c r="H749"/>
  <c r="I222"/>
  <c r="W222"/>
  <c r="B222"/>
  <c r="H222"/>
  <c r="B195"/>
  <c r="B290"/>
  <c r="I317"/>
  <c r="W317"/>
  <c r="I290"/>
  <c r="W290"/>
  <c r="I777"/>
  <c r="W777"/>
  <c r="I749"/>
  <c r="W749"/>
  <c r="I556"/>
  <c r="W556"/>
  <c r="B556"/>
  <c r="H556"/>
  <c r="I524"/>
  <c r="W524"/>
  <c r="I195"/>
  <c r="W195"/>
  <c r="I144"/>
  <c r="W144"/>
  <c r="E472"/>
  <c r="E473" s="1"/>
  <c r="E474" s="1"/>
  <c r="E475" s="1"/>
  <c r="F472"/>
  <c r="F473" s="1"/>
  <c r="F474" s="1"/>
  <c r="F475" s="1"/>
  <c r="G472"/>
  <c r="G473" s="1"/>
  <c r="G474" s="1"/>
  <c r="G475" s="1"/>
  <c r="H472"/>
  <c r="W472"/>
  <c r="H473"/>
  <c r="W473"/>
  <c r="H474"/>
  <c r="W474"/>
  <c r="H475"/>
  <c r="W475"/>
  <c r="H477"/>
  <c r="W477"/>
  <c r="H478"/>
  <c r="W478"/>
  <c r="H479"/>
  <c r="W479"/>
  <c r="H480"/>
  <c r="W480"/>
  <c r="H481"/>
  <c r="W481"/>
  <c r="H482"/>
  <c r="W482"/>
  <c r="H484"/>
  <c r="W484"/>
  <c r="H485"/>
  <c r="W485"/>
  <c r="H486"/>
  <c r="W486"/>
  <c r="H487"/>
  <c r="W487"/>
  <c r="H488"/>
  <c r="W488"/>
  <c r="H489"/>
  <c r="W489"/>
  <c r="H490"/>
  <c r="I490"/>
  <c r="W490"/>
  <c r="I472"/>
  <c r="I473"/>
  <c r="I474"/>
  <c r="I475"/>
  <c r="I477"/>
  <c r="I478"/>
  <c r="I479"/>
  <c r="I480"/>
  <c r="I481"/>
  <c r="I482"/>
  <c r="I484"/>
  <c r="I485"/>
  <c r="I486"/>
  <c r="I487"/>
  <c r="I488"/>
  <c r="I489"/>
  <c r="H447"/>
  <c r="B450"/>
  <c r="B458"/>
  <c r="I447"/>
  <c r="H450"/>
  <c r="B445"/>
  <c r="B452"/>
  <c r="B460"/>
  <c r="H445"/>
  <c r="B446"/>
  <c r="H452"/>
  <c r="B454"/>
  <c r="H460"/>
  <c r="H446"/>
  <c r="H454"/>
  <c r="E445"/>
  <c r="E446" s="1"/>
  <c r="E447" s="1"/>
  <c r="E448" s="1"/>
  <c r="F445"/>
  <c r="F446" s="1"/>
  <c r="F447" s="1"/>
  <c r="F448" s="1"/>
  <c r="G445"/>
  <c r="G446" s="1"/>
  <c r="G447" s="1"/>
  <c r="G448" s="1"/>
  <c r="I448"/>
  <c r="H448"/>
  <c r="B448"/>
  <c r="W448"/>
  <c r="H461"/>
  <c r="I461"/>
  <c r="W461"/>
  <c r="I445"/>
  <c r="I446"/>
  <c r="W447"/>
  <c r="W452"/>
  <c r="B453"/>
  <c r="H453"/>
  <c r="B457"/>
  <c r="H457"/>
  <c r="I458"/>
  <c r="W460"/>
  <c r="B461"/>
  <c r="H463"/>
  <c r="I463"/>
  <c r="W463"/>
  <c r="W453"/>
  <c r="W451"/>
  <c r="I453"/>
  <c r="W455"/>
  <c r="W459"/>
  <c r="H462"/>
  <c r="I462"/>
  <c r="W462"/>
  <c r="W457"/>
  <c r="W450"/>
  <c r="B451"/>
  <c r="H451"/>
  <c r="W454"/>
  <c r="B455"/>
  <c r="H455"/>
  <c r="W458"/>
  <c r="B459"/>
  <c r="H459"/>
  <c r="B462"/>
  <c r="W422"/>
  <c r="B423"/>
  <c r="B431"/>
  <c r="H412"/>
  <c r="H427"/>
  <c r="W412"/>
  <c r="H423"/>
  <c r="I431"/>
  <c r="B433"/>
  <c r="I427"/>
  <c r="B429"/>
  <c r="B435"/>
  <c r="B421"/>
  <c r="H435"/>
  <c r="B411"/>
  <c r="H411"/>
  <c r="B412"/>
  <c r="I436"/>
  <c r="L409"/>
  <c r="E411"/>
  <c r="E412" s="1"/>
  <c r="E413" s="1"/>
  <c r="E414" s="1"/>
  <c r="E415" s="1"/>
  <c r="E416" s="1"/>
  <c r="E417" s="1"/>
  <c r="E418" s="1"/>
  <c r="E419" s="1"/>
  <c r="E420" s="1"/>
  <c r="E421" s="1"/>
  <c r="E422" s="1"/>
  <c r="E423" s="1"/>
  <c r="E424" s="1"/>
  <c r="F411"/>
  <c r="F412" s="1"/>
  <c r="F413" s="1"/>
  <c r="F414" s="1"/>
  <c r="F415" s="1"/>
  <c r="F416" s="1"/>
  <c r="F417" s="1"/>
  <c r="F418" s="1"/>
  <c r="F419" s="1"/>
  <c r="F420" s="1"/>
  <c r="F421" s="1"/>
  <c r="F422" s="1"/>
  <c r="F423" s="1"/>
  <c r="F424" s="1"/>
  <c r="G411"/>
  <c r="G412" s="1"/>
  <c r="G413" s="1"/>
  <c r="G414" s="1"/>
  <c r="G415" s="1"/>
  <c r="G416" s="1"/>
  <c r="G417" s="1"/>
  <c r="G418" s="1"/>
  <c r="G419" s="1"/>
  <c r="G420" s="1"/>
  <c r="G421" s="1"/>
  <c r="G422" s="1"/>
  <c r="G423" s="1"/>
  <c r="G424" s="1"/>
  <c r="D409"/>
  <c r="D410" s="1"/>
  <c r="P409"/>
  <c r="E409"/>
  <c r="F409"/>
  <c r="B414"/>
  <c r="W414"/>
  <c r="B416"/>
  <c r="W416"/>
  <c r="I417"/>
  <c r="B419"/>
  <c r="H419"/>
  <c r="I419"/>
  <c r="W419"/>
  <c r="I434"/>
  <c r="H434"/>
  <c r="B434"/>
  <c r="B413"/>
  <c r="W413"/>
  <c r="B415"/>
  <c r="W415"/>
  <c r="B417"/>
  <c r="H417"/>
  <c r="B418"/>
  <c r="H418"/>
  <c r="I418"/>
  <c r="W418"/>
  <c r="H420"/>
  <c r="B420"/>
  <c r="I411"/>
  <c r="H413"/>
  <c r="H414"/>
  <c r="H415"/>
  <c r="H416"/>
  <c r="I430"/>
  <c r="H430"/>
  <c r="B430"/>
  <c r="I413"/>
  <c r="I414"/>
  <c r="I415"/>
  <c r="I416"/>
  <c r="W420"/>
  <c r="H422"/>
  <c r="B422"/>
  <c r="I426"/>
  <c r="H426"/>
  <c r="B426"/>
  <c r="W421"/>
  <c r="W429"/>
  <c r="W433"/>
  <c r="W424"/>
  <c r="W428"/>
  <c r="W432"/>
  <c r="I421"/>
  <c r="W423"/>
  <c r="B424"/>
  <c r="H424"/>
  <c r="W427"/>
  <c r="B428"/>
  <c r="H428"/>
  <c r="I429"/>
  <c r="W431"/>
  <c r="B432"/>
  <c r="H432"/>
  <c r="I433"/>
  <c r="W435"/>
  <c r="B436"/>
  <c r="H436"/>
  <c r="AA204"/>
  <c r="X204"/>
  <c r="A204"/>
  <c r="AA1503"/>
  <c r="X1503"/>
  <c r="A1503"/>
  <c r="H1503" s="1"/>
  <c r="AA1501"/>
  <c r="X1501"/>
  <c r="A1501"/>
  <c r="I1501" s="1"/>
  <c r="AA1500"/>
  <c r="X1500"/>
  <c r="A1500"/>
  <c r="AA1499"/>
  <c r="X1499"/>
  <c r="A1499"/>
  <c r="AA1498"/>
  <c r="X1498"/>
  <c r="A1498"/>
  <c r="I1498" s="1"/>
  <c r="AA1497"/>
  <c r="X1497"/>
  <c r="A1497"/>
  <c r="I1497" s="1"/>
  <c r="AA1496"/>
  <c r="X1496"/>
  <c r="A1496"/>
  <c r="AA1495"/>
  <c r="X1495"/>
  <c r="A1495"/>
  <c r="AA1494"/>
  <c r="X1494"/>
  <c r="A1494"/>
  <c r="I1494" s="1"/>
  <c r="AA1493"/>
  <c r="X1493"/>
  <c r="A1493"/>
  <c r="I1493" s="1"/>
  <c r="AA1492"/>
  <c r="X1492"/>
  <c r="A1492"/>
  <c r="I1492" s="1"/>
  <c r="AA1491"/>
  <c r="X1491"/>
  <c r="A1491"/>
  <c r="G425" l="1"/>
  <c r="G426" s="1"/>
  <c r="G427" s="1"/>
  <c r="G428" s="1"/>
  <c r="G429" s="1"/>
  <c r="G430" s="1"/>
  <c r="G431" s="1"/>
  <c r="G432" s="1"/>
  <c r="G433" s="1"/>
  <c r="G434" s="1"/>
  <c r="G435" s="1"/>
  <c r="G436" s="1"/>
  <c r="F425"/>
  <c r="F426" s="1"/>
  <c r="F427" s="1"/>
  <c r="F428" s="1"/>
  <c r="F429" s="1"/>
  <c r="F430" s="1"/>
  <c r="F431" s="1"/>
  <c r="F432" s="1"/>
  <c r="F433" s="1"/>
  <c r="F434" s="1"/>
  <c r="F435" s="1"/>
  <c r="F436" s="1"/>
  <c r="E425"/>
  <c r="E426" s="1"/>
  <c r="E427" s="1"/>
  <c r="E428" s="1"/>
  <c r="E429" s="1"/>
  <c r="E430" s="1"/>
  <c r="E431" s="1"/>
  <c r="E432" s="1"/>
  <c r="E433" s="1"/>
  <c r="E434" s="1"/>
  <c r="E435" s="1"/>
  <c r="E436" s="1"/>
  <c r="E476"/>
  <c r="E477" s="1"/>
  <c r="E478" s="1"/>
  <c r="E479" s="1"/>
  <c r="E480" s="1"/>
  <c r="E481" s="1"/>
  <c r="E482" s="1"/>
  <c r="G476"/>
  <c r="G477" s="1"/>
  <c r="G478" s="1"/>
  <c r="G479" s="1"/>
  <c r="G480" s="1"/>
  <c r="G481" s="1"/>
  <c r="G482" s="1"/>
  <c r="F476"/>
  <c r="F477" s="1"/>
  <c r="F478" s="1"/>
  <c r="F479" s="1"/>
  <c r="F480" s="1"/>
  <c r="F481" s="1"/>
  <c r="F482" s="1"/>
  <c r="G449"/>
  <c r="G450" s="1"/>
  <c r="G451" s="1"/>
  <c r="G452" s="1"/>
  <c r="G453" s="1"/>
  <c r="G454" s="1"/>
  <c r="G455" s="1"/>
  <c r="F449"/>
  <c r="F450" s="1"/>
  <c r="F451" s="1"/>
  <c r="F452" s="1"/>
  <c r="F453" s="1"/>
  <c r="F454" s="1"/>
  <c r="F455" s="1"/>
  <c r="E449"/>
  <c r="E450" s="1"/>
  <c r="E451" s="1"/>
  <c r="E452" s="1"/>
  <c r="E453" s="1"/>
  <c r="E454" s="1"/>
  <c r="E455" s="1"/>
  <c r="H1497"/>
  <c r="B1494"/>
  <c r="D411"/>
  <c r="H1494"/>
  <c r="B1497"/>
  <c r="I204"/>
  <c r="W204"/>
  <c r="B204"/>
  <c r="H204"/>
  <c r="B1493"/>
  <c r="B1498"/>
  <c r="B1501"/>
  <c r="H1493"/>
  <c r="H1498"/>
  <c r="H1501"/>
  <c r="W1491"/>
  <c r="B1492"/>
  <c r="H1492"/>
  <c r="B1500"/>
  <c r="W1496"/>
  <c r="W1500"/>
  <c r="W1495"/>
  <c r="B1503"/>
  <c r="I1503"/>
  <c r="W1503"/>
  <c r="B1491"/>
  <c r="H1491"/>
  <c r="W1494"/>
  <c r="B1495"/>
  <c r="H1495"/>
  <c r="I1496"/>
  <c r="W1498"/>
  <c r="B1499"/>
  <c r="H1499"/>
  <c r="I1500"/>
  <c r="W1492"/>
  <c r="B1496"/>
  <c r="H1496"/>
  <c r="W1499"/>
  <c r="H1500"/>
  <c r="I1491"/>
  <c r="W1493"/>
  <c r="I1495"/>
  <c r="W1497"/>
  <c r="I1499"/>
  <c r="W1501"/>
  <c r="AA1412"/>
  <c r="X1412"/>
  <c r="A1412"/>
  <c r="I1412" s="1"/>
  <c r="AA1411"/>
  <c r="X1411"/>
  <c r="A1411"/>
  <c r="I1411" s="1"/>
  <c r="AA1410"/>
  <c r="X1410"/>
  <c r="A1410"/>
  <c r="AA1409"/>
  <c r="X1409"/>
  <c r="A1409"/>
  <c r="H1409" s="1"/>
  <c r="AA1407"/>
  <c r="X1407"/>
  <c r="A1407"/>
  <c r="AA1405"/>
  <c r="X1405"/>
  <c r="A1405"/>
  <c r="AA1404"/>
  <c r="X1404"/>
  <c r="A1404"/>
  <c r="H1404" s="1"/>
  <c r="AA1403"/>
  <c r="X1403"/>
  <c r="A1403"/>
  <c r="I1403" s="1"/>
  <c r="AA1402"/>
  <c r="X1402"/>
  <c r="A1402"/>
  <c r="I1402" s="1"/>
  <c r="AA1401"/>
  <c r="X1401"/>
  <c r="A1401"/>
  <c r="AA1400"/>
  <c r="X1400"/>
  <c r="A1400"/>
  <c r="H1400" s="1"/>
  <c r="AA1399"/>
  <c r="X1399"/>
  <c r="A1399"/>
  <c r="I1399" s="1"/>
  <c r="AA1398"/>
  <c r="X1398"/>
  <c r="A1398"/>
  <c r="I1398" s="1"/>
  <c r="AA1397"/>
  <c r="X1397"/>
  <c r="A1397"/>
  <c r="I1397" s="1"/>
  <c r="AA1396"/>
  <c r="X1396"/>
  <c r="A1396"/>
  <c r="H1396" s="1"/>
  <c r="AA1395"/>
  <c r="X1395"/>
  <c r="A1395"/>
  <c r="H1395" s="1"/>
  <c r="AA1343"/>
  <c r="X1343"/>
  <c r="A1343"/>
  <c r="AA1342"/>
  <c r="X1342"/>
  <c r="A1342"/>
  <c r="I1342" s="1"/>
  <c r="AA1341"/>
  <c r="X1341"/>
  <c r="A1341"/>
  <c r="AA1340"/>
  <c r="X1340"/>
  <c r="A1340"/>
  <c r="AA1338"/>
  <c r="X1338"/>
  <c r="A1338"/>
  <c r="H1338" s="1"/>
  <c r="AA1337"/>
  <c r="X1337"/>
  <c r="A1337"/>
  <c r="AA1335"/>
  <c r="X1335"/>
  <c r="A1335"/>
  <c r="AA1334"/>
  <c r="X1334"/>
  <c r="A1334"/>
  <c r="I1334" s="1"/>
  <c r="AA1333"/>
  <c r="X1333"/>
  <c r="A1333"/>
  <c r="I1333" s="1"/>
  <c r="AA1332"/>
  <c r="X1332"/>
  <c r="A1332"/>
  <c r="AA1331"/>
  <c r="X1331"/>
  <c r="A1331"/>
  <c r="AA1330"/>
  <c r="X1330"/>
  <c r="A1330"/>
  <c r="I1330" s="1"/>
  <c r="AA1329"/>
  <c r="X1329"/>
  <c r="A1329"/>
  <c r="I1329" s="1"/>
  <c r="AA1328"/>
  <c r="X1328"/>
  <c r="A1328"/>
  <c r="I1328" s="1"/>
  <c r="AA1327"/>
  <c r="X1327"/>
  <c r="A1327"/>
  <c r="AA1326"/>
  <c r="X1326"/>
  <c r="A1326"/>
  <c r="H1326" s="1"/>
  <c r="AA1325"/>
  <c r="X1325"/>
  <c r="A1325"/>
  <c r="H1325" s="1"/>
  <c r="AA1276"/>
  <c r="X1276"/>
  <c r="A1276"/>
  <c r="AA1275"/>
  <c r="X1275"/>
  <c r="A1275"/>
  <c r="AA1274"/>
  <c r="X1274"/>
  <c r="A1274"/>
  <c r="AA1272"/>
  <c r="X1272"/>
  <c r="A1272"/>
  <c r="AA1271"/>
  <c r="X1271"/>
  <c r="A1271"/>
  <c r="AA1270"/>
  <c r="X1270"/>
  <c r="A1270"/>
  <c r="I1270" s="1"/>
  <c r="AA1268"/>
  <c r="X1268"/>
  <c r="A1268"/>
  <c r="I1268" s="1"/>
  <c r="AA1267"/>
  <c r="X1267"/>
  <c r="A1267"/>
  <c r="AA1266"/>
  <c r="X1266"/>
  <c r="A1266"/>
  <c r="I1266" s="1"/>
  <c r="AA1265"/>
  <c r="X1265"/>
  <c r="A1265"/>
  <c r="I1265" s="1"/>
  <c r="AA1264"/>
  <c r="X1264"/>
  <c r="A1264"/>
  <c r="H1264" s="1"/>
  <c r="AA1263"/>
  <c r="X1263"/>
  <c r="A1263"/>
  <c r="AA1262"/>
  <c r="X1262"/>
  <c r="A1262"/>
  <c r="I1262" s="1"/>
  <c r="AA1261"/>
  <c r="X1261"/>
  <c r="A1261"/>
  <c r="I1261" s="1"/>
  <c r="AA1260"/>
  <c r="X1260"/>
  <c r="A1260"/>
  <c r="I1260" s="1"/>
  <c r="AA1259"/>
  <c r="X1259"/>
  <c r="A1259"/>
  <c r="AA1258"/>
  <c r="X1258"/>
  <c r="A1258"/>
  <c r="AA1184"/>
  <c r="X1184"/>
  <c r="A1184"/>
  <c r="AA1183"/>
  <c r="X1183"/>
  <c r="A1183"/>
  <c r="I1183" s="1"/>
  <c r="AA1182"/>
  <c r="X1182"/>
  <c r="A1182"/>
  <c r="H1182" s="1"/>
  <c r="AA1181"/>
  <c r="X1181"/>
  <c r="A1181"/>
  <c r="H1181" s="1"/>
  <c r="AA1179"/>
  <c r="X1179"/>
  <c r="A1179"/>
  <c r="AA1178"/>
  <c r="X1178"/>
  <c r="A1178"/>
  <c r="I1178" s="1"/>
  <c r="AA1176"/>
  <c r="X1176"/>
  <c r="A1176"/>
  <c r="I1176" s="1"/>
  <c r="AA1175"/>
  <c r="X1175"/>
  <c r="A1175"/>
  <c r="AA1174"/>
  <c r="X1174"/>
  <c r="A1174"/>
  <c r="I1174" s="1"/>
  <c r="AA1173"/>
  <c r="X1173"/>
  <c r="A1173"/>
  <c r="I1173" s="1"/>
  <c r="AA1172"/>
  <c r="X1172"/>
  <c r="A1172"/>
  <c r="AA1171"/>
  <c r="X1171"/>
  <c r="A1171"/>
  <c r="W1171" s="1"/>
  <c r="AA1170"/>
  <c r="X1170"/>
  <c r="A1170"/>
  <c r="I1170" s="1"/>
  <c r="AA1169"/>
  <c r="X1169"/>
  <c r="A1169"/>
  <c r="I1169" s="1"/>
  <c r="AA1168"/>
  <c r="X1168"/>
  <c r="A1168"/>
  <c r="W1168" s="1"/>
  <c r="AA1167"/>
  <c r="X1167"/>
  <c r="A1167"/>
  <c r="I1167" s="1"/>
  <c r="AA1166"/>
  <c r="X1166"/>
  <c r="A1166"/>
  <c r="AA1093"/>
  <c r="X1093"/>
  <c r="A1093"/>
  <c r="AA1092"/>
  <c r="X1092"/>
  <c r="A1092"/>
  <c r="AA1091"/>
  <c r="X1091"/>
  <c r="A1091"/>
  <c r="I1091" s="1"/>
  <c r="AA1090"/>
  <c r="X1090"/>
  <c r="A1090"/>
  <c r="I1090" s="1"/>
  <c r="AA1089"/>
  <c r="X1089"/>
  <c r="A1089"/>
  <c r="AA1087"/>
  <c r="X1087"/>
  <c r="A1087"/>
  <c r="I1087" s="1"/>
  <c r="AA1086"/>
  <c r="X1086"/>
  <c r="A1086"/>
  <c r="I1086" s="1"/>
  <c r="AA1085"/>
  <c r="X1085"/>
  <c r="A1085"/>
  <c r="I1085" s="1"/>
  <c r="AA1084"/>
  <c r="X1084"/>
  <c r="A1084"/>
  <c r="AA1083"/>
  <c r="X1083"/>
  <c r="A1083"/>
  <c r="I1083" s="1"/>
  <c r="AA1082"/>
  <c r="X1082"/>
  <c r="A1082"/>
  <c r="I1082" s="1"/>
  <c r="AA1081"/>
  <c r="X1081"/>
  <c r="A1081"/>
  <c r="AA1080"/>
  <c r="X1080"/>
  <c r="A1080"/>
  <c r="H1080" s="1"/>
  <c r="AA1079"/>
  <c r="X1079"/>
  <c r="A1079"/>
  <c r="H1079" s="1"/>
  <c r="AA1078"/>
  <c r="X1078"/>
  <c r="A1078"/>
  <c r="AA1014"/>
  <c r="X1014"/>
  <c r="A1014"/>
  <c r="AA1013"/>
  <c r="X1013"/>
  <c r="A1013"/>
  <c r="H1013" s="1"/>
  <c r="AA1012"/>
  <c r="X1012"/>
  <c r="A1012"/>
  <c r="H1012" s="1"/>
  <c r="AA1010"/>
  <c r="X1010"/>
  <c r="A1010"/>
  <c r="H1010" s="1"/>
  <c r="AA1009"/>
  <c r="X1009"/>
  <c r="A1009"/>
  <c r="I1009" s="1"/>
  <c r="AA1007"/>
  <c r="X1007"/>
  <c r="A1007"/>
  <c r="W1007" s="1"/>
  <c r="AA1006"/>
  <c r="X1006"/>
  <c r="A1006"/>
  <c r="AA1005"/>
  <c r="X1005"/>
  <c r="A1005"/>
  <c r="I1005" s="1"/>
  <c r="AA1004"/>
  <c r="X1004"/>
  <c r="A1004"/>
  <c r="I1004" s="1"/>
  <c r="AA1003"/>
  <c r="X1003"/>
  <c r="A1003"/>
  <c r="W1003" s="1"/>
  <c r="AA1002"/>
  <c r="X1002"/>
  <c r="A1002"/>
  <c r="AA1001"/>
  <c r="X1001"/>
  <c r="A1001"/>
  <c r="I1001" s="1"/>
  <c r="AA1000"/>
  <c r="X1000"/>
  <c r="A1000"/>
  <c r="I1000" s="1"/>
  <c r="AA999"/>
  <c r="X999"/>
  <c r="A999"/>
  <c r="AA998"/>
  <c r="X998"/>
  <c r="A998"/>
  <c r="AA997"/>
  <c r="X997"/>
  <c r="A997"/>
  <c r="H997" s="1"/>
  <c r="E483" l="1"/>
  <c r="E484" s="1"/>
  <c r="E485" s="1"/>
  <c r="E486" s="1"/>
  <c r="E487" s="1"/>
  <c r="E488" s="1"/>
  <c r="E489" s="1"/>
  <c r="E490" s="1"/>
  <c r="F483"/>
  <c r="F484" s="1"/>
  <c r="F485" s="1"/>
  <c r="F486" s="1"/>
  <c r="F487" s="1"/>
  <c r="F488" s="1"/>
  <c r="F489" s="1"/>
  <c r="F490" s="1"/>
  <c r="G483"/>
  <c r="G484" s="1"/>
  <c r="G485" s="1"/>
  <c r="G486" s="1"/>
  <c r="G487" s="1"/>
  <c r="G488" s="1"/>
  <c r="G489" s="1"/>
  <c r="G490" s="1"/>
  <c r="F456"/>
  <c r="F457" s="1"/>
  <c r="F458" s="1"/>
  <c r="F459" s="1"/>
  <c r="F460" s="1"/>
  <c r="F461" s="1"/>
  <c r="F462" s="1"/>
  <c r="F463" s="1"/>
  <c r="G456"/>
  <c r="G457" s="1"/>
  <c r="G458" s="1"/>
  <c r="G459" s="1"/>
  <c r="G460" s="1"/>
  <c r="G461" s="1"/>
  <c r="G462" s="1"/>
  <c r="G463" s="1"/>
  <c r="E456"/>
  <c r="E457" s="1"/>
  <c r="E458" s="1"/>
  <c r="E459" s="1"/>
  <c r="E460" s="1"/>
  <c r="E461" s="1"/>
  <c r="E462" s="1"/>
  <c r="E463" s="1"/>
  <c r="D412"/>
  <c r="B1395"/>
  <c r="B1396"/>
  <c r="B1398"/>
  <c r="B1402"/>
  <c r="H1398"/>
  <c r="B1400"/>
  <c r="H1402"/>
  <c r="B1404"/>
  <c r="W1397"/>
  <c r="W1401"/>
  <c r="H1410"/>
  <c r="B1410"/>
  <c r="I1395"/>
  <c r="W1395"/>
  <c r="W1396"/>
  <c r="B1397"/>
  <c r="H1397"/>
  <c r="W1400"/>
  <c r="B1401"/>
  <c r="H1401"/>
  <c r="W1404"/>
  <c r="H1407"/>
  <c r="B1409"/>
  <c r="I1409"/>
  <c r="W1409"/>
  <c r="B1405"/>
  <c r="I1405"/>
  <c r="W1405"/>
  <c r="W1399"/>
  <c r="I1401"/>
  <c r="W1403"/>
  <c r="B1407"/>
  <c r="I1407"/>
  <c r="W1407"/>
  <c r="I1410"/>
  <c r="H1412"/>
  <c r="B1412"/>
  <c r="W1412"/>
  <c r="W1410"/>
  <c r="I1396"/>
  <c r="W1398"/>
  <c r="B1399"/>
  <c r="H1399"/>
  <c r="I1400"/>
  <c r="W1402"/>
  <c r="B1403"/>
  <c r="H1403"/>
  <c r="I1404"/>
  <c r="H1405"/>
  <c r="H1411"/>
  <c r="B1411"/>
  <c r="W1411"/>
  <c r="E1395"/>
  <c r="E1396" s="1"/>
  <c r="E1397" s="1"/>
  <c r="E1398" s="1"/>
  <c r="E1399" s="1"/>
  <c r="E1400" s="1"/>
  <c r="E1401" s="1"/>
  <c r="E1402" s="1"/>
  <c r="E1403" s="1"/>
  <c r="E1404" s="1"/>
  <c r="E1405" s="1"/>
  <c r="F1395"/>
  <c r="F1396" s="1"/>
  <c r="F1397" s="1"/>
  <c r="F1398" s="1"/>
  <c r="F1399" s="1"/>
  <c r="F1400" s="1"/>
  <c r="F1401" s="1"/>
  <c r="F1402" s="1"/>
  <c r="F1403" s="1"/>
  <c r="F1404" s="1"/>
  <c r="F1405" s="1"/>
  <c r="G1395"/>
  <c r="G1396" s="1"/>
  <c r="G1397" s="1"/>
  <c r="G1398" s="1"/>
  <c r="G1399" s="1"/>
  <c r="G1400" s="1"/>
  <c r="G1401" s="1"/>
  <c r="G1402" s="1"/>
  <c r="G1403" s="1"/>
  <c r="G1404" s="1"/>
  <c r="G1405" s="1"/>
  <c r="H1333"/>
  <c r="B1333"/>
  <c r="B1330"/>
  <c r="H1330"/>
  <c r="B1265"/>
  <c r="B1329"/>
  <c r="B1334"/>
  <c r="H1329"/>
  <c r="H1334"/>
  <c r="I1325"/>
  <c r="W1325"/>
  <c r="I1326"/>
  <c r="W1326"/>
  <c r="W1327"/>
  <c r="B1328"/>
  <c r="H1328"/>
  <c r="W1331"/>
  <c r="B1332"/>
  <c r="H1332"/>
  <c r="W1335"/>
  <c r="H1340"/>
  <c r="B1340"/>
  <c r="W1340"/>
  <c r="H1343"/>
  <c r="B1343"/>
  <c r="W1343"/>
  <c r="W1332"/>
  <c r="H1341"/>
  <c r="B1341"/>
  <c r="W1341"/>
  <c r="B1325"/>
  <c r="B1326"/>
  <c r="B1327"/>
  <c r="H1327"/>
  <c r="W1330"/>
  <c r="B1331"/>
  <c r="H1331"/>
  <c r="I1332"/>
  <c r="W1334"/>
  <c r="B1335"/>
  <c r="H1335"/>
  <c r="H1337"/>
  <c r="B1338"/>
  <c r="I1338"/>
  <c r="W1338"/>
  <c r="I1341"/>
  <c r="W1328"/>
  <c r="I1327"/>
  <c r="W1329"/>
  <c r="I1331"/>
  <c r="W1333"/>
  <c r="I1335"/>
  <c r="B1337"/>
  <c r="I1337"/>
  <c r="W1337"/>
  <c r="I1340"/>
  <c r="H1342"/>
  <c r="B1342"/>
  <c r="W1342"/>
  <c r="I1343"/>
  <c r="E1325"/>
  <c r="E1326" s="1"/>
  <c r="E1327" s="1"/>
  <c r="E1328" s="1"/>
  <c r="E1329" s="1"/>
  <c r="E1330" s="1"/>
  <c r="E1331" s="1"/>
  <c r="E1332" s="1"/>
  <c r="E1333" s="1"/>
  <c r="E1334" s="1"/>
  <c r="E1335" s="1"/>
  <c r="F1325"/>
  <c r="F1326" s="1"/>
  <c r="F1327" s="1"/>
  <c r="F1328" s="1"/>
  <c r="F1329" s="1"/>
  <c r="F1330" s="1"/>
  <c r="F1331" s="1"/>
  <c r="F1332" s="1"/>
  <c r="F1333" s="1"/>
  <c r="F1334" s="1"/>
  <c r="F1335" s="1"/>
  <c r="G1325"/>
  <c r="G1326" s="1"/>
  <c r="G1327" s="1"/>
  <c r="G1328" s="1"/>
  <c r="G1329" s="1"/>
  <c r="G1330" s="1"/>
  <c r="G1331" s="1"/>
  <c r="G1332" s="1"/>
  <c r="G1333" s="1"/>
  <c r="G1334" s="1"/>
  <c r="G1335" s="1"/>
  <c r="B1261"/>
  <c r="H1261"/>
  <c r="H1265"/>
  <c r="I1259"/>
  <c r="W1259"/>
  <c r="W1260"/>
  <c r="H1272"/>
  <c r="B1258"/>
  <c r="B1259"/>
  <c r="B1260"/>
  <c r="H1260"/>
  <c r="W1263"/>
  <c r="B1264"/>
  <c r="W1267"/>
  <c r="B1268"/>
  <c r="H1268"/>
  <c r="W1271"/>
  <c r="B1272"/>
  <c r="I1272"/>
  <c r="W1272"/>
  <c r="H1276"/>
  <c r="B1276"/>
  <c r="W1276"/>
  <c r="W1262"/>
  <c r="B1263"/>
  <c r="H1263"/>
  <c r="I1264"/>
  <c r="W1266"/>
  <c r="B1267"/>
  <c r="H1267"/>
  <c r="W1270"/>
  <c r="B1271"/>
  <c r="H1271"/>
  <c r="H1275"/>
  <c r="I1258"/>
  <c r="W1258"/>
  <c r="W1264"/>
  <c r="W1268"/>
  <c r="B1274"/>
  <c r="I1274"/>
  <c r="W1274"/>
  <c r="H1258"/>
  <c r="H1259"/>
  <c r="W1261"/>
  <c r="B1262"/>
  <c r="H1262"/>
  <c r="I1263"/>
  <c r="W1265"/>
  <c r="B1266"/>
  <c r="H1266"/>
  <c r="I1267"/>
  <c r="B1270"/>
  <c r="H1270"/>
  <c r="I1271"/>
  <c r="H1274"/>
  <c r="B1275"/>
  <c r="I1275"/>
  <c r="W1275"/>
  <c r="I1276"/>
  <c r="E1258"/>
  <c r="E1259" s="1"/>
  <c r="E1260" s="1"/>
  <c r="E1261" s="1"/>
  <c r="E1262" s="1"/>
  <c r="E1263" s="1"/>
  <c r="E1264" s="1"/>
  <c r="E1265" s="1"/>
  <c r="E1266" s="1"/>
  <c r="E1267" s="1"/>
  <c r="E1268" s="1"/>
  <c r="F1258"/>
  <c r="F1259" s="1"/>
  <c r="F1260" s="1"/>
  <c r="F1261" s="1"/>
  <c r="F1262" s="1"/>
  <c r="F1263" s="1"/>
  <c r="F1264" s="1"/>
  <c r="F1265" s="1"/>
  <c r="F1266" s="1"/>
  <c r="F1267" s="1"/>
  <c r="F1268" s="1"/>
  <c r="G1258"/>
  <c r="G1259" s="1"/>
  <c r="G1260" s="1"/>
  <c r="G1261" s="1"/>
  <c r="G1262" s="1"/>
  <c r="G1263" s="1"/>
  <c r="G1264" s="1"/>
  <c r="G1265" s="1"/>
  <c r="G1266" s="1"/>
  <c r="G1267" s="1"/>
  <c r="G1268" s="1"/>
  <c r="E1186"/>
  <c r="F1186"/>
  <c r="G1186"/>
  <c r="B1169"/>
  <c r="B1173"/>
  <c r="H1169"/>
  <c r="H1173"/>
  <c r="W1166"/>
  <c r="B1168"/>
  <c r="I1168"/>
  <c r="H1168"/>
  <c r="H1166"/>
  <c r="B1166"/>
  <c r="I1166"/>
  <c r="H1167"/>
  <c r="B1167"/>
  <c r="W1167"/>
  <c r="W1172"/>
  <c r="W1176"/>
  <c r="H1172"/>
  <c r="W1179"/>
  <c r="H1183"/>
  <c r="B1183"/>
  <c r="H1184"/>
  <c r="B1184"/>
  <c r="W1184"/>
  <c r="B1172"/>
  <c r="W1170"/>
  <c r="B1171"/>
  <c r="H1171"/>
  <c r="I1172"/>
  <c r="W1174"/>
  <c r="B1175"/>
  <c r="H1175"/>
  <c r="W1178"/>
  <c r="B1179"/>
  <c r="H1179"/>
  <c r="B1182"/>
  <c r="I1182"/>
  <c r="W1182"/>
  <c r="W1183"/>
  <c r="W1175"/>
  <c r="B1176"/>
  <c r="H1176"/>
  <c r="W1169"/>
  <c r="B1170"/>
  <c r="H1170"/>
  <c r="I1171"/>
  <c r="W1173"/>
  <c r="B1174"/>
  <c r="H1174"/>
  <c r="I1175"/>
  <c r="B1178"/>
  <c r="H1178"/>
  <c r="I1179"/>
  <c r="B1181"/>
  <c r="I1181"/>
  <c r="W1181"/>
  <c r="I1184"/>
  <c r="I1081"/>
  <c r="W1081"/>
  <c r="H1089"/>
  <c r="B1089"/>
  <c r="B1080"/>
  <c r="I1080"/>
  <c r="W1080"/>
  <c r="H1078"/>
  <c r="B1079"/>
  <c r="I1079"/>
  <c r="W1079"/>
  <c r="H1083"/>
  <c r="B1083"/>
  <c r="W1083"/>
  <c r="H1087"/>
  <c r="B1087"/>
  <c r="W1087"/>
  <c r="I1089"/>
  <c r="H1091"/>
  <c r="B1091"/>
  <c r="W1091"/>
  <c r="B1081"/>
  <c r="H1085"/>
  <c r="B1085"/>
  <c r="W1085"/>
  <c r="W1089"/>
  <c r="H1084"/>
  <c r="B1084"/>
  <c r="W1084"/>
  <c r="H1092"/>
  <c r="W1092"/>
  <c r="I1092"/>
  <c r="B1092"/>
  <c r="B1078"/>
  <c r="I1078"/>
  <c r="W1078"/>
  <c r="H1081"/>
  <c r="H1082"/>
  <c r="B1082"/>
  <c r="W1082"/>
  <c r="I1084"/>
  <c r="H1086"/>
  <c r="B1086"/>
  <c r="W1086"/>
  <c r="H1090"/>
  <c r="B1090"/>
  <c r="W1090"/>
  <c r="I1093"/>
  <c r="B1093"/>
  <c r="W1093"/>
  <c r="H1093"/>
  <c r="B1000"/>
  <c r="H1000"/>
  <c r="B1004"/>
  <c r="H1004"/>
  <c r="E997"/>
  <c r="E998" s="1"/>
  <c r="E999" s="1"/>
  <c r="E1000" s="1"/>
  <c r="E1001" s="1"/>
  <c r="E1002" s="1"/>
  <c r="E1003" s="1"/>
  <c r="E1004" s="1"/>
  <c r="E1005" s="1"/>
  <c r="E1006" s="1"/>
  <c r="E1007" s="1"/>
  <c r="G997"/>
  <c r="G998" s="1"/>
  <c r="G999" s="1"/>
  <c r="G1000" s="1"/>
  <c r="G1001" s="1"/>
  <c r="G1002" s="1"/>
  <c r="G1003" s="1"/>
  <c r="G1004" s="1"/>
  <c r="G1005" s="1"/>
  <c r="G1006" s="1"/>
  <c r="G1007" s="1"/>
  <c r="W997"/>
  <c r="B997"/>
  <c r="I997"/>
  <c r="I1003"/>
  <c r="H1003"/>
  <c r="B1003"/>
  <c r="I1007"/>
  <c r="H1007"/>
  <c r="B1007"/>
  <c r="H999"/>
  <c r="B999"/>
  <c r="I999"/>
  <c r="W999"/>
  <c r="W1002"/>
  <c r="W1006"/>
  <c r="H1014"/>
  <c r="B1014"/>
  <c r="W1001"/>
  <c r="B1002"/>
  <c r="H1002"/>
  <c r="W1005"/>
  <c r="B1006"/>
  <c r="H1006"/>
  <c r="W1009"/>
  <c r="B1010"/>
  <c r="B1013"/>
  <c r="I1013"/>
  <c r="W1013"/>
  <c r="W998"/>
  <c r="W1010"/>
  <c r="W1014"/>
  <c r="B998"/>
  <c r="H998"/>
  <c r="I998"/>
  <c r="W1000"/>
  <c r="B1001"/>
  <c r="H1001"/>
  <c r="I1002"/>
  <c r="W1004"/>
  <c r="B1005"/>
  <c r="H1005"/>
  <c r="I1006"/>
  <c r="B1009"/>
  <c r="H1009"/>
  <c r="I1010"/>
  <c r="B1012"/>
  <c r="I1012"/>
  <c r="W1012"/>
  <c r="I1014"/>
  <c r="AA943"/>
  <c r="X943"/>
  <c r="A943"/>
  <c r="AA942"/>
  <c r="X942"/>
  <c r="A942"/>
  <c r="I942" s="1"/>
  <c r="AA941"/>
  <c r="X941"/>
  <c r="A941"/>
  <c r="I941" s="1"/>
  <c r="AA939"/>
  <c r="X939"/>
  <c r="A939"/>
  <c r="H939" s="1"/>
  <c r="AA938"/>
  <c r="X938"/>
  <c r="A938"/>
  <c r="H938" s="1"/>
  <c r="AA936"/>
  <c r="X936"/>
  <c r="A936"/>
  <c r="AA935"/>
  <c r="X935"/>
  <c r="A935"/>
  <c r="H935" s="1"/>
  <c r="AA934"/>
  <c r="X934"/>
  <c r="A934"/>
  <c r="I934" s="1"/>
  <c r="AA933"/>
  <c r="X933"/>
  <c r="A933"/>
  <c r="I933" s="1"/>
  <c r="AA932"/>
  <c r="X932"/>
  <c r="A932"/>
  <c r="I932" s="1"/>
  <c r="AA931"/>
  <c r="X931"/>
  <c r="A931"/>
  <c r="AA930"/>
  <c r="X930"/>
  <c r="A930"/>
  <c r="I930" s="1"/>
  <c r="AA929"/>
  <c r="X929"/>
  <c r="A929"/>
  <c r="I929" s="1"/>
  <c r="AA928"/>
  <c r="X928"/>
  <c r="A928"/>
  <c r="H928" s="1"/>
  <c r="AA927"/>
  <c r="X927"/>
  <c r="A927"/>
  <c r="AA926"/>
  <c r="X926"/>
  <c r="A926"/>
  <c r="H926" s="1"/>
  <c r="AA881"/>
  <c r="X881"/>
  <c r="A881"/>
  <c r="AA880"/>
  <c r="X880"/>
  <c r="A880"/>
  <c r="I880" s="1"/>
  <c r="AA879"/>
  <c r="X879"/>
  <c r="A879"/>
  <c r="AA878"/>
  <c r="X878"/>
  <c r="A878"/>
  <c r="H878" s="1"/>
  <c r="AA877"/>
  <c r="X877"/>
  <c r="A877"/>
  <c r="H877" s="1"/>
  <c r="AA876"/>
  <c r="X876"/>
  <c r="A876"/>
  <c r="AA875"/>
  <c r="X875"/>
  <c r="A875"/>
  <c r="AA873"/>
  <c r="X873"/>
  <c r="A873"/>
  <c r="I873" s="1"/>
  <c r="AA872"/>
  <c r="X872"/>
  <c r="A872"/>
  <c r="I872" s="1"/>
  <c r="AA871"/>
  <c r="X871"/>
  <c r="A871"/>
  <c r="AA870"/>
  <c r="X870"/>
  <c r="A870"/>
  <c r="AA869"/>
  <c r="X869"/>
  <c r="A869"/>
  <c r="I869" s="1"/>
  <c r="AA868"/>
  <c r="X868"/>
  <c r="A868"/>
  <c r="I868" s="1"/>
  <c r="AA867"/>
  <c r="X867"/>
  <c r="A867"/>
  <c r="AA866"/>
  <c r="X866"/>
  <c r="A866"/>
  <c r="AA865"/>
  <c r="X865"/>
  <c r="A865"/>
  <c r="H865" s="1"/>
  <c r="AA864"/>
  <c r="X864"/>
  <c r="A864"/>
  <c r="H864" s="1"/>
  <c r="AA863"/>
  <c r="X863"/>
  <c r="A863"/>
  <c r="H863" s="1"/>
  <c r="AA862"/>
  <c r="X862"/>
  <c r="A862"/>
  <c r="H862" s="1"/>
  <c r="AA861"/>
  <c r="X861"/>
  <c r="A861"/>
  <c r="H861" s="1"/>
  <c r="AA860"/>
  <c r="X860"/>
  <c r="A860"/>
  <c r="H860" s="1"/>
  <c r="AA859"/>
  <c r="X859"/>
  <c r="A859"/>
  <c r="H859" s="1"/>
  <c r="AA798"/>
  <c r="X798"/>
  <c r="A798"/>
  <c r="AA796"/>
  <c r="X796"/>
  <c r="A796"/>
  <c r="I796" s="1"/>
  <c r="AA795"/>
  <c r="X795"/>
  <c r="A795"/>
  <c r="AA794"/>
  <c r="X794"/>
  <c r="A794"/>
  <c r="H794" s="1"/>
  <c r="AA792"/>
  <c r="X792"/>
  <c r="A792"/>
  <c r="H792" s="1"/>
  <c r="AA791"/>
  <c r="X791"/>
  <c r="A791"/>
  <c r="W791" s="1"/>
  <c r="AA790"/>
  <c r="X790"/>
  <c r="A790"/>
  <c r="AA789"/>
  <c r="X789"/>
  <c r="A789"/>
  <c r="AA788"/>
  <c r="X788"/>
  <c r="A788"/>
  <c r="I788" s="1"/>
  <c r="AA787"/>
  <c r="X787"/>
  <c r="A787"/>
  <c r="I787" s="1"/>
  <c r="AA786"/>
  <c r="X786"/>
  <c r="A786"/>
  <c r="H786" s="1"/>
  <c r="AA785"/>
  <c r="X785"/>
  <c r="A785"/>
  <c r="AA784"/>
  <c r="X784"/>
  <c r="A784"/>
  <c r="I784" s="1"/>
  <c r="AA783"/>
  <c r="X783"/>
  <c r="A783"/>
  <c r="I783" s="1"/>
  <c r="AA782"/>
  <c r="X782"/>
  <c r="A782"/>
  <c r="H782" s="1"/>
  <c r="AA781"/>
  <c r="X781"/>
  <c r="A781"/>
  <c r="AA640"/>
  <c r="X640"/>
  <c r="A640"/>
  <c r="AA639"/>
  <c r="X639"/>
  <c r="A639"/>
  <c r="I639" s="1"/>
  <c r="AA638"/>
  <c r="X638"/>
  <c r="A638"/>
  <c r="H638" s="1"/>
  <c r="AA637"/>
  <c r="X637"/>
  <c r="A637"/>
  <c r="AA636"/>
  <c r="X636"/>
  <c r="A636"/>
  <c r="H636" s="1"/>
  <c r="AA635"/>
  <c r="X635"/>
  <c r="A635"/>
  <c r="H635" s="1"/>
  <c r="AA633"/>
  <c r="X633"/>
  <c r="A633"/>
  <c r="AA632"/>
  <c r="X632"/>
  <c r="A632"/>
  <c r="AA631"/>
  <c r="X631"/>
  <c r="A631"/>
  <c r="I631" s="1"/>
  <c r="AA630"/>
  <c r="X630"/>
  <c r="A630"/>
  <c r="I630" s="1"/>
  <c r="AA629"/>
  <c r="X629"/>
  <c r="A629"/>
  <c r="H629" s="1"/>
  <c r="AA628"/>
  <c r="X628"/>
  <c r="A628"/>
  <c r="AA627"/>
  <c r="X627"/>
  <c r="A627"/>
  <c r="I627" s="1"/>
  <c r="AA626"/>
  <c r="X626"/>
  <c r="A626"/>
  <c r="I626" s="1"/>
  <c r="AA625"/>
  <c r="X625"/>
  <c r="A625"/>
  <c r="I625" s="1"/>
  <c r="AA624"/>
  <c r="X624"/>
  <c r="A624"/>
  <c r="AA623"/>
  <c r="X623"/>
  <c r="A623"/>
  <c r="H623" s="1"/>
  <c r="AA579"/>
  <c r="X579"/>
  <c r="A579"/>
  <c r="AA578"/>
  <c r="X578"/>
  <c r="A578"/>
  <c r="AA576"/>
  <c r="X576"/>
  <c r="A576"/>
  <c r="B576" s="1"/>
  <c r="AA575"/>
  <c r="X575"/>
  <c r="A575"/>
  <c r="AA574"/>
  <c r="X574"/>
  <c r="A574"/>
  <c r="AA572"/>
  <c r="X572"/>
  <c r="A572"/>
  <c r="AA571"/>
  <c r="X571"/>
  <c r="A571"/>
  <c r="AA570"/>
  <c r="X570"/>
  <c r="A570"/>
  <c r="I570" s="1"/>
  <c r="AA569"/>
  <c r="X569"/>
  <c r="A569"/>
  <c r="B569" s="1"/>
  <c r="AA568"/>
  <c r="X568"/>
  <c r="A568"/>
  <c r="H568" s="1"/>
  <c r="AA567"/>
  <c r="X567"/>
  <c r="A567"/>
  <c r="AA566"/>
  <c r="X566"/>
  <c r="A566"/>
  <c r="I566" s="1"/>
  <c r="AA565"/>
  <c r="X565"/>
  <c r="A565"/>
  <c r="B565" s="1"/>
  <c r="AA564"/>
  <c r="X564"/>
  <c r="A564"/>
  <c r="AA563"/>
  <c r="X563"/>
  <c r="A563"/>
  <c r="AA562"/>
  <c r="X562"/>
  <c r="A562"/>
  <c r="H562" s="1"/>
  <c r="G1406" l="1"/>
  <c r="G1407" s="1"/>
  <c r="G1408" s="1"/>
  <c r="G1409" s="1"/>
  <c r="G1410" s="1"/>
  <c r="G1411" s="1"/>
  <c r="G1412" s="1"/>
  <c r="F1406"/>
  <c r="F1407" s="1"/>
  <c r="F1408" s="1"/>
  <c r="F1409" s="1"/>
  <c r="F1410" s="1"/>
  <c r="F1411" s="1"/>
  <c r="F1412" s="1"/>
  <c r="E1406"/>
  <c r="E1407" s="1"/>
  <c r="E1408" s="1"/>
  <c r="E1409" s="1"/>
  <c r="E1410" s="1"/>
  <c r="E1411" s="1"/>
  <c r="E1412" s="1"/>
  <c r="E1336"/>
  <c r="E1337" s="1"/>
  <c r="E1338" s="1"/>
  <c r="E1339" s="1"/>
  <c r="E1340" s="1"/>
  <c r="E1341" s="1"/>
  <c r="E1342" s="1"/>
  <c r="E1343" s="1"/>
  <c r="G1336"/>
  <c r="G1337" s="1"/>
  <c r="G1338" s="1"/>
  <c r="G1339" s="1"/>
  <c r="G1340" s="1"/>
  <c r="G1341" s="1"/>
  <c r="G1342" s="1"/>
  <c r="G1343" s="1"/>
  <c r="F1336"/>
  <c r="F1337" s="1"/>
  <c r="F1338" s="1"/>
  <c r="F1339" s="1"/>
  <c r="F1340" s="1"/>
  <c r="F1341" s="1"/>
  <c r="F1342" s="1"/>
  <c r="F1343" s="1"/>
  <c r="G1269"/>
  <c r="G1270" s="1"/>
  <c r="G1271" s="1"/>
  <c r="G1272" s="1"/>
  <c r="F1269"/>
  <c r="F1270" s="1"/>
  <c r="F1271" s="1"/>
  <c r="F1272" s="1"/>
  <c r="E1269"/>
  <c r="E1270" s="1"/>
  <c r="E1271" s="1"/>
  <c r="E1272" s="1"/>
  <c r="G1008"/>
  <c r="G1009" s="1"/>
  <c r="G1010" s="1"/>
  <c r="G1011" s="1"/>
  <c r="G1012" s="1"/>
  <c r="G1013" s="1"/>
  <c r="G1014" s="1"/>
  <c r="E1008"/>
  <c r="E1009" s="1"/>
  <c r="E1010" s="1"/>
  <c r="E1011" s="1"/>
  <c r="E1012" s="1"/>
  <c r="E1013" s="1"/>
  <c r="E1014" s="1"/>
  <c r="D413"/>
  <c r="F997"/>
  <c r="F998" s="1"/>
  <c r="F999" s="1"/>
  <c r="F1000" s="1"/>
  <c r="F1001" s="1"/>
  <c r="F1002" s="1"/>
  <c r="F1003" s="1"/>
  <c r="F1004" s="1"/>
  <c r="F1005" s="1"/>
  <c r="F1006" s="1"/>
  <c r="F1007" s="1"/>
  <c r="B929"/>
  <c r="H929"/>
  <c r="H934"/>
  <c r="B934"/>
  <c r="B930"/>
  <c r="B933"/>
  <c r="H930"/>
  <c r="H933"/>
  <c r="I926"/>
  <c r="W926"/>
  <c r="W927"/>
  <c r="B928"/>
  <c r="W931"/>
  <c r="B932"/>
  <c r="H932"/>
  <c r="B935"/>
  <c r="I935"/>
  <c r="W935"/>
  <c r="B939"/>
  <c r="I939"/>
  <c r="W939"/>
  <c r="H943"/>
  <c r="B943"/>
  <c r="W943"/>
  <c r="W928"/>
  <c r="W932"/>
  <c r="I936"/>
  <c r="B926"/>
  <c r="B927"/>
  <c r="H927"/>
  <c r="I928"/>
  <c r="W930"/>
  <c r="B931"/>
  <c r="H931"/>
  <c r="W934"/>
  <c r="B938"/>
  <c r="I938"/>
  <c r="W938"/>
  <c r="H942"/>
  <c r="B942"/>
  <c r="W942"/>
  <c r="B936"/>
  <c r="W936"/>
  <c r="I927"/>
  <c r="W929"/>
  <c r="I931"/>
  <c r="W933"/>
  <c r="H936"/>
  <c r="H941"/>
  <c r="B941"/>
  <c r="W941"/>
  <c r="I943"/>
  <c r="E926"/>
  <c r="E927" s="1"/>
  <c r="E928" s="1"/>
  <c r="E929" s="1"/>
  <c r="E930" s="1"/>
  <c r="E931" s="1"/>
  <c r="E932" s="1"/>
  <c r="E933" s="1"/>
  <c r="E934" s="1"/>
  <c r="E935" s="1"/>
  <c r="E936" s="1"/>
  <c r="F926"/>
  <c r="F927" s="1"/>
  <c r="F928" s="1"/>
  <c r="F929" s="1"/>
  <c r="F930" s="1"/>
  <c r="F931" s="1"/>
  <c r="F932" s="1"/>
  <c r="F933" s="1"/>
  <c r="F934" s="1"/>
  <c r="F935" s="1"/>
  <c r="F936" s="1"/>
  <c r="G926"/>
  <c r="G927" s="1"/>
  <c r="G928" s="1"/>
  <c r="G929" s="1"/>
  <c r="G930" s="1"/>
  <c r="G931" s="1"/>
  <c r="G932" s="1"/>
  <c r="G933" s="1"/>
  <c r="G934" s="1"/>
  <c r="G935" s="1"/>
  <c r="G936" s="1"/>
  <c r="B873"/>
  <c r="H873"/>
  <c r="B868"/>
  <c r="H868"/>
  <c r="B869"/>
  <c r="B872"/>
  <c r="H869"/>
  <c r="H872"/>
  <c r="W867"/>
  <c r="B875"/>
  <c r="W875"/>
  <c r="B879"/>
  <c r="I879"/>
  <c r="W879"/>
  <c r="I859"/>
  <c r="W859"/>
  <c r="I860"/>
  <c r="W860"/>
  <c r="I861"/>
  <c r="W861"/>
  <c r="I862"/>
  <c r="W862"/>
  <c r="I863"/>
  <c r="W863"/>
  <c r="I864"/>
  <c r="W864"/>
  <c r="I865"/>
  <c r="W865"/>
  <c r="W866"/>
  <c r="B867"/>
  <c r="H867"/>
  <c r="W870"/>
  <c r="B871"/>
  <c r="H871"/>
  <c r="B878"/>
  <c r="I878"/>
  <c r="W878"/>
  <c r="H881"/>
  <c r="B881"/>
  <c r="W881"/>
  <c r="I875"/>
  <c r="B859"/>
  <c r="B860"/>
  <c r="B861"/>
  <c r="B862"/>
  <c r="B863"/>
  <c r="B864"/>
  <c r="B865"/>
  <c r="B866"/>
  <c r="H866"/>
  <c r="I867"/>
  <c r="W869"/>
  <c r="B870"/>
  <c r="H870"/>
  <c r="I871"/>
  <c r="W873"/>
  <c r="H876"/>
  <c r="B877"/>
  <c r="I877"/>
  <c r="W877"/>
  <c r="W871"/>
  <c r="I866"/>
  <c r="W868"/>
  <c r="I870"/>
  <c r="W872"/>
  <c r="H875"/>
  <c r="B876"/>
  <c r="I876"/>
  <c r="W876"/>
  <c r="H879"/>
  <c r="H880"/>
  <c r="B880"/>
  <c r="W880"/>
  <c r="I881"/>
  <c r="E859"/>
  <c r="E860" s="1"/>
  <c r="E861" s="1"/>
  <c r="E862" s="1"/>
  <c r="E863" s="1"/>
  <c r="E864" s="1"/>
  <c r="E865" s="1"/>
  <c r="E866" s="1"/>
  <c r="E867" s="1"/>
  <c r="E868" s="1"/>
  <c r="E869" s="1"/>
  <c r="E870" s="1"/>
  <c r="E871" s="1"/>
  <c r="E872" s="1"/>
  <c r="E873" s="1"/>
  <c r="F859"/>
  <c r="F860" s="1"/>
  <c r="F861" s="1"/>
  <c r="F862" s="1"/>
  <c r="F863" s="1"/>
  <c r="F864" s="1"/>
  <c r="F865" s="1"/>
  <c r="F866" s="1"/>
  <c r="F867" s="1"/>
  <c r="F868" s="1"/>
  <c r="F869" s="1"/>
  <c r="F870" s="1"/>
  <c r="F871" s="1"/>
  <c r="F872" s="1"/>
  <c r="F873" s="1"/>
  <c r="G859"/>
  <c r="G860" s="1"/>
  <c r="G861" s="1"/>
  <c r="G862" s="1"/>
  <c r="G863" s="1"/>
  <c r="G864" s="1"/>
  <c r="G865" s="1"/>
  <c r="G866" s="1"/>
  <c r="G867" s="1"/>
  <c r="G868" s="1"/>
  <c r="G869" s="1"/>
  <c r="G870" s="1"/>
  <c r="G871" s="1"/>
  <c r="G872" s="1"/>
  <c r="G873" s="1"/>
  <c r="B783"/>
  <c r="B787"/>
  <c r="B791"/>
  <c r="H783"/>
  <c r="H787"/>
  <c r="I791"/>
  <c r="W786"/>
  <c r="B781"/>
  <c r="B782"/>
  <c r="W785"/>
  <c r="B786"/>
  <c r="W789"/>
  <c r="B790"/>
  <c r="H790"/>
  <c r="B794"/>
  <c r="I794"/>
  <c r="W794"/>
  <c r="H798"/>
  <c r="B798"/>
  <c r="W798"/>
  <c r="I795"/>
  <c r="I782"/>
  <c r="W784"/>
  <c r="B785"/>
  <c r="H785"/>
  <c r="I786"/>
  <c r="W788"/>
  <c r="B789"/>
  <c r="H789"/>
  <c r="I790"/>
  <c r="H796"/>
  <c r="B796"/>
  <c r="W796"/>
  <c r="I781"/>
  <c r="W781"/>
  <c r="W782"/>
  <c r="W790"/>
  <c r="B795"/>
  <c r="W795"/>
  <c r="H781"/>
  <c r="W783"/>
  <c r="B784"/>
  <c r="H784"/>
  <c r="I785"/>
  <c r="W787"/>
  <c r="B788"/>
  <c r="H788"/>
  <c r="I789"/>
  <c r="H791"/>
  <c r="B792"/>
  <c r="I792"/>
  <c r="W792"/>
  <c r="H795"/>
  <c r="I798"/>
  <c r="E781"/>
  <c r="E782" s="1"/>
  <c r="E783" s="1"/>
  <c r="E784" s="1"/>
  <c r="E785" s="1"/>
  <c r="E786" s="1"/>
  <c r="E787" s="1"/>
  <c r="E788" s="1"/>
  <c r="E789" s="1"/>
  <c r="E790" s="1"/>
  <c r="E791" s="1"/>
  <c r="E792" s="1"/>
  <c r="F781"/>
  <c r="F782" s="1"/>
  <c r="F783" s="1"/>
  <c r="F784" s="1"/>
  <c r="F785" s="1"/>
  <c r="F786" s="1"/>
  <c r="F787" s="1"/>
  <c r="F788" s="1"/>
  <c r="F789" s="1"/>
  <c r="F790" s="1"/>
  <c r="F791" s="1"/>
  <c r="F792" s="1"/>
  <c r="G781"/>
  <c r="G782" s="1"/>
  <c r="G783" s="1"/>
  <c r="G784" s="1"/>
  <c r="G785" s="1"/>
  <c r="G786" s="1"/>
  <c r="G787" s="1"/>
  <c r="G788" s="1"/>
  <c r="G789" s="1"/>
  <c r="G790" s="1"/>
  <c r="G791" s="1"/>
  <c r="G792" s="1"/>
  <c r="B626"/>
  <c r="B630"/>
  <c r="H626"/>
  <c r="H630"/>
  <c r="I623"/>
  <c r="W624"/>
  <c r="B625"/>
  <c r="H625"/>
  <c r="W628"/>
  <c r="B629"/>
  <c r="W632"/>
  <c r="B633"/>
  <c r="H633"/>
  <c r="B636"/>
  <c r="I636"/>
  <c r="W636"/>
  <c r="H640"/>
  <c r="B640"/>
  <c r="W640"/>
  <c r="W629"/>
  <c r="W633"/>
  <c r="B637"/>
  <c r="I637"/>
  <c r="W637"/>
  <c r="B623"/>
  <c r="B624"/>
  <c r="H624"/>
  <c r="W627"/>
  <c r="B628"/>
  <c r="H628"/>
  <c r="I629"/>
  <c r="W631"/>
  <c r="B632"/>
  <c r="H632"/>
  <c r="I633"/>
  <c r="B635"/>
  <c r="I635"/>
  <c r="W635"/>
  <c r="H639"/>
  <c r="B639"/>
  <c r="W639"/>
  <c r="W625"/>
  <c r="W623"/>
  <c r="I624"/>
  <c r="W626"/>
  <c r="B627"/>
  <c r="H627"/>
  <c r="I628"/>
  <c r="W630"/>
  <c r="B631"/>
  <c r="H631"/>
  <c r="I632"/>
  <c r="H637"/>
  <c r="B638"/>
  <c r="I638"/>
  <c r="W638"/>
  <c r="I640"/>
  <c r="E623"/>
  <c r="E624" s="1"/>
  <c r="E625" s="1"/>
  <c r="E626" s="1"/>
  <c r="E627" s="1"/>
  <c r="E628" s="1"/>
  <c r="E629" s="1"/>
  <c r="E630" s="1"/>
  <c r="E631" s="1"/>
  <c r="E632" s="1"/>
  <c r="E633" s="1"/>
  <c r="F623"/>
  <c r="F624" s="1"/>
  <c r="F625" s="1"/>
  <c r="F626" s="1"/>
  <c r="F627" s="1"/>
  <c r="F628" s="1"/>
  <c r="F629" s="1"/>
  <c r="F630" s="1"/>
  <c r="F631" s="1"/>
  <c r="F632" s="1"/>
  <c r="F633" s="1"/>
  <c r="G623"/>
  <c r="G624" s="1"/>
  <c r="G625" s="1"/>
  <c r="G626" s="1"/>
  <c r="G627" s="1"/>
  <c r="G628" s="1"/>
  <c r="G629" s="1"/>
  <c r="G630" s="1"/>
  <c r="G631" s="1"/>
  <c r="G632" s="1"/>
  <c r="G633" s="1"/>
  <c r="H569"/>
  <c r="H565"/>
  <c r="I569"/>
  <c r="I565"/>
  <c r="W564"/>
  <c r="H572"/>
  <c r="I562"/>
  <c r="W562"/>
  <c r="W563"/>
  <c r="B564"/>
  <c r="H564"/>
  <c r="W567"/>
  <c r="B568"/>
  <c r="W571"/>
  <c r="B572"/>
  <c r="H575"/>
  <c r="I575"/>
  <c r="W575"/>
  <c r="H579"/>
  <c r="I579"/>
  <c r="W579"/>
  <c r="W568"/>
  <c r="B562"/>
  <c r="B563"/>
  <c r="H563"/>
  <c r="I564"/>
  <c r="W566"/>
  <c r="B567"/>
  <c r="H567"/>
  <c r="I568"/>
  <c r="W570"/>
  <c r="B571"/>
  <c r="H571"/>
  <c r="H574"/>
  <c r="I574"/>
  <c r="W574"/>
  <c r="B575"/>
  <c r="H578"/>
  <c r="I578"/>
  <c r="W578"/>
  <c r="B579"/>
  <c r="I572"/>
  <c r="W572"/>
  <c r="I563"/>
  <c r="W565"/>
  <c r="B566"/>
  <c r="H566"/>
  <c r="I567"/>
  <c r="W569"/>
  <c r="B570"/>
  <c r="H570"/>
  <c r="I571"/>
  <c r="B574"/>
  <c r="H576"/>
  <c r="I576"/>
  <c r="W576"/>
  <c r="B578"/>
  <c r="E562"/>
  <c r="E563" s="1"/>
  <c r="E564" s="1"/>
  <c r="E565" s="1"/>
  <c r="E566" s="1"/>
  <c r="E567" s="1"/>
  <c r="E568" s="1"/>
  <c r="E569" s="1"/>
  <c r="E570" s="1"/>
  <c r="E571" s="1"/>
  <c r="E572" s="1"/>
  <c r="F562"/>
  <c r="F563" s="1"/>
  <c r="F564" s="1"/>
  <c r="F565" s="1"/>
  <c r="F566" s="1"/>
  <c r="F567" s="1"/>
  <c r="F568" s="1"/>
  <c r="F569" s="1"/>
  <c r="F570" s="1"/>
  <c r="F571" s="1"/>
  <c r="F572" s="1"/>
  <c r="G562"/>
  <c r="G563" s="1"/>
  <c r="G564" s="1"/>
  <c r="G565" s="1"/>
  <c r="G566" s="1"/>
  <c r="G567" s="1"/>
  <c r="G568" s="1"/>
  <c r="G569" s="1"/>
  <c r="G570" s="1"/>
  <c r="G571" s="1"/>
  <c r="G572" s="1"/>
  <c r="E204"/>
  <c r="F204"/>
  <c r="G204"/>
  <c r="AA408"/>
  <c r="X408"/>
  <c r="A408"/>
  <c r="AA407"/>
  <c r="X407"/>
  <c r="A407"/>
  <c r="H407" s="1"/>
  <c r="AA406"/>
  <c r="X406"/>
  <c r="A406"/>
  <c r="H406" s="1"/>
  <c r="AA404"/>
  <c r="X404"/>
  <c r="A404"/>
  <c r="AA403"/>
  <c r="X403"/>
  <c r="A403"/>
  <c r="I403" s="1"/>
  <c r="AA401"/>
  <c r="X401"/>
  <c r="A401"/>
  <c r="W401" s="1"/>
  <c r="AA400"/>
  <c r="X400"/>
  <c r="A400"/>
  <c r="H400" s="1"/>
  <c r="AA399"/>
  <c r="X399"/>
  <c r="A399"/>
  <c r="I399" s="1"/>
  <c r="AA398"/>
  <c r="X398"/>
  <c r="A398"/>
  <c r="I398" s="1"/>
  <c r="AA397"/>
  <c r="X397"/>
  <c r="A397"/>
  <c r="W397" s="1"/>
  <c r="AA396"/>
  <c r="X396"/>
  <c r="A396"/>
  <c r="AA395"/>
  <c r="X395"/>
  <c r="A395"/>
  <c r="I395" s="1"/>
  <c r="AA394"/>
  <c r="X394"/>
  <c r="A394"/>
  <c r="I394" s="1"/>
  <c r="AA393"/>
  <c r="X393"/>
  <c r="A393"/>
  <c r="AA392"/>
  <c r="X392"/>
  <c r="A392"/>
  <c r="W392" s="1"/>
  <c r="AA391"/>
  <c r="X391"/>
  <c r="A391"/>
  <c r="F1008" l="1"/>
  <c r="F1009" s="1"/>
  <c r="F1010" s="1"/>
  <c r="F1011" s="1"/>
  <c r="F1012" s="1"/>
  <c r="F1013" s="1"/>
  <c r="F1014" s="1"/>
  <c r="E937"/>
  <c r="E938" s="1"/>
  <c r="E939" s="1"/>
  <c r="E940" s="1"/>
  <c r="E941" s="1"/>
  <c r="E942" s="1"/>
  <c r="E943" s="1"/>
  <c r="G937"/>
  <c r="G938" s="1"/>
  <c r="G939" s="1"/>
  <c r="G940" s="1"/>
  <c r="G941" s="1"/>
  <c r="G942" s="1"/>
  <c r="G943" s="1"/>
  <c r="F937"/>
  <c r="F938" s="1"/>
  <c r="F939" s="1"/>
  <c r="F940" s="1"/>
  <c r="F941" s="1"/>
  <c r="F942" s="1"/>
  <c r="F943" s="1"/>
  <c r="F874"/>
  <c r="F875" s="1"/>
  <c r="F876" s="1"/>
  <c r="F877" s="1"/>
  <c r="F878" s="1"/>
  <c r="F879" s="1"/>
  <c r="F880" s="1"/>
  <c r="F881" s="1"/>
  <c r="E874"/>
  <c r="E875" s="1"/>
  <c r="E876" s="1"/>
  <c r="E877" s="1"/>
  <c r="E878" s="1"/>
  <c r="E879" s="1"/>
  <c r="E880" s="1"/>
  <c r="E881" s="1"/>
  <c r="G874"/>
  <c r="G875" s="1"/>
  <c r="G876" s="1"/>
  <c r="G877" s="1"/>
  <c r="G878" s="1"/>
  <c r="G879" s="1"/>
  <c r="G880" s="1"/>
  <c r="G881" s="1"/>
  <c r="F793"/>
  <c r="F794" s="1"/>
  <c r="F795" s="1"/>
  <c r="F796" s="1"/>
  <c r="E793"/>
  <c r="E794" s="1"/>
  <c r="E795" s="1"/>
  <c r="E796" s="1"/>
  <c r="G793"/>
  <c r="G794" s="1"/>
  <c r="G795" s="1"/>
  <c r="G796" s="1"/>
  <c r="E634"/>
  <c r="E635" s="1"/>
  <c r="E636" s="1"/>
  <c r="E637" s="1"/>
  <c r="E638" s="1"/>
  <c r="E639" s="1"/>
  <c r="E640" s="1"/>
  <c r="F634"/>
  <c r="F635" s="1"/>
  <c r="F636" s="1"/>
  <c r="F637" s="1"/>
  <c r="F638" s="1"/>
  <c r="F639" s="1"/>
  <c r="F640" s="1"/>
  <c r="G634"/>
  <c r="G635" s="1"/>
  <c r="G636" s="1"/>
  <c r="G637" s="1"/>
  <c r="G638" s="1"/>
  <c r="G639" s="1"/>
  <c r="G640" s="1"/>
  <c r="G573"/>
  <c r="G574" s="1"/>
  <c r="G575" s="1"/>
  <c r="G576" s="1"/>
  <c r="G577" s="1"/>
  <c r="G578" s="1"/>
  <c r="G579" s="1"/>
  <c r="F573"/>
  <c r="F574" s="1"/>
  <c r="F575" s="1"/>
  <c r="F576" s="1"/>
  <c r="F577" s="1"/>
  <c r="F578" s="1"/>
  <c r="F579" s="1"/>
  <c r="E573"/>
  <c r="E574" s="1"/>
  <c r="E575" s="1"/>
  <c r="E576" s="1"/>
  <c r="E577" s="1"/>
  <c r="E578" s="1"/>
  <c r="E579" s="1"/>
  <c r="G1273"/>
  <c r="G1274" s="1"/>
  <c r="G1275" s="1"/>
  <c r="G1276" s="1"/>
  <c r="E1273"/>
  <c r="E1274" s="1"/>
  <c r="E1275" s="1"/>
  <c r="E1276" s="1"/>
  <c r="F1273"/>
  <c r="F1274" s="1"/>
  <c r="F1275" s="1"/>
  <c r="F1276" s="1"/>
  <c r="D414"/>
  <c r="B394"/>
  <c r="H394"/>
  <c r="B398"/>
  <c r="H398"/>
  <c r="I397"/>
  <c r="H397"/>
  <c r="B397"/>
  <c r="H393"/>
  <c r="B393"/>
  <c r="I393"/>
  <c r="H401"/>
  <c r="B401"/>
  <c r="I401"/>
  <c r="B391"/>
  <c r="I391"/>
  <c r="W391"/>
  <c r="H391"/>
  <c r="I392"/>
  <c r="H392"/>
  <c r="B392"/>
  <c r="W393"/>
  <c r="W396"/>
  <c r="W404"/>
  <c r="H408"/>
  <c r="B408"/>
  <c r="W395"/>
  <c r="B396"/>
  <c r="H396"/>
  <c r="W399"/>
  <c r="B400"/>
  <c r="W403"/>
  <c r="B404"/>
  <c r="H404"/>
  <c r="B407"/>
  <c r="I407"/>
  <c r="W407"/>
  <c r="W400"/>
  <c r="W408"/>
  <c r="W394"/>
  <c r="B395"/>
  <c r="H395"/>
  <c r="I396"/>
  <c r="W398"/>
  <c r="B399"/>
  <c r="H399"/>
  <c r="I400"/>
  <c r="B403"/>
  <c r="H403"/>
  <c r="I404"/>
  <c r="B406"/>
  <c r="I406"/>
  <c r="W406"/>
  <c r="I408"/>
  <c r="E391"/>
  <c r="E392" s="1"/>
  <c r="E393" s="1"/>
  <c r="E394" s="1"/>
  <c r="E395" s="1"/>
  <c r="E396" s="1"/>
  <c r="E397" s="1"/>
  <c r="E398" s="1"/>
  <c r="E399" s="1"/>
  <c r="E400" s="1"/>
  <c r="E401" s="1"/>
  <c r="F391"/>
  <c r="F392" s="1"/>
  <c r="F393" s="1"/>
  <c r="F394" s="1"/>
  <c r="F395" s="1"/>
  <c r="F396" s="1"/>
  <c r="F397" s="1"/>
  <c r="F398" s="1"/>
  <c r="F399" s="1"/>
  <c r="F400" s="1"/>
  <c r="F401" s="1"/>
  <c r="G391"/>
  <c r="G392" s="1"/>
  <c r="G393" s="1"/>
  <c r="G394" s="1"/>
  <c r="G395" s="1"/>
  <c r="G396" s="1"/>
  <c r="G397" s="1"/>
  <c r="G398" s="1"/>
  <c r="G399" s="1"/>
  <c r="G400" s="1"/>
  <c r="G401" s="1"/>
  <c r="AA337"/>
  <c r="X337"/>
  <c r="A337"/>
  <c r="AA336"/>
  <c r="X336"/>
  <c r="A336"/>
  <c r="AA334"/>
  <c r="X334"/>
  <c r="A334"/>
  <c r="AA331"/>
  <c r="X331"/>
  <c r="A331"/>
  <c r="AA330"/>
  <c r="X330"/>
  <c r="A330"/>
  <c r="H330" s="1"/>
  <c r="AA329"/>
  <c r="X329"/>
  <c r="A329"/>
  <c r="H329" s="1"/>
  <c r="AA328"/>
  <c r="X328"/>
  <c r="A328"/>
  <c r="H328" s="1"/>
  <c r="F797" l="1"/>
  <c r="F798" s="1"/>
  <c r="G797"/>
  <c r="G798" s="1"/>
  <c r="E797"/>
  <c r="E798" s="1"/>
  <c r="F402"/>
  <c r="F403" s="1"/>
  <c r="F404" s="1"/>
  <c r="F405" s="1"/>
  <c r="F406" s="1"/>
  <c r="F407" s="1"/>
  <c r="F408" s="1"/>
  <c r="E402"/>
  <c r="E403" s="1"/>
  <c r="E404" s="1"/>
  <c r="E405" s="1"/>
  <c r="E406" s="1"/>
  <c r="E407" s="1"/>
  <c r="E408" s="1"/>
  <c r="G402"/>
  <c r="G403" s="1"/>
  <c r="G404" s="1"/>
  <c r="G405" s="1"/>
  <c r="G406" s="1"/>
  <c r="G407" s="1"/>
  <c r="G408" s="1"/>
  <c r="D415"/>
  <c r="I328"/>
  <c r="W328"/>
  <c r="I330"/>
  <c r="W330"/>
  <c r="I331"/>
  <c r="W331"/>
  <c r="I337"/>
  <c r="B329"/>
  <c r="B331"/>
  <c r="B336"/>
  <c r="B337"/>
  <c r="I329"/>
  <c r="W329"/>
  <c r="I334"/>
  <c r="W334"/>
  <c r="I336"/>
  <c r="W336"/>
  <c r="W337"/>
  <c r="B328"/>
  <c r="B330"/>
  <c r="B334"/>
  <c r="H331"/>
  <c r="H334"/>
  <c r="H336"/>
  <c r="H337"/>
  <c r="AA269"/>
  <c r="X269"/>
  <c r="A269"/>
  <c r="AA268"/>
  <c r="X268"/>
  <c r="A268"/>
  <c r="I268" s="1"/>
  <c r="AA267"/>
  <c r="X267"/>
  <c r="A267"/>
  <c r="H267" s="1"/>
  <c r="AA265"/>
  <c r="X265"/>
  <c r="A265"/>
  <c r="AA264"/>
  <c r="X264"/>
  <c r="A264"/>
  <c r="I264" s="1"/>
  <c r="AA263"/>
  <c r="X263"/>
  <c r="A263"/>
  <c r="I263" s="1"/>
  <c r="AA261"/>
  <c r="X261"/>
  <c r="A261"/>
  <c r="H261" s="1"/>
  <c r="AA260"/>
  <c r="X260"/>
  <c r="A260"/>
  <c r="I260" s="1"/>
  <c r="AA259"/>
  <c r="X259"/>
  <c r="A259"/>
  <c r="I259" s="1"/>
  <c r="AA258"/>
  <c r="X258"/>
  <c r="A258"/>
  <c r="W258" s="1"/>
  <c r="AA257"/>
  <c r="X257"/>
  <c r="A257"/>
  <c r="AA256"/>
  <c r="X256"/>
  <c r="A256"/>
  <c r="I256" s="1"/>
  <c r="AA255"/>
  <c r="X255"/>
  <c r="A255"/>
  <c r="I255" s="1"/>
  <c r="AA254"/>
  <c r="X254"/>
  <c r="A254"/>
  <c r="AA253"/>
  <c r="X253"/>
  <c r="A253"/>
  <c r="AA252"/>
  <c r="X252"/>
  <c r="A252"/>
  <c r="H252" s="1"/>
  <c r="AA251"/>
  <c r="X251"/>
  <c r="A251"/>
  <c r="H251" s="1"/>
  <c r="AA188"/>
  <c r="X188"/>
  <c r="A188"/>
  <c r="AA187"/>
  <c r="X187"/>
  <c r="A187"/>
  <c r="I187" s="1"/>
  <c r="AA185"/>
  <c r="X185"/>
  <c r="A185"/>
  <c r="AA184"/>
  <c r="X184"/>
  <c r="A184"/>
  <c r="H184" s="1"/>
  <c r="AA182"/>
  <c r="X182"/>
  <c r="A182"/>
  <c r="H182" s="1"/>
  <c r="AA181"/>
  <c r="X181"/>
  <c r="A181"/>
  <c r="I181" s="1"/>
  <c r="AA180"/>
  <c r="X180"/>
  <c r="A180"/>
  <c r="AA179"/>
  <c r="X179"/>
  <c r="A179"/>
  <c r="I179" s="1"/>
  <c r="AA178"/>
  <c r="X178"/>
  <c r="A178"/>
  <c r="H178" s="1"/>
  <c r="AA177"/>
  <c r="X177"/>
  <c r="A177"/>
  <c r="I177" s="1"/>
  <c r="AA176"/>
  <c r="X176"/>
  <c r="A176"/>
  <c r="AA175"/>
  <c r="X175"/>
  <c r="A175"/>
  <c r="H175" s="1"/>
  <c r="AA174"/>
  <c r="X174"/>
  <c r="A174"/>
  <c r="I174" s="1"/>
  <c r="AA173"/>
  <c r="X173"/>
  <c r="A173"/>
  <c r="W173" s="1"/>
  <c r="AA172"/>
  <c r="X172"/>
  <c r="A172"/>
  <c r="AA171"/>
  <c r="X171"/>
  <c r="A171"/>
  <c r="H171" s="1"/>
  <c r="D416" l="1"/>
  <c r="H255"/>
  <c r="B255"/>
  <c r="B259"/>
  <c r="H259"/>
  <c r="H263"/>
  <c r="B263"/>
  <c r="I254"/>
  <c r="H254"/>
  <c r="B254"/>
  <c r="I258"/>
  <c r="B258"/>
  <c r="H258"/>
  <c r="W254"/>
  <c r="W265"/>
  <c r="W251"/>
  <c r="W253"/>
  <c r="I251"/>
  <c r="W257"/>
  <c r="H269"/>
  <c r="B269"/>
  <c r="B251"/>
  <c r="B252"/>
  <c r="B253"/>
  <c r="H253"/>
  <c r="W256"/>
  <c r="B257"/>
  <c r="H257"/>
  <c r="W260"/>
  <c r="B261"/>
  <c r="W264"/>
  <c r="H268"/>
  <c r="B268"/>
  <c r="W268"/>
  <c r="B265"/>
  <c r="I265"/>
  <c r="I252"/>
  <c r="W252"/>
  <c r="W261"/>
  <c r="W269"/>
  <c r="I253"/>
  <c r="W255"/>
  <c r="B256"/>
  <c r="H256"/>
  <c r="I257"/>
  <c r="W259"/>
  <c r="B260"/>
  <c r="H260"/>
  <c r="I261"/>
  <c r="W263"/>
  <c r="B264"/>
  <c r="H264"/>
  <c r="H265"/>
  <c r="B267"/>
  <c r="I267"/>
  <c r="W267"/>
  <c r="I269"/>
  <c r="I182"/>
  <c r="I175"/>
  <c r="B174"/>
  <c r="I178"/>
  <c r="H174"/>
  <c r="B175"/>
  <c r="B178"/>
  <c r="B182"/>
  <c r="W181"/>
  <c r="I171"/>
  <c r="W171"/>
  <c r="W172"/>
  <c r="B173"/>
  <c r="H173"/>
  <c r="W176"/>
  <c r="B177"/>
  <c r="H177"/>
  <c r="W180"/>
  <c r="B181"/>
  <c r="H181"/>
  <c r="W188"/>
  <c r="B171"/>
  <c r="B172"/>
  <c r="H172"/>
  <c r="I173"/>
  <c r="W175"/>
  <c r="B176"/>
  <c r="H176"/>
  <c r="W179"/>
  <c r="B180"/>
  <c r="H180"/>
  <c r="H187"/>
  <c r="B187"/>
  <c r="W187"/>
  <c r="W177"/>
  <c r="B185"/>
  <c r="I185"/>
  <c r="W185"/>
  <c r="B184"/>
  <c r="I184"/>
  <c r="W184"/>
  <c r="H188"/>
  <c r="B188"/>
  <c r="I172"/>
  <c r="W174"/>
  <c r="I176"/>
  <c r="W178"/>
  <c r="B179"/>
  <c r="H179"/>
  <c r="I180"/>
  <c r="W182"/>
  <c r="H185"/>
  <c r="I188"/>
  <c r="E171"/>
  <c r="E172" s="1"/>
  <c r="E173" s="1"/>
  <c r="E174" s="1"/>
  <c r="E175" s="1"/>
  <c r="E176" s="1"/>
  <c r="E177" s="1"/>
  <c r="E178" s="1"/>
  <c r="E179" s="1"/>
  <c r="E180" s="1"/>
  <c r="E181" s="1"/>
  <c r="E182" s="1"/>
  <c r="F171"/>
  <c r="F172" s="1"/>
  <c r="F173" s="1"/>
  <c r="F174" s="1"/>
  <c r="F175" s="1"/>
  <c r="F176" s="1"/>
  <c r="F177" s="1"/>
  <c r="F178" s="1"/>
  <c r="F179" s="1"/>
  <c r="F180" s="1"/>
  <c r="F181" s="1"/>
  <c r="F182" s="1"/>
  <c r="G171"/>
  <c r="G172" s="1"/>
  <c r="G173" s="1"/>
  <c r="G174" s="1"/>
  <c r="G175" s="1"/>
  <c r="G176" s="1"/>
  <c r="G177" s="1"/>
  <c r="G178" s="1"/>
  <c r="G179" s="1"/>
  <c r="G180" s="1"/>
  <c r="G181" s="1"/>
  <c r="G182" s="1"/>
  <c r="F183" l="1"/>
  <c r="F184" s="1"/>
  <c r="F185" s="1"/>
  <c r="F186" s="1"/>
  <c r="F187" s="1"/>
  <c r="F188" s="1"/>
  <c r="E183"/>
  <c r="E184" s="1"/>
  <c r="E185" s="1"/>
  <c r="E186" s="1"/>
  <c r="E187" s="1"/>
  <c r="E188" s="1"/>
  <c r="G183"/>
  <c r="G184" s="1"/>
  <c r="G185" s="1"/>
  <c r="G186" s="1"/>
  <c r="G187" s="1"/>
  <c r="G188" s="1"/>
  <c r="D417"/>
  <c r="D418" s="1"/>
  <c r="D419" s="1"/>
  <c r="D420" s="1"/>
  <c r="D421" s="1"/>
  <c r="D422" s="1"/>
  <c r="D423" s="1"/>
  <c r="D424" s="1"/>
  <c r="AA114"/>
  <c r="X114"/>
  <c r="Y114" s="1"/>
  <c r="T114"/>
  <c r="A114"/>
  <c r="AA112"/>
  <c r="X112"/>
  <c r="A112"/>
  <c r="AA111"/>
  <c r="X111"/>
  <c r="A111"/>
  <c r="I111" s="1"/>
  <c r="AA110"/>
  <c r="X110"/>
  <c r="A110"/>
  <c r="H110" s="1"/>
  <c r="AA109"/>
  <c r="X109"/>
  <c r="A109"/>
  <c r="H109" s="1"/>
  <c r="AA108"/>
  <c r="X108"/>
  <c r="A108"/>
  <c r="W108" s="1"/>
  <c r="AA107"/>
  <c r="X107"/>
  <c r="A107"/>
  <c r="AA106"/>
  <c r="X106"/>
  <c r="A106"/>
  <c r="I106" s="1"/>
  <c r="AA105"/>
  <c r="X105"/>
  <c r="A105"/>
  <c r="W105" s="1"/>
  <c r="AA104"/>
  <c r="X104"/>
  <c r="A104"/>
  <c r="AA103"/>
  <c r="X103"/>
  <c r="A103"/>
  <c r="I103" s="1"/>
  <c r="AA102"/>
  <c r="X102"/>
  <c r="A102"/>
  <c r="I102" s="1"/>
  <c r="AA101"/>
  <c r="X101"/>
  <c r="A101"/>
  <c r="H101" s="1"/>
  <c r="AA100"/>
  <c r="X100"/>
  <c r="A100"/>
  <c r="W100" s="1"/>
  <c r="AA99"/>
  <c r="X99"/>
  <c r="A99"/>
  <c r="I99" s="1"/>
  <c r="AA98"/>
  <c r="X98"/>
  <c r="A98"/>
  <c r="B98" s="1"/>
  <c r="AA96"/>
  <c r="X96"/>
  <c r="A96"/>
  <c r="B96" s="1"/>
  <c r="AA95"/>
  <c r="X95"/>
  <c r="A95"/>
  <c r="B95" s="1"/>
  <c r="AA94"/>
  <c r="X94"/>
  <c r="A94"/>
  <c r="AA93"/>
  <c r="X93"/>
  <c r="A93"/>
  <c r="AA92"/>
  <c r="X92"/>
  <c r="A92"/>
  <c r="B92" s="1"/>
  <c r="AA91"/>
  <c r="X91"/>
  <c r="A91"/>
  <c r="B91" s="1"/>
  <c r="AA90"/>
  <c r="X90"/>
  <c r="A90"/>
  <c r="AA89"/>
  <c r="X89"/>
  <c r="A89"/>
  <c r="AA88"/>
  <c r="X88"/>
  <c r="A88"/>
  <c r="AA87"/>
  <c r="X87"/>
  <c r="A87"/>
  <c r="H87" s="1"/>
  <c r="AA86"/>
  <c r="X86"/>
  <c r="A86"/>
  <c r="H86" s="1"/>
  <c r="AA85"/>
  <c r="X85"/>
  <c r="A85"/>
  <c r="I85" s="1"/>
  <c r="D425" l="1"/>
  <c r="D426" s="1"/>
  <c r="D427" s="1"/>
  <c r="D428" s="1"/>
  <c r="D429" s="1"/>
  <c r="D430" s="1"/>
  <c r="D431" s="1"/>
  <c r="D432" s="1"/>
  <c r="D433" s="1"/>
  <c r="D434" s="1"/>
  <c r="D435" s="1"/>
  <c r="D436" s="1"/>
  <c r="H98"/>
  <c r="I87"/>
  <c r="I98"/>
  <c r="B102"/>
  <c r="L114"/>
  <c r="R114"/>
  <c r="P114"/>
  <c r="E114"/>
  <c r="F114"/>
  <c r="G114"/>
  <c r="B86"/>
  <c r="H102"/>
  <c r="B87"/>
  <c r="I108"/>
  <c r="B85"/>
  <c r="H89"/>
  <c r="H93"/>
  <c r="I93"/>
  <c r="W93"/>
  <c r="B94"/>
  <c r="I101"/>
  <c r="W85"/>
  <c r="I86"/>
  <c r="H88"/>
  <c r="I89"/>
  <c r="W89"/>
  <c r="B90"/>
  <c r="W87"/>
  <c r="B88"/>
  <c r="I88"/>
  <c r="W88"/>
  <c r="B89"/>
  <c r="H92"/>
  <c r="I92"/>
  <c r="W92"/>
  <c r="B93"/>
  <c r="H96"/>
  <c r="I96"/>
  <c r="W96"/>
  <c r="B101"/>
  <c r="I105"/>
  <c r="H105"/>
  <c r="B105"/>
  <c r="H90"/>
  <c r="I90"/>
  <c r="W90"/>
  <c r="H94"/>
  <c r="I94"/>
  <c r="W94"/>
  <c r="I100"/>
  <c r="H100"/>
  <c r="B100"/>
  <c r="H85"/>
  <c r="W86"/>
  <c r="H91"/>
  <c r="I91"/>
  <c r="W91"/>
  <c r="H95"/>
  <c r="I95"/>
  <c r="W95"/>
  <c r="W101"/>
  <c r="B108"/>
  <c r="H108"/>
  <c r="W107"/>
  <c r="H111"/>
  <c r="B111"/>
  <c r="H112"/>
  <c r="B112"/>
  <c r="W112"/>
  <c r="W104"/>
  <c r="W99"/>
  <c r="W103"/>
  <c r="B104"/>
  <c r="H104"/>
  <c r="W106"/>
  <c r="B107"/>
  <c r="H107"/>
  <c r="B110"/>
  <c r="I110"/>
  <c r="W110"/>
  <c r="W111"/>
  <c r="W98"/>
  <c r="B99"/>
  <c r="H99"/>
  <c r="W102"/>
  <c r="B103"/>
  <c r="H103"/>
  <c r="I104"/>
  <c r="B106"/>
  <c r="H106"/>
  <c r="I107"/>
  <c r="B109"/>
  <c r="I109"/>
  <c r="W109"/>
  <c r="I112"/>
  <c r="AA304" l="1"/>
  <c r="X304"/>
  <c r="A304"/>
  <c r="W304" s="1"/>
  <c r="AA277"/>
  <c r="X277"/>
  <c r="A277"/>
  <c r="C81" i="25"/>
  <c r="A81" s="1"/>
  <c r="B304" i="12" l="1"/>
  <c r="H304"/>
  <c r="I304"/>
  <c r="I277"/>
  <c r="W277"/>
  <c r="H277"/>
  <c r="B277"/>
  <c r="AA466" l="1"/>
  <c r="X466"/>
  <c r="A466"/>
  <c r="AA465"/>
  <c r="X465"/>
  <c r="A465"/>
  <c r="AA439"/>
  <c r="X439"/>
  <c r="A439"/>
  <c r="AA438"/>
  <c r="X438"/>
  <c r="A438"/>
  <c r="AA1440"/>
  <c r="X1440"/>
  <c r="A1440"/>
  <c r="AA1439"/>
  <c r="X1439"/>
  <c r="A1439"/>
  <c r="AA1438"/>
  <c r="X1438"/>
  <c r="A1438"/>
  <c r="H1438" s="1"/>
  <c r="AA1437"/>
  <c r="X1437"/>
  <c r="A1437"/>
  <c r="AA1435"/>
  <c r="X1435"/>
  <c r="A1435"/>
  <c r="AA1434"/>
  <c r="X1434"/>
  <c r="A1434"/>
  <c r="B1434" s="1"/>
  <c r="AA1433"/>
  <c r="X1433"/>
  <c r="A1433"/>
  <c r="AA1432"/>
  <c r="X1432"/>
  <c r="A1432"/>
  <c r="G1432" s="1"/>
  <c r="AA1416"/>
  <c r="X1416"/>
  <c r="A1416"/>
  <c r="I1416" s="1"/>
  <c r="B8" i="26"/>
  <c r="C8"/>
  <c r="D8"/>
  <c r="E8"/>
  <c r="F8"/>
  <c r="G8"/>
  <c r="H8"/>
  <c r="J8"/>
  <c r="K8"/>
  <c r="L8"/>
  <c r="M8"/>
  <c r="A9"/>
  <c r="B11"/>
  <c r="C11"/>
  <c r="D11"/>
  <c r="E11"/>
  <c r="F11"/>
  <c r="G11"/>
  <c r="H11"/>
  <c r="J11"/>
  <c r="K11"/>
  <c r="L11"/>
  <c r="M11"/>
  <c r="S11"/>
  <c r="O11" s="1"/>
  <c r="B12"/>
  <c r="C12"/>
  <c r="D12"/>
  <c r="E12"/>
  <c r="S12" s="1"/>
  <c r="P12" s="1"/>
  <c r="F12"/>
  <c r="G12"/>
  <c r="H12"/>
  <c r="J12"/>
  <c r="K12"/>
  <c r="L12"/>
  <c r="M12"/>
  <c r="B13"/>
  <c r="C13"/>
  <c r="D13"/>
  <c r="E13"/>
  <c r="S13" s="1"/>
  <c r="F13"/>
  <c r="G13"/>
  <c r="H13"/>
  <c r="J13"/>
  <c r="K13"/>
  <c r="L13"/>
  <c r="M13"/>
  <c r="B14"/>
  <c r="C14"/>
  <c r="D14"/>
  <c r="E14"/>
  <c r="S14" s="1"/>
  <c r="F14"/>
  <c r="G14"/>
  <c r="H14"/>
  <c r="J14"/>
  <c r="K14"/>
  <c r="L14"/>
  <c r="M14"/>
  <c r="B15"/>
  <c r="C15"/>
  <c r="D15"/>
  <c r="E15"/>
  <c r="F15"/>
  <c r="G15"/>
  <c r="H15"/>
  <c r="J15"/>
  <c r="K15"/>
  <c r="L15"/>
  <c r="M15"/>
  <c r="S15"/>
  <c r="B16"/>
  <c r="C16"/>
  <c r="D16"/>
  <c r="E16"/>
  <c r="F16"/>
  <c r="G16"/>
  <c r="H16"/>
  <c r="J16"/>
  <c r="K16"/>
  <c r="L16"/>
  <c r="M16"/>
  <c r="S16"/>
  <c r="O16" s="1"/>
  <c r="B17"/>
  <c r="C17"/>
  <c r="D17"/>
  <c r="E17"/>
  <c r="S17" s="1"/>
  <c r="O17" s="1"/>
  <c r="F17"/>
  <c r="G17"/>
  <c r="H17"/>
  <c r="J17"/>
  <c r="K17"/>
  <c r="L17"/>
  <c r="M17"/>
  <c r="B18"/>
  <c r="C18"/>
  <c r="D18"/>
  <c r="E18"/>
  <c r="S18" s="1"/>
  <c r="F18"/>
  <c r="G18"/>
  <c r="H18"/>
  <c r="J18"/>
  <c r="K18"/>
  <c r="L18"/>
  <c r="M18"/>
  <c r="B19"/>
  <c r="C19"/>
  <c r="D19"/>
  <c r="E19"/>
  <c r="S19" s="1"/>
  <c r="F19"/>
  <c r="G19"/>
  <c r="H19"/>
  <c r="J19"/>
  <c r="K19"/>
  <c r="L19"/>
  <c r="M19"/>
  <c r="B20"/>
  <c r="C20"/>
  <c r="D20"/>
  <c r="E20"/>
  <c r="S20" s="1"/>
  <c r="O20" s="1"/>
  <c r="F20"/>
  <c r="G20"/>
  <c r="H20"/>
  <c r="J20"/>
  <c r="K20"/>
  <c r="L20"/>
  <c r="M20"/>
  <c r="B21"/>
  <c r="C21"/>
  <c r="D21"/>
  <c r="E21"/>
  <c r="S21" s="1"/>
  <c r="O21" s="1"/>
  <c r="F21"/>
  <c r="G21"/>
  <c r="H21"/>
  <c r="J21"/>
  <c r="K21"/>
  <c r="L21"/>
  <c r="M21"/>
  <c r="B22"/>
  <c r="C22"/>
  <c r="D22"/>
  <c r="E22"/>
  <c r="S22" s="1"/>
  <c r="F22"/>
  <c r="G22"/>
  <c r="H22"/>
  <c r="J22"/>
  <c r="K22"/>
  <c r="L22"/>
  <c r="M22"/>
  <c r="B23"/>
  <c r="C23"/>
  <c r="D23"/>
  <c r="E23"/>
  <c r="S23" s="1"/>
  <c r="P23" s="1"/>
  <c r="T23" s="1"/>
  <c r="F23"/>
  <c r="G23"/>
  <c r="H23"/>
  <c r="J23"/>
  <c r="K23"/>
  <c r="L23"/>
  <c r="M23"/>
  <c r="B24"/>
  <c r="C24"/>
  <c r="D24"/>
  <c r="E24"/>
  <c r="S24" s="1"/>
  <c r="P24" s="1"/>
  <c r="N24" s="1"/>
  <c r="F24"/>
  <c r="G24"/>
  <c r="H24"/>
  <c r="J24"/>
  <c r="K24"/>
  <c r="L24"/>
  <c r="M24"/>
  <c r="B25"/>
  <c r="C25"/>
  <c r="D25"/>
  <c r="E25"/>
  <c r="S25" s="1"/>
  <c r="F25"/>
  <c r="G25"/>
  <c r="H25"/>
  <c r="J25"/>
  <c r="K25"/>
  <c r="L25"/>
  <c r="M25"/>
  <c r="B26"/>
  <c r="C26"/>
  <c r="D26"/>
  <c r="E26"/>
  <c r="S26" s="1"/>
  <c r="F26"/>
  <c r="G26"/>
  <c r="H26"/>
  <c r="J26"/>
  <c r="K26"/>
  <c r="L26"/>
  <c r="M26"/>
  <c r="B27"/>
  <c r="C27"/>
  <c r="D27"/>
  <c r="E27"/>
  <c r="F27"/>
  <c r="G27"/>
  <c r="H27"/>
  <c r="J27"/>
  <c r="K27"/>
  <c r="L27"/>
  <c r="M27"/>
  <c r="S27"/>
  <c r="P27" s="1"/>
  <c r="B28"/>
  <c r="C28"/>
  <c r="D28"/>
  <c r="E28"/>
  <c r="F28"/>
  <c r="G28"/>
  <c r="H28"/>
  <c r="J28"/>
  <c r="K28"/>
  <c r="L28"/>
  <c r="M28"/>
  <c r="S28"/>
  <c r="B29"/>
  <c r="C29"/>
  <c r="D29"/>
  <c r="E29"/>
  <c r="S29" s="1"/>
  <c r="O29" s="1"/>
  <c r="F29"/>
  <c r="G29"/>
  <c r="H29"/>
  <c r="J29"/>
  <c r="K29"/>
  <c r="L29"/>
  <c r="M29"/>
  <c r="B30"/>
  <c r="C30"/>
  <c r="D30"/>
  <c r="E30"/>
  <c r="S30" s="1"/>
  <c r="F30"/>
  <c r="G30"/>
  <c r="H30"/>
  <c r="J30"/>
  <c r="K30"/>
  <c r="L30"/>
  <c r="M30"/>
  <c r="B31"/>
  <c r="C31"/>
  <c r="D31"/>
  <c r="E31"/>
  <c r="S31" s="1"/>
  <c r="F31"/>
  <c r="G31"/>
  <c r="H31"/>
  <c r="J31"/>
  <c r="K31"/>
  <c r="L31"/>
  <c r="M31"/>
  <c r="B32"/>
  <c r="C32"/>
  <c r="D32"/>
  <c r="E32"/>
  <c r="S32" s="1"/>
  <c r="F32"/>
  <c r="G32"/>
  <c r="H32"/>
  <c r="J32"/>
  <c r="K32"/>
  <c r="L32"/>
  <c r="M32"/>
  <c r="B33"/>
  <c r="C33"/>
  <c r="D33"/>
  <c r="E33"/>
  <c r="S33" s="1"/>
  <c r="P33" s="1"/>
  <c r="F33"/>
  <c r="G33"/>
  <c r="H33"/>
  <c r="J33"/>
  <c r="K33"/>
  <c r="L33"/>
  <c r="M33"/>
  <c r="B34"/>
  <c r="C34"/>
  <c r="D34"/>
  <c r="E34"/>
  <c r="S34" s="1"/>
  <c r="P34" s="1"/>
  <c r="I34" s="1"/>
  <c r="F34"/>
  <c r="G34"/>
  <c r="H34"/>
  <c r="J34"/>
  <c r="K34"/>
  <c r="L34"/>
  <c r="M34"/>
  <c r="B35"/>
  <c r="C35"/>
  <c r="D35"/>
  <c r="E35"/>
  <c r="S35" s="1"/>
  <c r="F35"/>
  <c r="G35"/>
  <c r="H35"/>
  <c r="J35"/>
  <c r="K35"/>
  <c r="L35"/>
  <c r="M35"/>
  <c r="B36"/>
  <c r="C36"/>
  <c r="D36"/>
  <c r="E36"/>
  <c r="S36" s="1"/>
  <c r="P36" s="1"/>
  <c r="T36" s="1"/>
  <c r="F36"/>
  <c r="G36"/>
  <c r="H36"/>
  <c r="J36"/>
  <c r="K36"/>
  <c r="L36"/>
  <c r="M36"/>
  <c r="B37"/>
  <c r="C37"/>
  <c r="D37"/>
  <c r="E37"/>
  <c r="S37" s="1"/>
  <c r="F37"/>
  <c r="G37"/>
  <c r="H37"/>
  <c r="J37"/>
  <c r="K37"/>
  <c r="L37"/>
  <c r="M37"/>
  <c r="B38"/>
  <c r="C38"/>
  <c r="D38"/>
  <c r="E38"/>
  <c r="S38" s="1"/>
  <c r="O38" s="1"/>
  <c r="F38"/>
  <c r="G38"/>
  <c r="H38"/>
  <c r="J38"/>
  <c r="K38"/>
  <c r="L38"/>
  <c r="M38"/>
  <c r="B39"/>
  <c r="C39"/>
  <c r="D39"/>
  <c r="E39"/>
  <c r="S39" s="1"/>
  <c r="O39" s="1"/>
  <c r="F39"/>
  <c r="G39"/>
  <c r="H39"/>
  <c r="J39"/>
  <c r="K39"/>
  <c r="L39"/>
  <c r="M39"/>
  <c r="B40"/>
  <c r="C40"/>
  <c r="D40"/>
  <c r="E40"/>
  <c r="F40"/>
  <c r="G40"/>
  <c r="H40"/>
  <c r="J40"/>
  <c r="K40"/>
  <c r="L40"/>
  <c r="M40"/>
  <c r="S40"/>
  <c r="B41"/>
  <c r="C41"/>
  <c r="D41"/>
  <c r="E41"/>
  <c r="S41" s="1"/>
  <c r="P41" s="1"/>
  <c r="Q41" s="1"/>
  <c r="F41"/>
  <c r="G41"/>
  <c r="H41"/>
  <c r="J41"/>
  <c r="K41"/>
  <c r="L41"/>
  <c r="M41"/>
  <c r="B42"/>
  <c r="C42"/>
  <c r="D42"/>
  <c r="E42"/>
  <c r="S42" s="1"/>
  <c r="F42"/>
  <c r="G42"/>
  <c r="H42"/>
  <c r="J42"/>
  <c r="K42"/>
  <c r="L42"/>
  <c r="M42"/>
  <c r="B43"/>
  <c r="C43"/>
  <c r="D43"/>
  <c r="E43"/>
  <c r="S43" s="1"/>
  <c r="F43"/>
  <c r="G43"/>
  <c r="H43"/>
  <c r="J43"/>
  <c r="K43"/>
  <c r="L43"/>
  <c r="M43"/>
  <c r="B44"/>
  <c r="C44"/>
  <c r="D44"/>
  <c r="E44"/>
  <c r="S44" s="1"/>
  <c r="F44"/>
  <c r="G44"/>
  <c r="H44"/>
  <c r="J44"/>
  <c r="K44"/>
  <c r="L44"/>
  <c r="M44"/>
  <c r="B45"/>
  <c r="C45"/>
  <c r="D45"/>
  <c r="E45"/>
  <c r="S45" s="1"/>
  <c r="O45" s="1"/>
  <c r="F45"/>
  <c r="G45"/>
  <c r="H45"/>
  <c r="J45"/>
  <c r="K45"/>
  <c r="L45"/>
  <c r="M45"/>
  <c r="B46"/>
  <c r="C46"/>
  <c r="D46"/>
  <c r="E46"/>
  <c r="S46" s="1"/>
  <c r="F46"/>
  <c r="G46"/>
  <c r="H46"/>
  <c r="J46"/>
  <c r="K46"/>
  <c r="L46"/>
  <c r="M46"/>
  <c r="B47"/>
  <c r="C47"/>
  <c r="D47"/>
  <c r="E47"/>
  <c r="S47" s="1"/>
  <c r="F47"/>
  <c r="G47"/>
  <c r="H47"/>
  <c r="J47"/>
  <c r="K47"/>
  <c r="L47"/>
  <c r="M47"/>
  <c r="B48"/>
  <c r="C48"/>
  <c r="D48"/>
  <c r="E48"/>
  <c r="S48" s="1"/>
  <c r="F48"/>
  <c r="G48"/>
  <c r="H48"/>
  <c r="J48"/>
  <c r="K48"/>
  <c r="L48"/>
  <c r="M48"/>
  <c r="B49"/>
  <c r="C49"/>
  <c r="D49"/>
  <c r="E49"/>
  <c r="S49" s="1"/>
  <c r="F49"/>
  <c r="G49"/>
  <c r="H49"/>
  <c r="J49"/>
  <c r="K49"/>
  <c r="L49"/>
  <c r="M49"/>
  <c r="B50"/>
  <c r="C50"/>
  <c r="D50"/>
  <c r="E50"/>
  <c r="S50" s="1"/>
  <c r="F50"/>
  <c r="G50"/>
  <c r="H50"/>
  <c r="J50"/>
  <c r="K50"/>
  <c r="L50"/>
  <c r="M50"/>
  <c r="B51"/>
  <c r="C51"/>
  <c r="D51"/>
  <c r="E51"/>
  <c r="S51" s="1"/>
  <c r="F51"/>
  <c r="G51"/>
  <c r="H51"/>
  <c r="J51"/>
  <c r="K51"/>
  <c r="L51"/>
  <c r="M51"/>
  <c r="B52"/>
  <c r="C52"/>
  <c r="D52"/>
  <c r="E52"/>
  <c r="S52" s="1"/>
  <c r="F52"/>
  <c r="G52"/>
  <c r="H52"/>
  <c r="J52"/>
  <c r="K52"/>
  <c r="L52"/>
  <c r="M52"/>
  <c r="B53"/>
  <c r="C53"/>
  <c r="D53"/>
  <c r="E53"/>
  <c r="S53" s="1"/>
  <c r="F53"/>
  <c r="G53"/>
  <c r="H53"/>
  <c r="J53"/>
  <c r="K53"/>
  <c r="L53"/>
  <c r="M53"/>
  <c r="B54"/>
  <c r="C54"/>
  <c r="D54"/>
  <c r="E54"/>
  <c r="S54" s="1"/>
  <c r="F54"/>
  <c r="G54"/>
  <c r="H54"/>
  <c r="J54"/>
  <c r="K54"/>
  <c r="L54"/>
  <c r="M54"/>
  <c r="B55"/>
  <c r="C55"/>
  <c r="D55"/>
  <c r="E55"/>
  <c r="S55" s="1"/>
  <c r="F55"/>
  <c r="G55"/>
  <c r="H55"/>
  <c r="J55"/>
  <c r="K55"/>
  <c r="L55"/>
  <c r="M55"/>
  <c r="B56"/>
  <c r="C56"/>
  <c r="D56"/>
  <c r="E56"/>
  <c r="S56" s="1"/>
  <c r="F56"/>
  <c r="G56"/>
  <c r="H56"/>
  <c r="J56"/>
  <c r="K56"/>
  <c r="L56"/>
  <c r="M56"/>
  <c r="B57"/>
  <c r="C57"/>
  <c r="D57"/>
  <c r="E57"/>
  <c r="S57" s="1"/>
  <c r="F57"/>
  <c r="G57"/>
  <c r="H57"/>
  <c r="J57"/>
  <c r="K57"/>
  <c r="L57"/>
  <c r="M57"/>
  <c r="B58"/>
  <c r="C58"/>
  <c r="D58"/>
  <c r="E58"/>
  <c r="S58" s="1"/>
  <c r="F58"/>
  <c r="G58"/>
  <c r="H58"/>
  <c r="J58"/>
  <c r="K58"/>
  <c r="L58"/>
  <c r="M58"/>
  <c r="B59"/>
  <c r="C59"/>
  <c r="D59"/>
  <c r="E59"/>
  <c r="S59" s="1"/>
  <c r="F59"/>
  <c r="G59"/>
  <c r="H59"/>
  <c r="J59"/>
  <c r="K59"/>
  <c r="L59"/>
  <c r="M59"/>
  <c r="B60"/>
  <c r="C60"/>
  <c r="D60"/>
  <c r="E60"/>
  <c r="S60" s="1"/>
  <c r="P60" s="1"/>
  <c r="T60" s="1"/>
  <c r="F60"/>
  <c r="G60"/>
  <c r="H60"/>
  <c r="J60"/>
  <c r="K60"/>
  <c r="L60"/>
  <c r="M60"/>
  <c r="B61"/>
  <c r="C61"/>
  <c r="D61"/>
  <c r="E61"/>
  <c r="S61" s="1"/>
  <c r="O61" s="1"/>
  <c r="F61"/>
  <c r="G61"/>
  <c r="H61"/>
  <c r="J61"/>
  <c r="K61"/>
  <c r="L61"/>
  <c r="M61"/>
  <c r="B62"/>
  <c r="C62"/>
  <c r="D62"/>
  <c r="E62"/>
  <c r="S62" s="1"/>
  <c r="F62"/>
  <c r="G62"/>
  <c r="H62"/>
  <c r="J62"/>
  <c r="K62"/>
  <c r="L62"/>
  <c r="M62"/>
  <c r="B63"/>
  <c r="C63"/>
  <c r="D63"/>
  <c r="E63"/>
  <c r="S63" s="1"/>
  <c r="P63" s="1"/>
  <c r="F63"/>
  <c r="G63"/>
  <c r="H63"/>
  <c r="J63"/>
  <c r="K63"/>
  <c r="L63"/>
  <c r="M63"/>
  <c r="B64"/>
  <c r="C64"/>
  <c r="D64"/>
  <c r="E64"/>
  <c r="S64" s="1"/>
  <c r="P64" s="1"/>
  <c r="F64"/>
  <c r="G64"/>
  <c r="H64"/>
  <c r="J64"/>
  <c r="K64"/>
  <c r="L64"/>
  <c r="M64"/>
  <c r="B65"/>
  <c r="C65"/>
  <c r="D65"/>
  <c r="E65"/>
  <c r="S65" s="1"/>
  <c r="F65"/>
  <c r="G65"/>
  <c r="H65"/>
  <c r="J65"/>
  <c r="K65"/>
  <c r="L65"/>
  <c r="M65"/>
  <c r="B66"/>
  <c r="C66"/>
  <c r="D66"/>
  <c r="E66"/>
  <c r="S66" s="1"/>
  <c r="F66"/>
  <c r="G66"/>
  <c r="H66"/>
  <c r="J66"/>
  <c r="K66"/>
  <c r="L66"/>
  <c r="M66"/>
  <c r="B67"/>
  <c r="C67"/>
  <c r="D67"/>
  <c r="E67"/>
  <c r="S67" s="1"/>
  <c r="P67" s="1"/>
  <c r="F67"/>
  <c r="G67"/>
  <c r="H67"/>
  <c r="J67"/>
  <c r="K67"/>
  <c r="L67"/>
  <c r="M67"/>
  <c r="B68"/>
  <c r="C68"/>
  <c r="D68"/>
  <c r="E68"/>
  <c r="S68" s="1"/>
  <c r="F68"/>
  <c r="G68"/>
  <c r="H68"/>
  <c r="J68"/>
  <c r="K68"/>
  <c r="L68"/>
  <c r="M68"/>
  <c r="B69"/>
  <c r="C69"/>
  <c r="D69"/>
  <c r="E69"/>
  <c r="S69" s="1"/>
  <c r="O69" s="1"/>
  <c r="F69"/>
  <c r="G69"/>
  <c r="H69"/>
  <c r="J69"/>
  <c r="K69"/>
  <c r="L69"/>
  <c r="M69"/>
  <c r="B70"/>
  <c r="C70"/>
  <c r="D70"/>
  <c r="E70"/>
  <c r="S70" s="1"/>
  <c r="P70" s="1"/>
  <c r="T70" s="1"/>
  <c r="F70"/>
  <c r="G70"/>
  <c r="H70"/>
  <c r="J70"/>
  <c r="K70"/>
  <c r="L70"/>
  <c r="M70"/>
  <c r="B71"/>
  <c r="C71"/>
  <c r="D71"/>
  <c r="E71"/>
  <c r="S71" s="1"/>
  <c r="F71"/>
  <c r="G71"/>
  <c r="H71"/>
  <c r="J71"/>
  <c r="K71"/>
  <c r="L71"/>
  <c r="M71"/>
  <c r="B72"/>
  <c r="C72"/>
  <c r="D72"/>
  <c r="E72"/>
  <c r="S72" s="1"/>
  <c r="O72" s="1"/>
  <c r="F72"/>
  <c r="G72"/>
  <c r="H72"/>
  <c r="J72"/>
  <c r="K72"/>
  <c r="L72"/>
  <c r="M72"/>
  <c r="B73"/>
  <c r="C73"/>
  <c r="D73"/>
  <c r="E73"/>
  <c r="S73" s="1"/>
  <c r="F73"/>
  <c r="G73"/>
  <c r="H73"/>
  <c r="J73"/>
  <c r="K73"/>
  <c r="L73"/>
  <c r="M73"/>
  <c r="B74"/>
  <c r="C74"/>
  <c r="D74"/>
  <c r="E74"/>
  <c r="S74" s="1"/>
  <c r="F74"/>
  <c r="G74"/>
  <c r="H74"/>
  <c r="J74"/>
  <c r="K74"/>
  <c r="L74"/>
  <c r="M74"/>
  <c r="B75"/>
  <c r="C75"/>
  <c r="D75"/>
  <c r="E75"/>
  <c r="S75" s="1"/>
  <c r="F75"/>
  <c r="G75"/>
  <c r="H75"/>
  <c r="J75"/>
  <c r="K75"/>
  <c r="L75"/>
  <c r="M75"/>
  <c r="B76"/>
  <c r="C76"/>
  <c r="D76"/>
  <c r="E76"/>
  <c r="F76"/>
  <c r="G76"/>
  <c r="H76"/>
  <c r="J76"/>
  <c r="K76"/>
  <c r="L76"/>
  <c r="M76"/>
  <c r="S76"/>
  <c r="B77"/>
  <c r="C77"/>
  <c r="D77"/>
  <c r="E77"/>
  <c r="S77" s="1"/>
  <c r="O77" s="1"/>
  <c r="F77"/>
  <c r="G77"/>
  <c r="H77"/>
  <c r="J77"/>
  <c r="K77"/>
  <c r="L77"/>
  <c r="M77"/>
  <c r="B78"/>
  <c r="C78"/>
  <c r="D78"/>
  <c r="E78"/>
  <c r="S78" s="1"/>
  <c r="O78" s="1"/>
  <c r="F78"/>
  <c r="G78"/>
  <c r="H78"/>
  <c r="J78"/>
  <c r="K78"/>
  <c r="L78"/>
  <c r="M78"/>
  <c r="B79"/>
  <c r="C79"/>
  <c r="D79"/>
  <c r="E79"/>
  <c r="S79" s="1"/>
  <c r="F79"/>
  <c r="G79"/>
  <c r="H79"/>
  <c r="J79"/>
  <c r="K79"/>
  <c r="L79"/>
  <c r="M79"/>
  <c r="B80"/>
  <c r="C80"/>
  <c r="D80"/>
  <c r="E80"/>
  <c r="S80" s="1"/>
  <c r="F80"/>
  <c r="G80"/>
  <c r="H80"/>
  <c r="J80"/>
  <c r="K80"/>
  <c r="L80"/>
  <c r="M80"/>
  <c r="B81"/>
  <c r="C81"/>
  <c r="D81"/>
  <c r="E81"/>
  <c r="S81" s="1"/>
  <c r="P81" s="1"/>
  <c r="I81" s="1"/>
  <c r="F81"/>
  <c r="G81"/>
  <c r="H81"/>
  <c r="J81"/>
  <c r="K81"/>
  <c r="L81"/>
  <c r="M81"/>
  <c r="B82"/>
  <c r="C82"/>
  <c r="D82"/>
  <c r="E82"/>
  <c r="S82" s="1"/>
  <c r="O82" s="1"/>
  <c r="F82"/>
  <c r="G82"/>
  <c r="H82"/>
  <c r="J82"/>
  <c r="K82"/>
  <c r="L82"/>
  <c r="M82"/>
  <c r="B83"/>
  <c r="C83"/>
  <c r="D83"/>
  <c r="E83"/>
  <c r="S83" s="1"/>
  <c r="F83"/>
  <c r="G83"/>
  <c r="H83"/>
  <c r="J83"/>
  <c r="K83"/>
  <c r="L83"/>
  <c r="M83"/>
  <c r="B84"/>
  <c r="C84"/>
  <c r="D84"/>
  <c r="E84"/>
  <c r="S84" s="1"/>
  <c r="F84"/>
  <c r="G84"/>
  <c r="H84"/>
  <c r="J84"/>
  <c r="K84"/>
  <c r="L84"/>
  <c r="M84"/>
  <c r="B85"/>
  <c r="C85"/>
  <c r="D85"/>
  <c r="E85"/>
  <c r="S85" s="1"/>
  <c r="O85" s="1"/>
  <c r="F85"/>
  <c r="G85"/>
  <c r="H85"/>
  <c r="J85"/>
  <c r="K85"/>
  <c r="L85"/>
  <c r="M85"/>
  <c r="B86"/>
  <c r="C86"/>
  <c r="D86"/>
  <c r="E86"/>
  <c r="S86" s="1"/>
  <c r="F86"/>
  <c r="G86"/>
  <c r="H86"/>
  <c r="J86"/>
  <c r="K86"/>
  <c r="L86"/>
  <c r="M86"/>
  <c r="B87"/>
  <c r="C87"/>
  <c r="D87"/>
  <c r="E87"/>
  <c r="S87" s="1"/>
  <c r="O87" s="1"/>
  <c r="F87"/>
  <c r="G87"/>
  <c r="H87"/>
  <c r="J87"/>
  <c r="K87"/>
  <c r="L87"/>
  <c r="M87"/>
  <c r="B88"/>
  <c r="C88"/>
  <c r="D88"/>
  <c r="E88"/>
  <c r="S88" s="1"/>
  <c r="F88"/>
  <c r="G88"/>
  <c r="H88"/>
  <c r="J88"/>
  <c r="K88"/>
  <c r="L88"/>
  <c r="M88"/>
  <c r="B89"/>
  <c r="C89"/>
  <c r="D89"/>
  <c r="E89"/>
  <c r="F89"/>
  <c r="G89"/>
  <c r="H89"/>
  <c r="J89"/>
  <c r="K89"/>
  <c r="L89"/>
  <c r="M89"/>
  <c r="S89"/>
  <c r="O89" s="1"/>
  <c r="B90"/>
  <c r="C90"/>
  <c r="D90"/>
  <c r="E90"/>
  <c r="S90" s="1"/>
  <c r="F90"/>
  <c r="G90"/>
  <c r="H90"/>
  <c r="J90"/>
  <c r="K90"/>
  <c r="L90"/>
  <c r="M90"/>
  <c r="B91"/>
  <c r="C91"/>
  <c r="D91"/>
  <c r="E91"/>
  <c r="S91" s="1"/>
  <c r="F91"/>
  <c r="G91"/>
  <c r="H91"/>
  <c r="J91"/>
  <c r="K91"/>
  <c r="L91"/>
  <c r="M91"/>
  <c r="B92"/>
  <c r="C92"/>
  <c r="D92"/>
  <c r="E92"/>
  <c r="S92" s="1"/>
  <c r="F92"/>
  <c r="G92"/>
  <c r="H92"/>
  <c r="J92"/>
  <c r="K92"/>
  <c r="L92"/>
  <c r="M92"/>
  <c r="B93"/>
  <c r="C93"/>
  <c r="D93"/>
  <c r="E93"/>
  <c r="S93" s="1"/>
  <c r="O93" s="1"/>
  <c r="F93"/>
  <c r="G93"/>
  <c r="H93"/>
  <c r="J93"/>
  <c r="K93"/>
  <c r="L93"/>
  <c r="M93"/>
  <c r="B94"/>
  <c r="C94"/>
  <c r="D94"/>
  <c r="E94"/>
  <c r="S94" s="1"/>
  <c r="F94"/>
  <c r="G94"/>
  <c r="H94"/>
  <c r="J94"/>
  <c r="K94"/>
  <c r="L94"/>
  <c r="M94"/>
  <c r="B95"/>
  <c r="C95"/>
  <c r="D95"/>
  <c r="E95"/>
  <c r="S95" s="1"/>
  <c r="F95"/>
  <c r="G95"/>
  <c r="H95"/>
  <c r="J95"/>
  <c r="K95"/>
  <c r="L95"/>
  <c r="M95"/>
  <c r="B96"/>
  <c r="C96"/>
  <c r="D96"/>
  <c r="E96"/>
  <c r="S96" s="1"/>
  <c r="P96" s="1"/>
  <c r="F96"/>
  <c r="G96"/>
  <c r="H96"/>
  <c r="J96"/>
  <c r="K96"/>
  <c r="L96"/>
  <c r="M96"/>
  <c r="B97"/>
  <c r="C97"/>
  <c r="D97"/>
  <c r="E97"/>
  <c r="S97" s="1"/>
  <c r="F97"/>
  <c r="G97"/>
  <c r="H97"/>
  <c r="J97"/>
  <c r="K97"/>
  <c r="L97"/>
  <c r="M97"/>
  <c r="B98"/>
  <c r="C98"/>
  <c r="D98"/>
  <c r="E98"/>
  <c r="S98" s="1"/>
  <c r="O98" s="1"/>
  <c r="F98"/>
  <c r="G98"/>
  <c r="H98"/>
  <c r="J98"/>
  <c r="K98"/>
  <c r="L98"/>
  <c r="M98"/>
  <c r="B99"/>
  <c r="C99"/>
  <c r="D99"/>
  <c r="E99"/>
  <c r="S99" s="1"/>
  <c r="P99" s="1"/>
  <c r="F99"/>
  <c r="G99"/>
  <c r="H99"/>
  <c r="J99"/>
  <c r="K99"/>
  <c r="L99"/>
  <c r="M99"/>
  <c r="B100"/>
  <c r="C100"/>
  <c r="D100"/>
  <c r="E100"/>
  <c r="S100" s="1"/>
  <c r="F100"/>
  <c r="G100"/>
  <c r="H100"/>
  <c r="J100"/>
  <c r="K100"/>
  <c r="L100"/>
  <c r="M100"/>
  <c r="B101"/>
  <c r="C101"/>
  <c r="D101"/>
  <c r="E101"/>
  <c r="S101" s="1"/>
  <c r="F101"/>
  <c r="G101"/>
  <c r="H101"/>
  <c r="J101"/>
  <c r="K101"/>
  <c r="L101"/>
  <c r="M101"/>
  <c r="B102"/>
  <c r="C102"/>
  <c r="D102"/>
  <c r="E102"/>
  <c r="S102" s="1"/>
  <c r="P102" s="1"/>
  <c r="F102"/>
  <c r="G102"/>
  <c r="H102"/>
  <c r="J102"/>
  <c r="K102"/>
  <c r="L102"/>
  <c r="M102"/>
  <c r="B103"/>
  <c r="C103"/>
  <c r="D103"/>
  <c r="E103"/>
  <c r="S103" s="1"/>
  <c r="F103"/>
  <c r="G103"/>
  <c r="H103"/>
  <c r="J103"/>
  <c r="K103"/>
  <c r="L103"/>
  <c r="M103"/>
  <c r="B104"/>
  <c r="C104"/>
  <c r="D104"/>
  <c r="E104"/>
  <c r="S104" s="1"/>
  <c r="F104"/>
  <c r="G104"/>
  <c r="H104"/>
  <c r="J104"/>
  <c r="K104"/>
  <c r="L104"/>
  <c r="M104"/>
  <c r="B105"/>
  <c r="C105"/>
  <c r="D105"/>
  <c r="E105"/>
  <c r="S105" s="1"/>
  <c r="O105" s="1"/>
  <c r="F105"/>
  <c r="G105"/>
  <c r="H105"/>
  <c r="J105"/>
  <c r="K105"/>
  <c r="L105"/>
  <c r="M105"/>
  <c r="B106"/>
  <c r="C106"/>
  <c r="D106"/>
  <c r="E106"/>
  <c r="S106" s="1"/>
  <c r="F106"/>
  <c r="G106"/>
  <c r="H106"/>
  <c r="J106"/>
  <c r="K106"/>
  <c r="L106"/>
  <c r="M106"/>
  <c r="B107"/>
  <c r="C107"/>
  <c r="D107"/>
  <c r="E107"/>
  <c r="S107" s="1"/>
  <c r="F107"/>
  <c r="G107"/>
  <c r="H107"/>
  <c r="J107"/>
  <c r="K107"/>
  <c r="L107"/>
  <c r="M107"/>
  <c r="B108"/>
  <c r="C108"/>
  <c r="D108"/>
  <c r="E108"/>
  <c r="S108" s="1"/>
  <c r="F108"/>
  <c r="G108"/>
  <c r="H108"/>
  <c r="J108"/>
  <c r="K108"/>
  <c r="L108"/>
  <c r="M108"/>
  <c r="B109"/>
  <c r="C109"/>
  <c r="D109"/>
  <c r="E109"/>
  <c r="S109" s="1"/>
  <c r="O109" s="1"/>
  <c r="F109"/>
  <c r="G109"/>
  <c r="H109"/>
  <c r="J109"/>
  <c r="K109"/>
  <c r="L109"/>
  <c r="M109"/>
  <c r="B110"/>
  <c r="C110"/>
  <c r="D110"/>
  <c r="E110"/>
  <c r="S110" s="1"/>
  <c r="F110"/>
  <c r="G110"/>
  <c r="H110"/>
  <c r="J110"/>
  <c r="K110"/>
  <c r="L110"/>
  <c r="M110"/>
  <c r="B111"/>
  <c r="C111"/>
  <c r="D111"/>
  <c r="E111"/>
  <c r="S111" s="1"/>
  <c r="O111" s="1"/>
  <c r="F111"/>
  <c r="G111"/>
  <c r="H111"/>
  <c r="J111"/>
  <c r="K111"/>
  <c r="L111"/>
  <c r="M111"/>
  <c r="B112"/>
  <c r="C112"/>
  <c r="D112"/>
  <c r="E112"/>
  <c r="S112" s="1"/>
  <c r="F112"/>
  <c r="G112"/>
  <c r="H112"/>
  <c r="J112"/>
  <c r="K112"/>
  <c r="L112"/>
  <c r="M112"/>
  <c r="B113"/>
  <c r="C113"/>
  <c r="D113"/>
  <c r="E113"/>
  <c r="S113" s="1"/>
  <c r="F113"/>
  <c r="G113"/>
  <c r="H113"/>
  <c r="J113"/>
  <c r="K113"/>
  <c r="L113"/>
  <c r="M113"/>
  <c r="B114"/>
  <c r="C114"/>
  <c r="D114"/>
  <c r="E114"/>
  <c r="S114" s="1"/>
  <c r="O114" s="1"/>
  <c r="F114"/>
  <c r="G114"/>
  <c r="H114"/>
  <c r="J114"/>
  <c r="K114"/>
  <c r="L114"/>
  <c r="M114"/>
  <c r="B115"/>
  <c r="C115"/>
  <c r="D115"/>
  <c r="E115"/>
  <c r="S115" s="1"/>
  <c r="F115"/>
  <c r="G115"/>
  <c r="H115"/>
  <c r="J115"/>
  <c r="K115"/>
  <c r="L115"/>
  <c r="M115"/>
  <c r="B116"/>
  <c r="C116"/>
  <c r="D116"/>
  <c r="E116"/>
  <c r="S116" s="1"/>
  <c r="F116"/>
  <c r="G116"/>
  <c r="H116"/>
  <c r="J116"/>
  <c r="K116"/>
  <c r="L116"/>
  <c r="M116"/>
  <c r="B117"/>
  <c r="C117"/>
  <c r="D117"/>
  <c r="E117"/>
  <c r="S117" s="1"/>
  <c r="F117"/>
  <c r="G117"/>
  <c r="H117"/>
  <c r="J117"/>
  <c r="K117"/>
  <c r="L117"/>
  <c r="M117"/>
  <c r="B118"/>
  <c r="C118"/>
  <c r="D118"/>
  <c r="E118"/>
  <c r="S118" s="1"/>
  <c r="O118" s="1"/>
  <c r="F118"/>
  <c r="G118"/>
  <c r="H118"/>
  <c r="J118"/>
  <c r="K118"/>
  <c r="L118"/>
  <c r="M118"/>
  <c r="B119"/>
  <c r="C119"/>
  <c r="D119"/>
  <c r="E119"/>
  <c r="S119" s="1"/>
  <c r="F119"/>
  <c r="G119"/>
  <c r="H119"/>
  <c r="J119"/>
  <c r="K119"/>
  <c r="L119"/>
  <c r="M119"/>
  <c r="B120"/>
  <c r="C120"/>
  <c r="D120"/>
  <c r="E120"/>
  <c r="S120" s="1"/>
  <c r="F120"/>
  <c r="G120"/>
  <c r="H120"/>
  <c r="J120"/>
  <c r="K120"/>
  <c r="L120"/>
  <c r="M120"/>
  <c r="B121"/>
  <c r="C121"/>
  <c r="D121"/>
  <c r="E121"/>
  <c r="S121" s="1"/>
  <c r="F121"/>
  <c r="G121"/>
  <c r="H121"/>
  <c r="J121"/>
  <c r="K121"/>
  <c r="L121"/>
  <c r="M121"/>
  <c r="B122"/>
  <c r="C122"/>
  <c r="D122"/>
  <c r="E122"/>
  <c r="S122" s="1"/>
  <c r="F122"/>
  <c r="G122"/>
  <c r="H122"/>
  <c r="J122"/>
  <c r="K122"/>
  <c r="L122"/>
  <c r="M122"/>
  <c r="B123"/>
  <c r="C123"/>
  <c r="D123"/>
  <c r="E123"/>
  <c r="S123" s="1"/>
  <c r="F123"/>
  <c r="G123"/>
  <c r="H123"/>
  <c r="J123"/>
  <c r="K123"/>
  <c r="L123"/>
  <c r="M123"/>
  <c r="B124"/>
  <c r="C124"/>
  <c r="D124"/>
  <c r="E124"/>
  <c r="S124" s="1"/>
  <c r="F124"/>
  <c r="G124"/>
  <c r="H124"/>
  <c r="J124"/>
  <c r="K124"/>
  <c r="L124"/>
  <c r="M124"/>
  <c r="B125"/>
  <c r="C125"/>
  <c r="D125"/>
  <c r="E125"/>
  <c r="S125" s="1"/>
  <c r="F125"/>
  <c r="G125"/>
  <c r="H125"/>
  <c r="J125"/>
  <c r="K125"/>
  <c r="L125"/>
  <c r="M125"/>
  <c r="B126"/>
  <c r="C126"/>
  <c r="D126"/>
  <c r="E126"/>
  <c r="S126" s="1"/>
  <c r="F126"/>
  <c r="G126"/>
  <c r="H126"/>
  <c r="J126"/>
  <c r="K126"/>
  <c r="L126"/>
  <c r="M126"/>
  <c r="B127"/>
  <c r="C127"/>
  <c r="D127"/>
  <c r="E127"/>
  <c r="S127" s="1"/>
  <c r="F127"/>
  <c r="G127"/>
  <c r="H127"/>
  <c r="J127"/>
  <c r="K127"/>
  <c r="L127"/>
  <c r="M127"/>
  <c r="B128"/>
  <c r="C128"/>
  <c r="D128"/>
  <c r="E128"/>
  <c r="S128" s="1"/>
  <c r="F128"/>
  <c r="G128"/>
  <c r="H128"/>
  <c r="J128"/>
  <c r="K128"/>
  <c r="L128"/>
  <c r="M128"/>
  <c r="B129"/>
  <c r="C129"/>
  <c r="D129"/>
  <c r="E129"/>
  <c r="S129" s="1"/>
  <c r="F129"/>
  <c r="G129"/>
  <c r="H129"/>
  <c r="J129"/>
  <c r="K129"/>
  <c r="L129"/>
  <c r="M129"/>
  <c r="B130"/>
  <c r="C130"/>
  <c r="D130"/>
  <c r="E130"/>
  <c r="S130" s="1"/>
  <c r="F130"/>
  <c r="G130"/>
  <c r="H130"/>
  <c r="J130"/>
  <c r="K130"/>
  <c r="L130"/>
  <c r="M130"/>
  <c r="B131"/>
  <c r="C131"/>
  <c r="D131"/>
  <c r="E131"/>
  <c r="S131" s="1"/>
  <c r="F131"/>
  <c r="G131"/>
  <c r="H131"/>
  <c r="J131"/>
  <c r="K131"/>
  <c r="L131"/>
  <c r="M131"/>
  <c r="B132"/>
  <c r="C132"/>
  <c r="D132"/>
  <c r="E132"/>
  <c r="S132" s="1"/>
  <c r="O132" s="1"/>
  <c r="F132"/>
  <c r="G132"/>
  <c r="H132"/>
  <c r="J132"/>
  <c r="K132"/>
  <c r="L132"/>
  <c r="M132"/>
  <c r="B133"/>
  <c r="C133"/>
  <c r="D133"/>
  <c r="E133"/>
  <c r="S133" s="1"/>
  <c r="F133"/>
  <c r="G133"/>
  <c r="H133"/>
  <c r="J133"/>
  <c r="K133"/>
  <c r="L133"/>
  <c r="M133"/>
  <c r="B134"/>
  <c r="C134"/>
  <c r="D134"/>
  <c r="E134"/>
  <c r="S134" s="1"/>
  <c r="O134" s="1"/>
  <c r="F134"/>
  <c r="G134"/>
  <c r="H134"/>
  <c r="J134"/>
  <c r="K134"/>
  <c r="L134"/>
  <c r="M134"/>
  <c r="B135"/>
  <c r="C135"/>
  <c r="D135"/>
  <c r="E135"/>
  <c r="S135" s="1"/>
  <c r="F135"/>
  <c r="G135"/>
  <c r="H135"/>
  <c r="J135"/>
  <c r="K135"/>
  <c r="L135"/>
  <c r="M135"/>
  <c r="B136"/>
  <c r="C136"/>
  <c r="D136"/>
  <c r="E136"/>
  <c r="S136" s="1"/>
  <c r="F136"/>
  <c r="G136"/>
  <c r="H136"/>
  <c r="J136"/>
  <c r="K136"/>
  <c r="L136"/>
  <c r="M136"/>
  <c r="B137"/>
  <c r="C137"/>
  <c r="D137"/>
  <c r="E137"/>
  <c r="S137" s="1"/>
  <c r="P137" s="1"/>
  <c r="F137"/>
  <c r="G137"/>
  <c r="H137"/>
  <c r="J137"/>
  <c r="K137"/>
  <c r="L137"/>
  <c r="M137"/>
  <c r="B138"/>
  <c r="C138"/>
  <c r="D138"/>
  <c r="E138"/>
  <c r="S138" s="1"/>
  <c r="F138"/>
  <c r="G138"/>
  <c r="H138"/>
  <c r="J138"/>
  <c r="K138"/>
  <c r="L138"/>
  <c r="M138"/>
  <c r="B139"/>
  <c r="C139"/>
  <c r="D139"/>
  <c r="E139"/>
  <c r="S139" s="1"/>
  <c r="F139"/>
  <c r="G139"/>
  <c r="H139"/>
  <c r="J139"/>
  <c r="K139"/>
  <c r="L139"/>
  <c r="M139"/>
  <c r="B140"/>
  <c r="C140"/>
  <c r="D140"/>
  <c r="E140"/>
  <c r="S140" s="1"/>
  <c r="F140"/>
  <c r="G140"/>
  <c r="H140"/>
  <c r="J140"/>
  <c r="K140"/>
  <c r="L140"/>
  <c r="M140"/>
  <c r="B141"/>
  <c r="C141"/>
  <c r="D141"/>
  <c r="E141"/>
  <c r="S141" s="1"/>
  <c r="F141"/>
  <c r="G141"/>
  <c r="H141"/>
  <c r="J141"/>
  <c r="K141"/>
  <c r="L141"/>
  <c r="M141"/>
  <c r="B142"/>
  <c r="C142"/>
  <c r="D142"/>
  <c r="E142"/>
  <c r="S142" s="1"/>
  <c r="F142"/>
  <c r="G142"/>
  <c r="H142"/>
  <c r="J142"/>
  <c r="K142"/>
  <c r="L142"/>
  <c r="M142"/>
  <c r="B143"/>
  <c r="C143"/>
  <c r="D143"/>
  <c r="E143"/>
  <c r="S143" s="1"/>
  <c r="F143"/>
  <c r="G143"/>
  <c r="H143"/>
  <c r="J143"/>
  <c r="K143"/>
  <c r="L143"/>
  <c r="M143"/>
  <c r="B144"/>
  <c r="C144"/>
  <c r="D144"/>
  <c r="E144"/>
  <c r="S144" s="1"/>
  <c r="P144" s="1"/>
  <c r="N144" s="1"/>
  <c r="F144"/>
  <c r="G144"/>
  <c r="H144"/>
  <c r="J144"/>
  <c r="K144"/>
  <c r="L144"/>
  <c r="M144"/>
  <c r="B145"/>
  <c r="C145"/>
  <c r="D145"/>
  <c r="E145"/>
  <c r="S145" s="1"/>
  <c r="F145"/>
  <c r="G145"/>
  <c r="H145"/>
  <c r="J145"/>
  <c r="K145"/>
  <c r="L145"/>
  <c r="M145"/>
  <c r="B146"/>
  <c r="C146"/>
  <c r="D146"/>
  <c r="E146"/>
  <c r="S146" s="1"/>
  <c r="F146"/>
  <c r="G146"/>
  <c r="H146"/>
  <c r="J146"/>
  <c r="K146"/>
  <c r="L146"/>
  <c r="M146"/>
  <c r="B147"/>
  <c r="C147"/>
  <c r="D147"/>
  <c r="E147"/>
  <c r="S147" s="1"/>
  <c r="O147" s="1"/>
  <c r="F147"/>
  <c r="G147"/>
  <c r="H147"/>
  <c r="J147"/>
  <c r="K147"/>
  <c r="L147"/>
  <c r="M147"/>
  <c r="B148"/>
  <c r="C148"/>
  <c r="D148"/>
  <c r="E148"/>
  <c r="S148" s="1"/>
  <c r="F148"/>
  <c r="G148"/>
  <c r="H148"/>
  <c r="J148"/>
  <c r="K148"/>
  <c r="L148"/>
  <c r="M148"/>
  <c r="B149"/>
  <c r="C149"/>
  <c r="D149"/>
  <c r="E149"/>
  <c r="S149" s="1"/>
  <c r="F149"/>
  <c r="G149"/>
  <c r="H149"/>
  <c r="J149"/>
  <c r="K149"/>
  <c r="L149"/>
  <c r="M149"/>
  <c r="B150"/>
  <c r="C150"/>
  <c r="D150"/>
  <c r="E150"/>
  <c r="S150" s="1"/>
  <c r="F150"/>
  <c r="G150"/>
  <c r="H150"/>
  <c r="J150"/>
  <c r="K150"/>
  <c r="L150"/>
  <c r="M150"/>
  <c r="B151"/>
  <c r="C151"/>
  <c r="D151"/>
  <c r="E151"/>
  <c r="S151" s="1"/>
  <c r="F151"/>
  <c r="G151"/>
  <c r="H151"/>
  <c r="J151"/>
  <c r="K151"/>
  <c r="L151"/>
  <c r="M151"/>
  <c r="B152"/>
  <c r="C152"/>
  <c r="D152"/>
  <c r="E152"/>
  <c r="S152" s="1"/>
  <c r="O152" s="1"/>
  <c r="F152"/>
  <c r="G152"/>
  <c r="H152"/>
  <c r="J152"/>
  <c r="K152"/>
  <c r="L152"/>
  <c r="M152"/>
  <c r="B153"/>
  <c r="C153"/>
  <c r="D153"/>
  <c r="E153"/>
  <c r="S153" s="1"/>
  <c r="F153"/>
  <c r="G153"/>
  <c r="H153"/>
  <c r="J153"/>
  <c r="K153"/>
  <c r="L153"/>
  <c r="M153"/>
  <c r="B154"/>
  <c r="C154"/>
  <c r="D154"/>
  <c r="E154"/>
  <c r="S154" s="1"/>
  <c r="F154"/>
  <c r="G154"/>
  <c r="H154"/>
  <c r="J154"/>
  <c r="K154"/>
  <c r="L154"/>
  <c r="M154"/>
  <c r="B155"/>
  <c r="C155"/>
  <c r="D155"/>
  <c r="E155"/>
  <c r="S155" s="1"/>
  <c r="F155"/>
  <c r="G155"/>
  <c r="H155"/>
  <c r="J155"/>
  <c r="K155"/>
  <c r="L155"/>
  <c r="M155"/>
  <c r="B156"/>
  <c r="C156"/>
  <c r="D156"/>
  <c r="E156"/>
  <c r="S156" s="1"/>
  <c r="F156"/>
  <c r="G156"/>
  <c r="H156"/>
  <c r="J156"/>
  <c r="K156"/>
  <c r="L156"/>
  <c r="M156"/>
  <c r="B157"/>
  <c r="C157"/>
  <c r="D157"/>
  <c r="E157"/>
  <c r="S157" s="1"/>
  <c r="P157" s="1"/>
  <c r="F157"/>
  <c r="G157"/>
  <c r="H157"/>
  <c r="J157"/>
  <c r="K157"/>
  <c r="L157"/>
  <c r="M157"/>
  <c r="B158"/>
  <c r="C158"/>
  <c r="D158"/>
  <c r="E158"/>
  <c r="S158" s="1"/>
  <c r="F158"/>
  <c r="G158"/>
  <c r="H158"/>
  <c r="J158"/>
  <c r="K158"/>
  <c r="L158"/>
  <c r="M158"/>
  <c r="B159"/>
  <c r="C159"/>
  <c r="D159"/>
  <c r="E159"/>
  <c r="S159" s="1"/>
  <c r="F159"/>
  <c r="G159"/>
  <c r="H159"/>
  <c r="J159"/>
  <c r="K159"/>
  <c r="L159"/>
  <c r="M159"/>
  <c r="B160"/>
  <c r="C160"/>
  <c r="D160"/>
  <c r="E160"/>
  <c r="S160" s="1"/>
  <c r="F160"/>
  <c r="G160"/>
  <c r="H160"/>
  <c r="J160"/>
  <c r="K160"/>
  <c r="L160"/>
  <c r="M160"/>
  <c r="B161"/>
  <c r="C161"/>
  <c r="D161"/>
  <c r="E161"/>
  <c r="S161" s="1"/>
  <c r="P161" s="1"/>
  <c r="N161" s="1"/>
  <c r="F161"/>
  <c r="G161"/>
  <c r="H161"/>
  <c r="J161"/>
  <c r="K161"/>
  <c r="L161"/>
  <c r="M161"/>
  <c r="B162"/>
  <c r="C162"/>
  <c r="D162"/>
  <c r="E162"/>
  <c r="S162" s="1"/>
  <c r="F162"/>
  <c r="G162"/>
  <c r="H162"/>
  <c r="J162"/>
  <c r="K162"/>
  <c r="L162"/>
  <c r="M162"/>
  <c r="B163"/>
  <c r="C163"/>
  <c r="D163"/>
  <c r="E163"/>
  <c r="S163" s="1"/>
  <c r="O163" s="1"/>
  <c r="F163"/>
  <c r="G163"/>
  <c r="H163"/>
  <c r="J163"/>
  <c r="K163"/>
  <c r="L163"/>
  <c r="M163"/>
  <c r="B164"/>
  <c r="C164"/>
  <c r="D164"/>
  <c r="E164"/>
  <c r="S164" s="1"/>
  <c r="O164" s="1"/>
  <c r="F164"/>
  <c r="G164"/>
  <c r="H164"/>
  <c r="J164"/>
  <c r="K164"/>
  <c r="L164"/>
  <c r="M164"/>
  <c r="B165"/>
  <c r="C165"/>
  <c r="D165"/>
  <c r="E165"/>
  <c r="S165" s="1"/>
  <c r="F165"/>
  <c r="G165"/>
  <c r="H165"/>
  <c r="J165"/>
  <c r="K165"/>
  <c r="L165"/>
  <c r="M165"/>
  <c r="B166"/>
  <c r="C166"/>
  <c r="D166"/>
  <c r="E166"/>
  <c r="S166" s="1"/>
  <c r="O166" s="1"/>
  <c r="F166"/>
  <c r="G166"/>
  <c r="H166"/>
  <c r="J166"/>
  <c r="K166"/>
  <c r="L166"/>
  <c r="M166"/>
  <c r="B167"/>
  <c r="C167"/>
  <c r="D167"/>
  <c r="E167"/>
  <c r="S167" s="1"/>
  <c r="O167" s="1"/>
  <c r="F167"/>
  <c r="G167"/>
  <c r="H167"/>
  <c r="J167"/>
  <c r="K167"/>
  <c r="L167"/>
  <c r="M167"/>
  <c r="B168"/>
  <c r="C168"/>
  <c r="D168"/>
  <c r="E168"/>
  <c r="S168" s="1"/>
  <c r="P168" s="1"/>
  <c r="T168" s="1"/>
  <c r="F168"/>
  <c r="G168"/>
  <c r="H168"/>
  <c r="J168"/>
  <c r="K168"/>
  <c r="L168"/>
  <c r="M168"/>
  <c r="B169"/>
  <c r="C169"/>
  <c r="D169"/>
  <c r="E169"/>
  <c r="S169" s="1"/>
  <c r="P169" s="1"/>
  <c r="N169" s="1"/>
  <c r="F169"/>
  <c r="G169"/>
  <c r="H169"/>
  <c r="J169"/>
  <c r="K169"/>
  <c r="L169"/>
  <c r="M169"/>
  <c r="B170"/>
  <c r="C170"/>
  <c r="D170"/>
  <c r="E170"/>
  <c r="S170" s="1"/>
  <c r="O170" s="1"/>
  <c r="F170"/>
  <c r="G170"/>
  <c r="H170"/>
  <c r="J170"/>
  <c r="K170"/>
  <c r="L170"/>
  <c r="M170"/>
  <c r="B171"/>
  <c r="C171"/>
  <c r="D171"/>
  <c r="E171"/>
  <c r="S171" s="1"/>
  <c r="F171"/>
  <c r="G171"/>
  <c r="H171"/>
  <c r="J171"/>
  <c r="K171"/>
  <c r="L171"/>
  <c r="M171"/>
  <c r="B172"/>
  <c r="C172"/>
  <c r="D172"/>
  <c r="E172"/>
  <c r="S172" s="1"/>
  <c r="F172"/>
  <c r="G172"/>
  <c r="H172"/>
  <c r="J172"/>
  <c r="K172"/>
  <c r="L172"/>
  <c r="M172"/>
  <c r="B173"/>
  <c r="C173"/>
  <c r="D173"/>
  <c r="E173"/>
  <c r="S173" s="1"/>
  <c r="F173"/>
  <c r="G173"/>
  <c r="H173"/>
  <c r="J173"/>
  <c r="K173"/>
  <c r="L173"/>
  <c r="M173"/>
  <c r="B174"/>
  <c r="C174"/>
  <c r="D174"/>
  <c r="E174"/>
  <c r="S174" s="1"/>
  <c r="F174"/>
  <c r="G174"/>
  <c r="H174"/>
  <c r="J174"/>
  <c r="K174"/>
  <c r="L174"/>
  <c r="M174"/>
  <c r="B175"/>
  <c r="C175"/>
  <c r="D175"/>
  <c r="E175"/>
  <c r="S175" s="1"/>
  <c r="F175"/>
  <c r="G175"/>
  <c r="H175"/>
  <c r="J175"/>
  <c r="K175"/>
  <c r="L175"/>
  <c r="M175"/>
  <c r="B176"/>
  <c r="C176"/>
  <c r="D176"/>
  <c r="E176"/>
  <c r="S176" s="1"/>
  <c r="F176"/>
  <c r="G176"/>
  <c r="H176"/>
  <c r="J176"/>
  <c r="K176"/>
  <c r="L176"/>
  <c r="M176"/>
  <c r="B177"/>
  <c r="C177"/>
  <c r="D177"/>
  <c r="E177"/>
  <c r="S177" s="1"/>
  <c r="P177" s="1"/>
  <c r="F177"/>
  <c r="G177"/>
  <c r="H177"/>
  <c r="J177"/>
  <c r="K177"/>
  <c r="L177"/>
  <c r="M177"/>
  <c r="B178"/>
  <c r="C178"/>
  <c r="D178"/>
  <c r="E178"/>
  <c r="S178" s="1"/>
  <c r="F178"/>
  <c r="G178"/>
  <c r="H178"/>
  <c r="J178"/>
  <c r="K178"/>
  <c r="L178"/>
  <c r="M178"/>
  <c r="B179"/>
  <c r="C179"/>
  <c r="D179"/>
  <c r="E179"/>
  <c r="S179" s="1"/>
  <c r="O179" s="1"/>
  <c r="F179"/>
  <c r="G179"/>
  <c r="H179"/>
  <c r="J179"/>
  <c r="K179"/>
  <c r="L179"/>
  <c r="M179"/>
  <c r="B180"/>
  <c r="C180"/>
  <c r="D180"/>
  <c r="E180"/>
  <c r="S180" s="1"/>
  <c r="O180" s="1"/>
  <c r="F180"/>
  <c r="G180"/>
  <c r="H180"/>
  <c r="J180"/>
  <c r="K180"/>
  <c r="L180"/>
  <c r="M180"/>
  <c r="B181"/>
  <c r="C181"/>
  <c r="D181"/>
  <c r="E181"/>
  <c r="S181" s="1"/>
  <c r="F181"/>
  <c r="G181"/>
  <c r="H181"/>
  <c r="J181"/>
  <c r="K181"/>
  <c r="L181"/>
  <c r="M181"/>
  <c r="B182"/>
  <c r="C182"/>
  <c r="D182"/>
  <c r="E182"/>
  <c r="S182" s="1"/>
  <c r="F182"/>
  <c r="G182"/>
  <c r="H182"/>
  <c r="J182"/>
  <c r="K182"/>
  <c r="L182"/>
  <c r="M182"/>
  <c r="B183"/>
  <c r="C183"/>
  <c r="D183"/>
  <c r="E183"/>
  <c r="S183" s="1"/>
  <c r="F183"/>
  <c r="G183"/>
  <c r="H183"/>
  <c r="J183"/>
  <c r="K183"/>
  <c r="L183"/>
  <c r="M183"/>
  <c r="B184"/>
  <c r="C184"/>
  <c r="D184"/>
  <c r="E184"/>
  <c r="S184" s="1"/>
  <c r="P184" s="1"/>
  <c r="F184"/>
  <c r="G184"/>
  <c r="H184"/>
  <c r="J184"/>
  <c r="K184"/>
  <c r="L184"/>
  <c r="M184"/>
  <c r="B185"/>
  <c r="C185"/>
  <c r="D185"/>
  <c r="E185"/>
  <c r="S185" s="1"/>
  <c r="F185"/>
  <c r="G185"/>
  <c r="H185"/>
  <c r="J185"/>
  <c r="K185"/>
  <c r="L185"/>
  <c r="M185"/>
  <c r="B186"/>
  <c r="C186"/>
  <c r="D186"/>
  <c r="E186"/>
  <c r="S186" s="1"/>
  <c r="O186" s="1"/>
  <c r="F186"/>
  <c r="G186"/>
  <c r="H186"/>
  <c r="J186"/>
  <c r="K186"/>
  <c r="L186"/>
  <c r="M186"/>
  <c r="B187"/>
  <c r="C187"/>
  <c r="D187"/>
  <c r="E187"/>
  <c r="S187" s="1"/>
  <c r="F187"/>
  <c r="G187"/>
  <c r="H187"/>
  <c r="J187"/>
  <c r="K187"/>
  <c r="L187"/>
  <c r="M187"/>
  <c r="B188"/>
  <c r="C188"/>
  <c r="D188"/>
  <c r="E188"/>
  <c r="S188" s="1"/>
  <c r="F188"/>
  <c r="G188"/>
  <c r="H188"/>
  <c r="J188"/>
  <c r="K188"/>
  <c r="L188"/>
  <c r="M188"/>
  <c r="B189"/>
  <c r="C189"/>
  <c r="D189"/>
  <c r="E189"/>
  <c r="S189" s="1"/>
  <c r="F189"/>
  <c r="G189"/>
  <c r="H189"/>
  <c r="J189"/>
  <c r="K189"/>
  <c r="L189"/>
  <c r="M189"/>
  <c r="B190"/>
  <c r="C190"/>
  <c r="D190"/>
  <c r="E190"/>
  <c r="S190" s="1"/>
  <c r="F190"/>
  <c r="G190"/>
  <c r="H190"/>
  <c r="J190"/>
  <c r="K190"/>
  <c r="L190"/>
  <c r="M190"/>
  <c r="B191"/>
  <c r="C191"/>
  <c r="D191"/>
  <c r="E191"/>
  <c r="S191" s="1"/>
  <c r="F191"/>
  <c r="G191"/>
  <c r="H191"/>
  <c r="J191"/>
  <c r="K191"/>
  <c r="L191"/>
  <c r="M191"/>
  <c r="B192"/>
  <c r="C192"/>
  <c r="D192"/>
  <c r="E192"/>
  <c r="S192" s="1"/>
  <c r="F192"/>
  <c r="G192"/>
  <c r="H192"/>
  <c r="J192"/>
  <c r="K192"/>
  <c r="L192"/>
  <c r="M192"/>
  <c r="B193"/>
  <c r="C193"/>
  <c r="D193"/>
  <c r="E193"/>
  <c r="S193" s="1"/>
  <c r="F193"/>
  <c r="G193"/>
  <c r="H193"/>
  <c r="J193"/>
  <c r="K193"/>
  <c r="L193"/>
  <c r="M193"/>
  <c r="B194"/>
  <c r="C194"/>
  <c r="D194"/>
  <c r="E194"/>
  <c r="S194" s="1"/>
  <c r="F194"/>
  <c r="G194"/>
  <c r="H194"/>
  <c r="J194"/>
  <c r="K194"/>
  <c r="L194"/>
  <c r="M194"/>
  <c r="B195"/>
  <c r="C195"/>
  <c r="D195"/>
  <c r="E195"/>
  <c r="S195" s="1"/>
  <c r="O195" s="1"/>
  <c r="F195"/>
  <c r="G195"/>
  <c r="H195"/>
  <c r="J195"/>
  <c r="K195"/>
  <c r="L195"/>
  <c r="M195"/>
  <c r="B196"/>
  <c r="C196"/>
  <c r="D196"/>
  <c r="E196"/>
  <c r="S196" s="1"/>
  <c r="F196"/>
  <c r="G196"/>
  <c r="H196"/>
  <c r="J196"/>
  <c r="K196"/>
  <c r="L196"/>
  <c r="M196"/>
  <c r="B197"/>
  <c r="C197"/>
  <c r="D197"/>
  <c r="E197"/>
  <c r="S197" s="1"/>
  <c r="F197"/>
  <c r="G197"/>
  <c r="H197"/>
  <c r="J197"/>
  <c r="K197"/>
  <c r="L197"/>
  <c r="M197"/>
  <c r="B198"/>
  <c r="C198"/>
  <c r="D198"/>
  <c r="E198"/>
  <c r="S198" s="1"/>
  <c r="F198"/>
  <c r="G198"/>
  <c r="H198"/>
  <c r="J198"/>
  <c r="K198"/>
  <c r="L198"/>
  <c r="M198"/>
  <c r="B199"/>
  <c r="C199"/>
  <c r="D199"/>
  <c r="E199"/>
  <c r="S199" s="1"/>
  <c r="P199" s="1"/>
  <c r="T199" s="1"/>
  <c r="F199"/>
  <c r="G199"/>
  <c r="H199"/>
  <c r="J199"/>
  <c r="K199"/>
  <c r="L199"/>
  <c r="M199"/>
  <c r="B200"/>
  <c r="C200"/>
  <c r="D200"/>
  <c r="E200"/>
  <c r="S200" s="1"/>
  <c r="F200"/>
  <c r="G200"/>
  <c r="H200"/>
  <c r="J200"/>
  <c r="K200"/>
  <c r="L200"/>
  <c r="M200"/>
  <c r="B201"/>
  <c r="C201"/>
  <c r="D201"/>
  <c r="E201"/>
  <c r="S201" s="1"/>
  <c r="F201"/>
  <c r="G201"/>
  <c r="H201"/>
  <c r="J201"/>
  <c r="K201"/>
  <c r="L201"/>
  <c r="M201"/>
  <c r="B202"/>
  <c r="C202"/>
  <c r="D202"/>
  <c r="E202"/>
  <c r="S202" s="1"/>
  <c r="F202"/>
  <c r="G202"/>
  <c r="H202"/>
  <c r="J202"/>
  <c r="K202"/>
  <c r="L202"/>
  <c r="M202"/>
  <c r="B203"/>
  <c r="C203"/>
  <c r="D203"/>
  <c r="E203"/>
  <c r="S203" s="1"/>
  <c r="F203"/>
  <c r="G203"/>
  <c r="H203"/>
  <c r="J203"/>
  <c r="K203"/>
  <c r="L203"/>
  <c r="M203"/>
  <c r="B204"/>
  <c r="C204"/>
  <c r="D204"/>
  <c r="E204"/>
  <c r="S204" s="1"/>
  <c r="O204" s="1"/>
  <c r="F204"/>
  <c r="G204"/>
  <c r="H204"/>
  <c r="J204"/>
  <c r="K204"/>
  <c r="L204"/>
  <c r="M204"/>
  <c r="B205"/>
  <c r="C205"/>
  <c r="D205"/>
  <c r="E205"/>
  <c r="S205" s="1"/>
  <c r="F205"/>
  <c r="G205"/>
  <c r="H205"/>
  <c r="J205"/>
  <c r="K205"/>
  <c r="L205"/>
  <c r="M205"/>
  <c r="B206"/>
  <c r="C206"/>
  <c r="D206"/>
  <c r="E206"/>
  <c r="S206" s="1"/>
  <c r="F206"/>
  <c r="G206"/>
  <c r="H206"/>
  <c r="J206"/>
  <c r="K206"/>
  <c r="L206"/>
  <c r="M206"/>
  <c r="B207"/>
  <c r="C207"/>
  <c r="D207"/>
  <c r="E207"/>
  <c r="F207"/>
  <c r="G207"/>
  <c r="H207"/>
  <c r="J207"/>
  <c r="K207"/>
  <c r="L207"/>
  <c r="M207"/>
  <c r="S207"/>
  <c r="O207" s="1"/>
  <c r="B208"/>
  <c r="C208"/>
  <c r="D208"/>
  <c r="E208"/>
  <c r="S208" s="1"/>
  <c r="O208" s="1"/>
  <c r="F208"/>
  <c r="G208"/>
  <c r="H208"/>
  <c r="J208"/>
  <c r="K208"/>
  <c r="L208"/>
  <c r="M208"/>
  <c r="B209"/>
  <c r="C209"/>
  <c r="D209"/>
  <c r="E209"/>
  <c r="S209" s="1"/>
  <c r="F209"/>
  <c r="G209"/>
  <c r="H209"/>
  <c r="J209"/>
  <c r="K209"/>
  <c r="L209"/>
  <c r="M209"/>
  <c r="B210"/>
  <c r="C210"/>
  <c r="D210"/>
  <c r="E210"/>
  <c r="S210" s="1"/>
  <c r="P210" s="1"/>
  <c r="T210" s="1"/>
  <c r="F210"/>
  <c r="G210"/>
  <c r="H210"/>
  <c r="J210"/>
  <c r="K210"/>
  <c r="L210"/>
  <c r="M210"/>
  <c r="B211"/>
  <c r="C211"/>
  <c r="D211"/>
  <c r="E211"/>
  <c r="S211" s="1"/>
  <c r="O211" s="1"/>
  <c r="F211"/>
  <c r="G211"/>
  <c r="H211"/>
  <c r="J211"/>
  <c r="K211"/>
  <c r="L211"/>
  <c r="M211"/>
  <c r="B212"/>
  <c r="C212"/>
  <c r="D212"/>
  <c r="E212"/>
  <c r="S212" s="1"/>
  <c r="P212" s="1"/>
  <c r="F212"/>
  <c r="G212"/>
  <c r="H212"/>
  <c r="J212"/>
  <c r="K212"/>
  <c r="L212"/>
  <c r="M212"/>
  <c r="B213"/>
  <c r="C213"/>
  <c r="D213"/>
  <c r="E213"/>
  <c r="S213" s="1"/>
  <c r="O213" s="1"/>
  <c r="F213"/>
  <c r="G213"/>
  <c r="H213"/>
  <c r="J213"/>
  <c r="K213"/>
  <c r="L213"/>
  <c r="M213"/>
  <c r="B214"/>
  <c r="C214"/>
  <c r="D214"/>
  <c r="E214"/>
  <c r="S214" s="1"/>
  <c r="P214" s="1"/>
  <c r="T214" s="1"/>
  <c r="F214"/>
  <c r="G214"/>
  <c r="H214"/>
  <c r="J214"/>
  <c r="K214"/>
  <c r="L214"/>
  <c r="M214"/>
  <c r="B215"/>
  <c r="C215"/>
  <c r="D215"/>
  <c r="E215"/>
  <c r="S215" s="1"/>
  <c r="O215" s="1"/>
  <c r="F215"/>
  <c r="G215"/>
  <c r="H215"/>
  <c r="J215"/>
  <c r="K215"/>
  <c r="L215"/>
  <c r="M215"/>
  <c r="B216"/>
  <c r="C216"/>
  <c r="D216"/>
  <c r="E216"/>
  <c r="S216" s="1"/>
  <c r="F216"/>
  <c r="G216"/>
  <c r="H216"/>
  <c r="J216"/>
  <c r="K216"/>
  <c r="L216"/>
  <c r="M216"/>
  <c r="B217"/>
  <c r="C217"/>
  <c r="D217"/>
  <c r="E217"/>
  <c r="S217" s="1"/>
  <c r="F217"/>
  <c r="G217"/>
  <c r="H217"/>
  <c r="J217"/>
  <c r="K217"/>
  <c r="L217"/>
  <c r="M217"/>
  <c r="B218"/>
  <c r="C218"/>
  <c r="D218"/>
  <c r="E218"/>
  <c r="S218" s="1"/>
  <c r="F218"/>
  <c r="G218"/>
  <c r="H218"/>
  <c r="J218"/>
  <c r="K218"/>
  <c r="L218"/>
  <c r="M218"/>
  <c r="B219"/>
  <c r="C219"/>
  <c r="D219"/>
  <c r="E219"/>
  <c r="S219" s="1"/>
  <c r="F219"/>
  <c r="G219"/>
  <c r="H219"/>
  <c r="J219"/>
  <c r="K219"/>
  <c r="L219"/>
  <c r="M219"/>
  <c r="B220"/>
  <c r="C220"/>
  <c r="D220"/>
  <c r="E220"/>
  <c r="S220" s="1"/>
  <c r="F220"/>
  <c r="G220"/>
  <c r="H220"/>
  <c r="J220"/>
  <c r="K220"/>
  <c r="L220"/>
  <c r="M220"/>
  <c r="B221"/>
  <c r="C221"/>
  <c r="D221"/>
  <c r="E221"/>
  <c r="S221" s="1"/>
  <c r="F221"/>
  <c r="G221"/>
  <c r="H221"/>
  <c r="J221"/>
  <c r="K221"/>
  <c r="L221"/>
  <c r="M221"/>
  <c r="B222"/>
  <c r="C222"/>
  <c r="D222"/>
  <c r="E222"/>
  <c r="S222" s="1"/>
  <c r="F222"/>
  <c r="G222"/>
  <c r="H222"/>
  <c r="J222"/>
  <c r="K222"/>
  <c r="L222"/>
  <c r="M222"/>
  <c r="B223"/>
  <c r="C223"/>
  <c r="D223"/>
  <c r="E223"/>
  <c r="S223" s="1"/>
  <c r="F223"/>
  <c r="G223"/>
  <c r="H223"/>
  <c r="J223"/>
  <c r="K223"/>
  <c r="L223"/>
  <c r="M223"/>
  <c r="B224"/>
  <c r="C224"/>
  <c r="D224"/>
  <c r="E224"/>
  <c r="S224" s="1"/>
  <c r="F224"/>
  <c r="G224"/>
  <c r="H224"/>
  <c r="J224"/>
  <c r="K224"/>
  <c r="L224"/>
  <c r="M224"/>
  <c r="B225"/>
  <c r="C225"/>
  <c r="D225"/>
  <c r="E225"/>
  <c r="S225" s="1"/>
  <c r="F225"/>
  <c r="G225"/>
  <c r="H225"/>
  <c r="J225"/>
  <c r="K225"/>
  <c r="L225"/>
  <c r="M225"/>
  <c r="B226"/>
  <c r="C226"/>
  <c r="D226"/>
  <c r="E226"/>
  <c r="S226" s="1"/>
  <c r="O226" s="1"/>
  <c r="F226"/>
  <c r="G226"/>
  <c r="H226"/>
  <c r="J226"/>
  <c r="K226"/>
  <c r="L226"/>
  <c r="M226"/>
  <c r="B227"/>
  <c r="C227"/>
  <c r="D227"/>
  <c r="E227"/>
  <c r="S227" s="1"/>
  <c r="P227" s="1"/>
  <c r="F227"/>
  <c r="G227"/>
  <c r="H227"/>
  <c r="J227"/>
  <c r="K227"/>
  <c r="L227"/>
  <c r="M227"/>
  <c r="B228"/>
  <c r="C228"/>
  <c r="D228"/>
  <c r="E228"/>
  <c r="S228" s="1"/>
  <c r="F228"/>
  <c r="G228"/>
  <c r="H228"/>
  <c r="J228"/>
  <c r="K228"/>
  <c r="L228"/>
  <c r="M228"/>
  <c r="B229"/>
  <c r="C229"/>
  <c r="D229"/>
  <c r="E229"/>
  <c r="S229" s="1"/>
  <c r="F229"/>
  <c r="G229"/>
  <c r="H229"/>
  <c r="J229"/>
  <c r="K229"/>
  <c r="L229"/>
  <c r="M229"/>
  <c r="B230"/>
  <c r="C230"/>
  <c r="D230"/>
  <c r="E230"/>
  <c r="S230" s="1"/>
  <c r="O230" s="1"/>
  <c r="F230"/>
  <c r="G230"/>
  <c r="H230"/>
  <c r="J230"/>
  <c r="K230"/>
  <c r="L230"/>
  <c r="M230"/>
  <c r="B231"/>
  <c r="C231"/>
  <c r="D231"/>
  <c r="E231"/>
  <c r="S231" s="1"/>
  <c r="O231" s="1"/>
  <c r="F231"/>
  <c r="G231"/>
  <c r="H231"/>
  <c r="J231"/>
  <c r="K231"/>
  <c r="L231"/>
  <c r="M231"/>
  <c r="B232"/>
  <c r="C232"/>
  <c r="D232"/>
  <c r="E232"/>
  <c r="S232" s="1"/>
  <c r="F232"/>
  <c r="G232"/>
  <c r="H232"/>
  <c r="J232"/>
  <c r="K232"/>
  <c r="L232"/>
  <c r="M232"/>
  <c r="B233"/>
  <c r="C233"/>
  <c r="D233"/>
  <c r="E233"/>
  <c r="S233" s="1"/>
  <c r="F233"/>
  <c r="G233"/>
  <c r="H233"/>
  <c r="J233"/>
  <c r="K233"/>
  <c r="L233"/>
  <c r="M233"/>
  <c r="B234"/>
  <c r="C234"/>
  <c r="D234"/>
  <c r="E234"/>
  <c r="S234" s="1"/>
  <c r="F234"/>
  <c r="G234"/>
  <c r="H234"/>
  <c r="J234"/>
  <c r="K234"/>
  <c r="L234"/>
  <c r="M234"/>
  <c r="B235"/>
  <c r="C235"/>
  <c r="D235"/>
  <c r="E235"/>
  <c r="S235" s="1"/>
  <c r="O235" s="1"/>
  <c r="F235"/>
  <c r="G235"/>
  <c r="H235"/>
  <c r="J235"/>
  <c r="K235"/>
  <c r="L235"/>
  <c r="M235"/>
  <c r="B236"/>
  <c r="C236"/>
  <c r="D236"/>
  <c r="E236"/>
  <c r="S236" s="1"/>
  <c r="F236"/>
  <c r="G236"/>
  <c r="H236"/>
  <c r="J236"/>
  <c r="K236"/>
  <c r="L236"/>
  <c r="M236"/>
  <c r="B237"/>
  <c r="C237"/>
  <c r="D237"/>
  <c r="E237"/>
  <c r="S237" s="1"/>
  <c r="F237"/>
  <c r="G237"/>
  <c r="H237"/>
  <c r="J237"/>
  <c r="K237"/>
  <c r="L237"/>
  <c r="M237"/>
  <c r="B238"/>
  <c r="C238"/>
  <c r="D238"/>
  <c r="E238"/>
  <c r="S238" s="1"/>
  <c r="F238"/>
  <c r="G238"/>
  <c r="H238"/>
  <c r="J238"/>
  <c r="K238"/>
  <c r="L238"/>
  <c r="M238"/>
  <c r="B239"/>
  <c r="C239"/>
  <c r="D239"/>
  <c r="E239"/>
  <c r="S239" s="1"/>
  <c r="O239" s="1"/>
  <c r="F239"/>
  <c r="G239"/>
  <c r="H239"/>
  <c r="J239"/>
  <c r="K239"/>
  <c r="L239"/>
  <c r="M239"/>
  <c r="B240"/>
  <c r="C240"/>
  <c r="D240"/>
  <c r="E240"/>
  <c r="S240" s="1"/>
  <c r="P240" s="1"/>
  <c r="T240" s="1"/>
  <c r="F240"/>
  <c r="G240"/>
  <c r="H240"/>
  <c r="J240"/>
  <c r="K240"/>
  <c r="L240"/>
  <c r="M240"/>
  <c r="B241"/>
  <c r="C241"/>
  <c r="D241"/>
  <c r="E241"/>
  <c r="S241" s="1"/>
  <c r="P241" s="1"/>
  <c r="N241" s="1"/>
  <c r="F241"/>
  <c r="G241"/>
  <c r="H241"/>
  <c r="J241"/>
  <c r="K241"/>
  <c r="L241"/>
  <c r="M241"/>
  <c r="B242"/>
  <c r="C242"/>
  <c r="D242"/>
  <c r="E242"/>
  <c r="S242" s="1"/>
  <c r="P242" s="1"/>
  <c r="T242" s="1"/>
  <c r="F242"/>
  <c r="G242"/>
  <c r="H242"/>
  <c r="J242"/>
  <c r="K242"/>
  <c r="L242"/>
  <c r="M242"/>
  <c r="B243"/>
  <c r="C243"/>
  <c r="D243"/>
  <c r="E243"/>
  <c r="S243" s="1"/>
  <c r="F243"/>
  <c r="G243"/>
  <c r="H243"/>
  <c r="J243"/>
  <c r="K243"/>
  <c r="L243"/>
  <c r="M243"/>
  <c r="B244"/>
  <c r="C244"/>
  <c r="D244"/>
  <c r="E244"/>
  <c r="S244" s="1"/>
  <c r="F244"/>
  <c r="G244"/>
  <c r="H244"/>
  <c r="J244"/>
  <c r="K244"/>
  <c r="L244"/>
  <c r="M244"/>
  <c r="B245"/>
  <c r="C245"/>
  <c r="D245"/>
  <c r="E245"/>
  <c r="S245" s="1"/>
  <c r="O245" s="1"/>
  <c r="F245"/>
  <c r="G245"/>
  <c r="H245"/>
  <c r="J245"/>
  <c r="K245"/>
  <c r="L245"/>
  <c r="M245"/>
  <c r="B246"/>
  <c r="C246"/>
  <c r="D246"/>
  <c r="E246"/>
  <c r="S246" s="1"/>
  <c r="F246"/>
  <c r="G246"/>
  <c r="H246"/>
  <c r="J246"/>
  <c r="K246"/>
  <c r="L246"/>
  <c r="M246"/>
  <c r="B247"/>
  <c r="C247"/>
  <c r="D247"/>
  <c r="E247"/>
  <c r="S247" s="1"/>
  <c r="F247"/>
  <c r="G247"/>
  <c r="H247"/>
  <c r="J247"/>
  <c r="K247"/>
  <c r="L247"/>
  <c r="M247"/>
  <c r="B248"/>
  <c r="C248"/>
  <c r="D248"/>
  <c r="E248"/>
  <c r="S248" s="1"/>
  <c r="O248" s="1"/>
  <c r="F248"/>
  <c r="G248"/>
  <c r="H248"/>
  <c r="J248"/>
  <c r="K248"/>
  <c r="L248"/>
  <c r="M248"/>
  <c r="B249"/>
  <c r="C249"/>
  <c r="D249"/>
  <c r="E249"/>
  <c r="S249" s="1"/>
  <c r="F249"/>
  <c r="G249"/>
  <c r="H249"/>
  <c r="J249"/>
  <c r="K249"/>
  <c r="L249"/>
  <c r="M249"/>
  <c r="B250"/>
  <c r="C250"/>
  <c r="D250"/>
  <c r="E250"/>
  <c r="S250" s="1"/>
  <c r="P250" s="1"/>
  <c r="F250"/>
  <c r="G250"/>
  <c r="H250"/>
  <c r="J250"/>
  <c r="K250"/>
  <c r="L250"/>
  <c r="M250"/>
  <c r="B251"/>
  <c r="C251"/>
  <c r="D251"/>
  <c r="E251"/>
  <c r="S251" s="1"/>
  <c r="F251"/>
  <c r="G251"/>
  <c r="H251"/>
  <c r="J251"/>
  <c r="K251"/>
  <c r="L251"/>
  <c r="M251"/>
  <c r="B252"/>
  <c r="C252"/>
  <c r="D252"/>
  <c r="E252"/>
  <c r="S252" s="1"/>
  <c r="F252"/>
  <c r="G252"/>
  <c r="H252"/>
  <c r="J252"/>
  <c r="K252"/>
  <c r="L252"/>
  <c r="M252"/>
  <c r="B253"/>
  <c r="C253"/>
  <c r="D253"/>
  <c r="E253"/>
  <c r="S253" s="1"/>
  <c r="F253"/>
  <c r="G253"/>
  <c r="H253"/>
  <c r="J253"/>
  <c r="K253"/>
  <c r="L253"/>
  <c r="M253"/>
  <c r="B254"/>
  <c r="C254"/>
  <c r="D254"/>
  <c r="E254"/>
  <c r="S254" s="1"/>
  <c r="F254"/>
  <c r="G254"/>
  <c r="H254"/>
  <c r="J254"/>
  <c r="K254"/>
  <c r="L254"/>
  <c r="M254"/>
  <c r="B255"/>
  <c r="C255"/>
  <c r="D255"/>
  <c r="E255"/>
  <c r="S255" s="1"/>
  <c r="F255"/>
  <c r="G255"/>
  <c r="H255"/>
  <c r="J255"/>
  <c r="K255"/>
  <c r="L255"/>
  <c r="M255"/>
  <c r="B256"/>
  <c r="C256"/>
  <c r="D256"/>
  <c r="E256"/>
  <c r="S256" s="1"/>
  <c r="F256"/>
  <c r="G256"/>
  <c r="H256"/>
  <c r="J256"/>
  <c r="K256"/>
  <c r="L256"/>
  <c r="M256"/>
  <c r="B257"/>
  <c r="C257"/>
  <c r="D257"/>
  <c r="E257"/>
  <c r="S257" s="1"/>
  <c r="F257"/>
  <c r="G257"/>
  <c r="H257"/>
  <c r="J257"/>
  <c r="K257"/>
  <c r="L257"/>
  <c r="M257"/>
  <c r="B258"/>
  <c r="C258"/>
  <c r="D258"/>
  <c r="E258"/>
  <c r="S258" s="1"/>
  <c r="F258"/>
  <c r="G258"/>
  <c r="H258"/>
  <c r="J258"/>
  <c r="K258"/>
  <c r="L258"/>
  <c r="M258"/>
  <c r="B259"/>
  <c r="C259"/>
  <c r="D259"/>
  <c r="E259"/>
  <c r="S259" s="1"/>
  <c r="F259"/>
  <c r="G259"/>
  <c r="H259"/>
  <c r="J259"/>
  <c r="K259"/>
  <c r="L259"/>
  <c r="M259"/>
  <c r="B260"/>
  <c r="C260"/>
  <c r="D260"/>
  <c r="E260"/>
  <c r="S260" s="1"/>
  <c r="F260"/>
  <c r="G260"/>
  <c r="H260"/>
  <c r="J260"/>
  <c r="K260"/>
  <c r="L260"/>
  <c r="M260"/>
  <c r="B261"/>
  <c r="C261"/>
  <c r="D261"/>
  <c r="E261"/>
  <c r="S261" s="1"/>
  <c r="F261"/>
  <c r="G261"/>
  <c r="H261"/>
  <c r="J261"/>
  <c r="K261"/>
  <c r="L261"/>
  <c r="M261"/>
  <c r="B262"/>
  <c r="C262"/>
  <c r="D262"/>
  <c r="E262"/>
  <c r="S262" s="1"/>
  <c r="O262" s="1"/>
  <c r="F262"/>
  <c r="G262"/>
  <c r="H262"/>
  <c r="J262"/>
  <c r="K262"/>
  <c r="L262"/>
  <c r="M262"/>
  <c r="B263"/>
  <c r="C263"/>
  <c r="D263"/>
  <c r="E263"/>
  <c r="S263" s="1"/>
  <c r="P263" s="1"/>
  <c r="Q263" s="1"/>
  <c r="F263"/>
  <c r="G263"/>
  <c r="H263"/>
  <c r="J263"/>
  <c r="K263"/>
  <c r="L263"/>
  <c r="M263"/>
  <c r="B264"/>
  <c r="C264"/>
  <c r="D264"/>
  <c r="E264"/>
  <c r="S264" s="1"/>
  <c r="F264"/>
  <c r="G264"/>
  <c r="H264"/>
  <c r="J264"/>
  <c r="K264"/>
  <c r="L264"/>
  <c r="M264"/>
  <c r="B265"/>
  <c r="C265"/>
  <c r="D265"/>
  <c r="E265"/>
  <c r="S265" s="1"/>
  <c r="F265"/>
  <c r="G265"/>
  <c r="H265"/>
  <c r="J265"/>
  <c r="K265"/>
  <c r="L265"/>
  <c r="M265"/>
  <c r="B266"/>
  <c r="C266"/>
  <c r="D266"/>
  <c r="E266"/>
  <c r="S266" s="1"/>
  <c r="F266"/>
  <c r="G266"/>
  <c r="H266"/>
  <c r="J266"/>
  <c r="K266"/>
  <c r="L266"/>
  <c r="M266"/>
  <c r="B267"/>
  <c r="C267"/>
  <c r="D267"/>
  <c r="E267"/>
  <c r="S267" s="1"/>
  <c r="O267" s="1"/>
  <c r="F267"/>
  <c r="G267"/>
  <c r="H267"/>
  <c r="J267"/>
  <c r="K267"/>
  <c r="L267"/>
  <c r="M267"/>
  <c r="B268"/>
  <c r="C268"/>
  <c r="D268"/>
  <c r="E268"/>
  <c r="S268" s="1"/>
  <c r="F268"/>
  <c r="G268"/>
  <c r="H268"/>
  <c r="J268"/>
  <c r="K268"/>
  <c r="L268"/>
  <c r="M268"/>
  <c r="B269"/>
  <c r="C269"/>
  <c r="D269"/>
  <c r="E269"/>
  <c r="S269" s="1"/>
  <c r="F269"/>
  <c r="G269"/>
  <c r="H269"/>
  <c r="J269"/>
  <c r="K269"/>
  <c r="L269"/>
  <c r="M269"/>
  <c r="B270"/>
  <c r="C270"/>
  <c r="D270"/>
  <c r="E270"/>
  <c r="S270" s="1"/>
  <c r="F270"/>
  <c r="G270"/>
  <c r="H270"/>
  <c r="J270"/>
  <c r="K270"/>
  <c r="L270"/>
  <c r="M270"/>
  <c r="B271"/>
  <c r="C271"/>
  <c r="D271"/>
  <c r="E271"/>
  <c r="S271" s="1"/>
  <c r="O271" s="1"/>
  <c r="F271"/>
  <c r="G271"/>
  <c r="H271"/>
  <c r="J271"/>
  <c r="K271"/>
  <c r="L271"/>
  <c r="M271"/>
  <c r="B272"/>
  <c r="C272"/>
  <c r="D272"/>
  <c r="E272"/>
  <c r="S272" s="1"/>
  <c r="F272"/>
  <c r="G272"/>
  <c r="H272"/>
  <c r="J272"/>
  <c r="K272"/>
  <c r="L272"/>
  <c r="M272"/>
  <c r="B273"/>
  <c r="C273"/>
  <c r="D273"/>
  <c r="E273"/>
  <c r="S273" s="1"/>
  <c r="F273"/>
  <c r="G273"/>
  <c r="H273"/>
  <c r="J273"/>
  <c r="K273"/>
  <c r="L273"/>
  <c r="M273"/>
  <c r="B274"/>
  <c r="C274"/>
  <c r="D274"/>
  <c r="E274"/>
  <c r="S274" s="1"/>
  <c r="F274"/>
  <c r="G274"/>
  <c r="H274"/>
  <c r="J274"/>
  <c r="K274"/>
  <c r="L274"/>
  <c r="M274"/>
  <c r="B275"/>
  <c r="C275"/>
  <c r="D275"/>
  <c r="E275"/>
  <c r="S275" s="1"/>
  <c r="O275" s="1"/>
  <c r="F275"/>
  <c r="G275"/>
  <c r="H275"/>
  <c r="J275"/>
  <c r="K275"/>
  <c r="L275"/>
  <c r="M275"/>
  <c r="B276"/>
  <c r="C276"/>
  <c r="D276"/>
  <c r="E276"/>
  <c r="S276" s="1"/>
  <c r="O276" s="1"/>
  <c r="F276"/>
  <c r="G276"/>
  <c r="H276"/>
  <c r="J276"/>
  <c r="K276"/>
  <c r="L276"/>
  <c r="M276"/>
  <c r="B277"/>
  <c r="C277"/>
  <c r="D277"/>
  <c r="E277"/>
  <c r="S277" s="1"/>
  <c r="F277"/>
  <c r="G277"/>
  <c r="H277"/>
  <c r="J277"/>
  <c r="K277"/>
  <c r="L277"/>
  <c r="M277"/>
  <c r="B278"/>
  <c r="C278"/>
  <c r="D278"/>
  <c r="E278"/>
  <c r="S278" s="1"/>
  <c r="F278"/>
  <c r="G278"/>
  <c r="H278"/>
  <c r="J278"/>
  <c r="K278"/>
  <c r="L278"/>
  <c r="M278"/>
  <c r="B279"/>
  <c r="C279"/>
  <c r="D279"/>
  <c r="E279"/>
  <c r="S279" s="1"/>
  <c r="O279" s="1"/>
  <c r="F279"/>
  <c r="G279"/>
  <c r="H279"/>
  <c r="J279"/>
  <c r="K279"/>
  <c r="L279"/>
  <c r="M279"/>
  <c r="B280"/>
  <c r="C280"/>
  <c r="D280"/>
  <c r="E280"/>
  <c r="S280" s="1"/>
  <c r="F280"/>
  <c r="G280"/>
  <c r="H280"/>
  <c r="J280"/>
  <c r="K280"/>
  <c r="L280"/>
  <c r="M280"/>
  <c r="B281"/>
  <c r="C281"/>
  <c r="D281"/>
  <c r="E281"/>
  <c r="S281" s="1"/>
  <c r="P281" s="1"/>
  <c r="Q281" s="1"/>
  <c r="F281"/>
  <c r="G281"/>
  <c r="H281"/>
  <c r="J281"/>
  <c r="K281"/>
  <c r="L281"/>
  <c r="M281"/>
  <c r="B282"/>
  <c r="C282"/>
  <c r="D282"/>
  <c r="E282"/>
  <c r="S282" s="1"/>
  <c r="P282" s="1"/>
  <c r="N282" s="1"/>
  <c r="F282"/>
  <c r="G282"/>
  <c r="H282"/>
  <c r="J282"/>
  <c r="K282"/>
  <c r="L282"/>
  <c r="M282"/>
  <c r="B283"/>
  <c r="C283"/>
  <c r="D283"/>
  <c r="E283"/>
  <c r="S283" s="1"/>
  <c r="F283"/>
  <c r="G283"/>
  <c r="H283"/>
  <c r="J283"/>
  <c r="K283"/>
  <c r="L283"/>
  <c r="M283"/>
  <c r="B284"/>
  <c r="C284"/>
  <c r="D284"/>
  <c r="E284"/>
  <c r="S284" s="1"/>
  <c r="O284" s="1"/>
  <c r="F284"/>
  <c r="G284"/>
  <c r="H284"/>
  <c r="J284"/>
  <c r="K284"/>
  <c r="L284"/>
  <c r="M284"/>
  <c r="B285"/>
  <c r="C285"/>
  <c r="D285"/>
  <c r="E285"/>
  <c r="S285" s="1"/>
  <c r="F285"/>
  <c r="G285"/>
  <c r="H285"/>
  <c r="J285"/>
  <c r="K285"/>
  <c r="L285"/>
  <c r="M285"/>
  <c r="B286"/>
  <c r="C286"/>
  <c r="D286"/>
  <c r="E286"/>
  <c r="S286" s="1"/>
  <c r="P286" s="1"/>
  <c r="I286" s="1"/>
  <c r="F286"/>
  <c r="G286"/>
  <c r="H286"/>
  <c r="J286"/>
  <c r="K286"/>
  <c r="L286"/>
  <c r="M286"/>
  <c r="B287"/>
  <c r="C287"/>
  <c r="D287"/>
  <c r="E287"/>
  <c r="S287" s="1"/>
  <c r="O287" s="1"/>
  <c r="F287"/>
  <c r="G287"/>
  <c r="H287"/>
  <c r="J287"/>
  <c r="K287"/>
  <c r="L287"/>
  <c r="M287"/>
  <c r="B288"/>
  <c r="C288"/>
  <c r="D288"/>
  <c r="E288"/>
  <c r="S288" s="1"/>
  <c r="F288"/>
  <c r="G288"/>
  <c r="H288"/>
  <c r="J288"/>
  <c r="K288"/>
  <c r="L288"/>
  <c r="M288"/>
  <c r="B289"/>
  <c r="C289"/>
  <c r="D289"/>
  <c r="E289"/>
  <c r="S289" s="1"/>
  <c r="F289"/>
  <c r="G289"/>
  <c r="H289"/>
  <c r="J289"/>
  <c r="K289"/>
  <c r="L289"/>
  <c r="M289"/>
  <c r="B290"/>
  <c r="C290"/>
  <c r="D290"/>
  <c r="E290"/>
  <c r="S290" s="1"/>
  <c r="F290"/>
  <c r="G290"/>
  <c r="H290"/>
  <c r="J290"/>
  <c r="K290"/>
  <c r="L290"/>
  <c r="M290"/>
  <c r="B291"/>
  <c r="C291"/>
  <c r="D291"/>
  <c r="E291"/>
  <c r="S291" s="1"/>
  <c r="F291"/>
  <c r="G291"/>
  <c r="H291"/>
  <c r="J291"/>
  <c r="K291"/>
  <c r="L291"/>
  <c r="M291"/>
  <c r="B292"/>
  <c r="C292"/>
  <c r="D292"/>
  <c r="E292"/>
  <c r="S292" s="1"/>
  <c r="P292" s="1"/>
  <c r="T292" s="1"/>
  <c r="F292"/>
  <c r="G292"/>
  <c r="H292"/>
  <c r="J292"/>
  <c r="K292"/>
  <c r="L292"/>
  <c r="M292"/>
  <c r="B293"/>
  <c r="C293"/>
  <c r="D293"/>
  <c r="E293"/>
  <c r="S293" s="1"/>
  <c r="P293" s="1"/>
  <c r="F293"/>
  <c r="G293"/>
  <c r="H293"/>
  <c r="J293"/>
  <c r="K293"/>
  <c r="L293"/>
  <c r="M293"/>
  <c r="B294"/>
  <c r="C294"/>
  <c r="D294"/>
  <c r="E294"/>
  <c r="S294" s="1"/>
  <c r="P294" s="1"/>
  <c r="Q294" s="1"/>
  <c r="F294"/>
  <c r="G294"/>
  <c r="H294"/>
  <c r="J294"/>
  <c r="K294"/>
  <c r="L294"/>
  <c r="M294"/>
  <c r="B295"/>
  <c r="C295"/>
  <c r="D295"/>
  <c r="E295"/>
  <c r="S295" s="1"/>
  <c r="F295"/>
  <c r="G295"/>
  <c r="H295"/>
  <c r="J295"/>
  <c r="K295"/>
  <c r="L295"/>
  <c r="M295"/>
  <c r="B296"/>
  <c r="C296"/>
  <c r="D296"/>
  <c r="E296"/>
  <c r="S296" s="1"/>
  <c r="P296" s="1"/>
  <c r="F296"/>
  <c r="G296"/>
  <c r="H296"/>
  <c r="J296"/>
  <c r="K296"/>
  <c r="L296"/>
  <c r="M296"/>
  <c r="B297"/>
  <c r="C297"/>
  <c r="D297"/>
  <c r="E297"/>
  <c r="S297" s="1"/>
  <c r="P297" s="1"/>
  <c r="F297"/>
  <c r="G297"/>
  <c r="H297"/>
  <c r="J297"/>
  <c r="K297"/>
  <c r="L297"/>
  <c r="M297"/>
  <c r="B298"/>
  <c r="C298"/>
  <c r="D298"/>
  <c r="E298"/>
  <c r="S298" s="1"/>
  <c r="F298"/>
  <c r="G298"/>
  <c r="H298"/>
  <c r="J298"/>
  <c r="K298"/>
  <c r="L298"/>
  <c r="M298"/>
  <c r="B299"/>
  <c r="C299"/>
  <c r="D299"/>
  <c r="E299"/>
  <c r="S299" s="1"/>
  <c r="F299"/>
  <c r="G299"/>
  <c r="H299"/>
  <c r="J299"/>
  <c r="K299"/>
  <c r="L299"/>
  <c r="M299"/>
  <c r="B300"/>
  <c r="C300"/>
  <c r="D300"/>
  <c r="E300"/>
  <c r="S300" s="1"/>
  <c r="F300"/>
  <c r="G300"/>
  <c r="H300"/>
  <c r="J300"/>
  <c r="K300"/>
  <c r="L300"/>
  <c r="M300"/>
  <c r="B301"/>
  <c r="C301"/>
  <c r="D301"/>
  <c r="E301"/>
  <c r="S301" s="1"/>
  <c r="P301" s="1"/>
  <c r="N301" s="1"/>
  <c r="F301"/>
  <c r="G301"/>
  <c r="H301"/>
  <c r="J301"/>
  <c r="K301"/>
  <c r="L301"/>
  <c r="M301"/>
  <c r="B302"/>
  <c r="C302"/>
  <c r="D302"/>
  <c r="E302"/>
  <c r="S302" s="1"/>
  <c r="F302"/>
  <c r="G302"/>
  <c r="H302"/>
  <c r="J302"/>
  <c r="K302"/>
  <c r="L302"/>
  <c r="M302"/>
  <c r="B303"/>
  <c r="C303"/>
  <c r="D303"/>
  <c r="E303"/>
  <c r="S303" s="1"/>
  <c r="O303" s="1"/>
  <c r="F303"/>
  <c r="G303"/>
  <c r="H303"/>
  <c r="J303"/>
  <c r="K303"/>
  <c r="L303"/>
  <c r="M303"/>
  <c r="B304"/>
  <c r="C304"/>
  <c r="D304"/>
  <c r="E304"/>
  <c r="S304" s="1"/>
  <c r="F304"/>
  <c r="G304"/>
  <c r="H304"/>
  <c r="J304"/>
  <c r="K304"/>
  <c r="L304"/>
  <c r="M304"/>
  <c r="B305"/>
  <c r="C305"/>
  <c r="D305"/>
  <c r="E305"/>
  <c r="S305" s="1"/>
  <c r="F305"/>
  <c r="G305"/>
  <c r="H305"/>
  <c r="J305"/>
  <c r="K305"/>
  <c r="L305"/>
  <c r="M305"/>
  <c r="B306"/>
  <c r="C306"/>
  <c r="D306"/>
  <c r="E306"/>
  <c r="S306" s="1"/>
  <c r="P306" s="1"/>
  <c r="F306"/>
  <c r="G306"/>
  <c r="H306"/>
  <c r="J306"/>
  <c r="K306"/>
  <c r="L306"/>
  <c r="M306"/>
  <c r="B307"/>
  <c r="C307"/>
  <c r="D307"/>
  <c r="E307"/>
  <c r="S307" s="1"/>
  <c r="O307" s="1"/>
  <c r="F307"/>
  <c r="G307"/>
  <c r="H307"/>
  <c r="J307"/>
  <c r="K307"/>
  <c r="L307"/>
  <c r="M307"/>
  <c r="B308"/>
  <c r="C308"/>
  <c r="D308"/>
  <c r="E308"/>
  <c r="S308" s="1"/>
  <c r="F308"/>
  <c r="G308"/>
  <c r="H308"/>
  <c r="J308"/>
  <c r="K308"/>
  <c r="L308"/>
  <c r="M308"/>
  <c r="B309"/>
  <c r="C309"/>
  <c r="D309"/>
  <c r="E309"/>
  <c r="S309" s="1"/>
  <c r="F309"/>
  <c r="G309"/>
  <c r="H309"/>
  <c r="J309"/>
  <c r="K309"/>
  <c r="L309"/>
  <c r="M309"/>
  <c r="B310"/>
  <c r="C310"/>
  <c r="D310"/>
  <c r="E310"/>
  <c r="S310" s="1"/>
  <c r="O310" s="1"/>
  <c r="F310"/>
  <c r="G310"/>
  <c r="H310"/>
  <c r="J310"/>
  <c r="K310"/>
  <c r="L310"/>
  <c r="M310"/>
  <c r="B311"/>
  <c r="C311"/>
  <c r="D311"/>
  <c r="E311"/>
  <c r="S311" s="1"/>
  <c r="O311" s="1"/>
  <c r="F311"/>
  <c r="G311"/>
  <c r="H311"/>
  <c r="J311"/>
  <c r="K311"/>
  <c r="L311"/>
  <c r="M311"/>
  <c r="B312"/>
  <c r="C312"/>
  <c r="D312"/>
  <c r="E312"/>
  <c r="S312" s="1"/>
  <c r="O312" s="1"/>
  <c r="F312"/>
  <c r="G312"/>
  <c r="H312"/>
  <c r="J312"/>
  <c r="K312"/>
  <c r="L312"/>
  <c r="M312"/>
  <c r="B313"/>
  <c r="C313"/>
  <c r="D313"/>
  <c r="E313"/>
  <c r="S313" s="1"/>
  <c r="P313" s="1"/>
  <c r="F313"/>
  <c r="G313"/>
  <c r="H313"/>
  <c r="J313"/>
  <c r="K313"/>
  <c r="L313"/>
  <c r="M313"/>
  <c r="B314"/>
  <c r="C314"/>
  <c r="D314"/>
  <c r="E314"/>
  <c r="S314" s="1"/>
  <c r="P314" s="1"/>
  <c r="I314" s="1"/>
  <c r="F314"/>
  <c r="G314"/>
  <c r="H314"/>
  <c r="J314"/>
  <c r="K314"/>
  <c r="L314"/>
  <c r="M314"/>
  <c r="B315"/>
  <c r="C315"/>
  <c r="D315"/>
  <c r="E315"/>
  <c r="S315" s="1"/>
  <c r="O315" s="1"/>
  <c r="F315"/>
  <c r="G315"/>
  <c r="H315"/>
  <c r="J315"/>
  <c r="K315"/>
  <c r="L315"/>
  <c r="M315"/>
  <c r="B316"/>
  <c r="C316"/>
  <c r="D316"/>
  <c r="E316"/>
  <c r="S316" s="1"/>
  <c r="F316"/>
  <c r="G316"/>
  <c r="H316"/>
  <c r="J316"/>
  <c r="K316"/>
  <c r="L316"/>
  <c r="M316"/>
  <c r="B317"/>
  <c r="C317"/>
  <c r="D317"/>
  <c r="E317"/>
  <c r="S317" s="1"/>
  <c r="P317" s="1"/>
  <c r="F317"/>
  <c r="G317"/>
  <c r="H317"/>
  <c r="J317"/>
  <c r="K317"/>
  <c r="L317"/>
  <c r="M317"/>
  <c r="B318"/>
  <c r="C318"/>
  <c r="D318"/>
  <c r="E318"/>
  <c r="S318" s="1"/>
  <c r="F318"/>
  <c r="G318"/>
  <c r="H318"/>
  <c r="J318"/>
  <c r="K318"/>
  <c r="L318"/>
  <c r="M318"/>
  <c r="B319"/>
  <c r="C319"/>
  <c r="D319"/>
  <c r="E319"/>
  <c r="S319" s="1"/>
  <c r="O319" s="1"/>
  <c r="F319"/>
  <c r="G319"/>
  <c r="H319"/>
  <c r="J319"/>
  <c r="K319"/>
  <c r="L319"/>
  <c r="M319"/>
  <c r="B320"/>
  <c r="C320"/>
  <c r="D320"/>
  <c r="E320"/>
  <c r="S320" s="1"/>
  <c r="F320"/>
  <c r="G320"/>
  <c r="H320"/>
  <c r="J320"/>
  <c r="K320"/>
  <c r="L320"/>
  <c r="M320"/>
  <c r="B321"/>
  <c r="C321"/>
  <c r="D321"/>
  <c r="E321"/>
  <c r="S321" s="1"/>
  <c r="O321" s="1"/>
  <c r="F321"/>
  <c r="G321"/>
  <c r="H321"/>
  <c r="J321"/>
  <c r="K321"/>
  <c r="L321"/>
  <c r="M321"/>
  <c r="B322"/>
  <c r="C322"/>
  <c r="D322"/>
  <c r="E322"/>
  <c r="S322" s="1"/>
  <c r="F322"/>
  <c r="G322"/>
  <c r="H322"/>
  <c r="J322"/>
  <c r="K322"/>
  <c r="L322"/>
  <c r="M322"/>
  <c r="B323"/>
  <c r="C323"/>
  <c r="D323"/>
  <c r="E323"/>
  <c r="S323" s="1"/>
  <c r="P323" s="1"/>
  <c r="N323" s="1"/>
  <c r="F323"/>
  <c r="G323"/>
  <c r="H323"/>
  <c r="J323"/>
  <c r="K323"/>
  <c r="L323"/>
  <c r="M323"/>
  <c r="B324"/>
  <c r="C324"/>
  <c r="D324"/>
  <c r="E324"/>
  <c r="S324" s="1"/>
  <c r="F324"/>
  <c r="G324"/>
  <c r="H324"/>
  <c r="J324"/>
  <c r="K324"/>
  <c r="L324"/>
  <c r="M324"/>
  <c r="B325"/>
  <c r="C325"/>
  <c r="D325"/>
  <c r="E325"/>
  <c r="S325" s="1"/>
  <c r="F325"/>
  <c r="G325"/>
  <c r="H325"/>
  <c r="J325"/>
  <c r="K325"/>
  <c r="L325"/>
  <c r="M325"/>
  <c r="B326"/>
  <c r="C326"/>
  <c r="D326"/>
  <c r="E326"/>
  <c r="S326" s="1"/>
  <c r="F326"/>
  <c r="G326"/>
  <c r="H326"/>
  <c r="J326"/>
  <c r="K326"/>
  <c r="L326"/>
  <c r="M326"/>
  <c r="B327"/>
  <c r="C327"/>
  <c r="D327"/>
  <c r="E327"/>
  <c r="S327" s="1"/>
  <c r="F327"/>
  <c r="G327"/>
  <c r="H327"/>
  <c r="J327"/>
  <c r="K327"/>
  <c r="L327"/>
  <c r="M327"/>
  <c r="B328"/>
  <c r="C328"/>
  <c r="D328"/>
  <c r="E328"/>
  <c r="S328" s="1"/>
  <c r="F328"/>
  <c r="G328"/>
  <c r="H328"/>
  <c r="J328"/>
  <c r="K328"/>
  <c r="L328"/>
  <c r="M328"/>
  <c r="B329"/>
  <c r="C329"/>
  <c r="D329"/>
  <c r="E329"/>
  <c r="S329" s="1"/>
  <c r="O329" s="1"/>
  <c r="F329"/>
  <c r="G329"/>
  <c r="H329"/>
  <c r="J329"/>
  <c r="K329"/>
  <c r="L329"/>
  <c r="M329"/>
  <c r="B330"/>
  <c r="C330"/>
  <c r="D330"/>
  <c r="E330"/>
  <c r="S330" s="1"/>
  <c r="O330" s="1"/>
  <c r="F330"/>
  <c r="G330"/>
  <c r="H330"/>
  <c r="J330"/>
  <c r="K330"/>
  <c r="L330"/>
  <c r="M330"/>
  <c r="B331"/>
  <c r="C331"/>
  <c r="D331"/>
  <c r="E331"/>
  <c r="S331" s="1"/>
  <c r="F331"/>
  <c r="G331"/>
  <c r="H331"/>
  <c r="J331"/>
  <c r="K331"/>
  <c r="L331"/>
  <c r="M331"/>
  <c r="B332"/>
  <c r="C332"/>
  <c r="D332"/>
  <c r="E332"/>
  <c r="S332" s="1"/>
  <c r="F332"/>
  <c r="G332"/>
  <c r="H332"/>
  <c r="J332"/>
  <c r="K332"/>
  <c r="L332"/>
  <c r="M332"/>
  <c r="B333"/>
  <c r="C333"/>
  <c r="D333"/>
  <c r="E333"/>
  <c r="S333" s="1"/>
  <c r="F333"/>
  <c r="G333"/>
  <c r="H333"/>
  <c r="J333"/>
  <c r="K333"/>
  <c r="L333"/>
  <c r="M333"/>
  <c r="B334"/>
  <c r="C334"/>
  <c r="D334"/>
  <c r="E334"/>
  <c r="S334" s="1"/>
  <c r="P334" s="1"/>
  <c r="Q334" s="1"/>
  <c r="F334"/>
  <c r="G334"/>
  <c r="H334"/>
  <c r="J334"/>
  <c r="K334"/>
  <c r="L334"/>
  <c r="M334"/>
  <c r="B335"/>
  <c r="C335"/>
  <c r="D335"/>
  <c r="E335"/>
  <c r="S335" s="1"/>
  <c r="F335"/>
  <c r="G335"/>
  <c r="H335"/>
  <c r="J335"/>
  <c r="K335"/>
  <c r="L335"/>
  <c r="M335"/>
  <c r="B336"/>
  <c r="C336"/>
  <c r="D336"/>
  <c r="E336"/>
  <c r="S336" s="1"/>
  <c r="F336"/>
  <c r="G336"/>
  <c r="H336"/>
  <c r="J336"/>
  <c r="K336"/>
  <c r="L336"/>
  <c r="M336"/>
  <c r="B337"/>
  <c r="C337"/>
  <c r="D337"/>
  <c r="E337"/>
  <c r="S337" s="1"/>
  <c r="O337" s="1"/>
  <c r="F337"/>
  <c r="G337"/>
  <c r="H337"/>
  <c r="J337"/>
  <c r="K337"/>
  <c r="L337"/>
  <c r="M337"/>
  <c r="B338"/>
  <c r="C338"/>
  <c r="D338"/>
  <c r="E338"/>
  <c r="S338" s="1"/>
  <c r="O338" s="1"/>
  <c r="F338"/>
  <c r="G338"/>
  <c r="H338"/>
  <c r="J338"/>
  <c r="K338"/>
  <c r="L338"/>
  <c r="M338"/>
  <c r="B339"/>
  <c r="C339"/>
  <c r="D339"/>
  <c r="E339"/>
  <c r="S339" s="1"/>
  <c r="F339"/>
  <c r="G339"/>
  <c r="H339"/>
  <c r="J339"/>
  <c r="K339"/>
  <c r="L339"/>
  <c r="M339"/>
  <c r="B340"/>
  <c r="C340"/>
  <c r="D340"/>
  <c r="E340"/>
  <c r="S340" s="1"/>
  <c r="F340"/>
  <c r="G340"/>
  <c r="H340"/>
  <c r="J340"/>
  <c r="K340"/>
  <c r="L340"/>
  <c r="M340"/>
  <c r="B341"/>
  <c r="C341"/>
  <c r="D341"/>
  <c r="E341"/>
  <c r="S341" s="1"/>
  <c r="F341"/>
  <c r="G341"/>
  <c r="H341"/>
  <c r="J341"/>
  <c r="K341"/>
  <c r="L341"/>
  <c r="M341"/>
  <c r="B342"/>
  <c r="C342"/>
  <c r="D342"/>
  <c r="E342"/>
  <c r="S342" s="1"/>
  <c r="F342"/>
  <c r="G342"/>
  <c r="H342"/>
  <c r="J342"/>
  <c r="K342"/>
  <c r="L342"/>
  <c r="M342"/>
  <c r="B343"/>
  <c r="C343"/>
  <c r="D343"/>
  <c r="E343"/>
  <c r="S343" s="1"/>
  <c r="F343"/>
  <c r="G343"/>
  <c r="H343"/>
  <c r="J343"/>
  <c r="K343"/>
  <c r="L343"/>
  <c r="M343"/>
  <c r="B344"/>
  <c r="C344"/>
  <c r="D344"/>
  <c r="E344"/>
  <c r="S344" s="1"/>
  <c r="F344"/>
  <c r="G344"/>
  <c r="H344"/>
  <c r="J344"/>
  <c r="K344"/>
  <c r="L344"/>
  <c r="M344"/>
  <c r="B345"/>
  <c r="C345"/>
  <c r="D345"/>
  <c r="E345"/>
  <c r="S345" s="1"/>
  <c r="F345"/>
  <c r="G345"/>
  <c r="H345"/>
  <c r="J345"/>
  <c r="K345"/>
  <c r="L345"/>
  <c r="M345"/>
  <c r="B346"/>
  <c r="C346"/>
  <c r="D346"/>
  <c r="E346"/>
  <c r="S346" s="1"/>
  <c r="F346"/>
  <c r="G346"/>
  <c r="H346"/>
  <c r="J346"/>
  <c r="K346"/>
  <c r="L346"/>
  <c r="M346"/>
  <c r="B347"/>
  <c r="C347"/>
  <c r="D347"/>
  <c r="E347"/>
  <c r="S347" s="1"/>
  <c r="P347" s="1"/>
  <c r="I347" s="1"/>
  <c r="F347"/>
  <c r="G347"/>
  <c r="H347"/>
  <c r="J347"/>
  <c r="K347"/>
  <c r="L347"/>
  <c r="M347"/>
  <c r="B348"/>
  <c r="C348"/>
  <c r="D348"/>
  <c r="E348"/>
  <c r="S348" s="1"/>
  <c r="F348"/>
  <c r="G348"/>
  <c r="H348"/>
  <c r="J348"/>
  <c r="K348"/>
  <c r="L348"/>
  <c r="M348"/>
  <c r="B349"/>
  <c r="C349"/>
  <c r="D349"/>
  <c r="E349"/>
  <c r="S349" s="1"/>
  <c r="F349"/>
  <c r="G349"/>
  <c r="H349"/>
  <c r="J349"/>
  <c r="K349"/>
  <c r="L349"/>
  <c r="M349"/>
  <c r="B350"/>
  <c r="C350"/>
  <c r="D350"/>
  <c r="E350"/>
  <c r="S350" s="1"/>
  <c r="P350" s="1"/>
  <c r="Q350" s="1"/>
  <c r="F350"/>
  <c r="G350"/>
  <c r="H350"/>
  <c r="J350"/>
  <c r="K350"/>
  <c r="L350"/>
  <c r="M350"/>
  <c r="B351"/>
  <c r="C351"/>
  <c r="D351"/>
  <c r="E351"/>
  <c r="S351" s="1"/>
  <c r="F351"/>
  <c r="G351"/>
  <c r="H351"/>
  <c r="J351"/>
  <c r="K351"/>
  <c r="L351"/>
  <c r="M351"/>
  <c r="B352"/>
  <c r="C352"/>
  <c r="D352"/>
  <c r="E352"/>
  <c r="S352" s="1"/>
  <c r="F352"/>
  <c r="G352"/>
  <c r="H352"/>
  <c r="J352"/>
  <c r="K352"/>
  <c r="L352"/>
  <c r="M352"/>
  <c r="B353"/>
  <c r="C353"/>
  <c r="D353"/>
  <c r="E353"/>
  <c r="S353" s="1"/>
  <c r="F353"/>
  <c r="G353"/>
  <c r="H353"/>
  <c r="J353"/>
  <c r="K353"/>
  <c r="L353"/>
  <c r="M353"/>
  <c r="B354"/>
  <c r="C354"/>
  <c r="D354"/>
  <c r="E354"/>
  <c r="S354" s="1"/>
  <c r="F354"/>
  <c r="G354"/>
  <c r="H354"/>
  <c r="J354"/>
  <c r="K354"/>
  <c r="L354"/>
  <c r="M354"/>
  <c r="B355"/>
  <c r="C355"/>
  <c r="D355"/>
  <c r="E355"/>
  <c r="S355" s="1"/>
  <c r="F355"/>
  <c r="G355"/>
  <c r="H355"/>
  <c r="J355"/>
  <c r="K355"/>
  <c r="L355"/>
  <c r="M355"/>
  <c r="B356"/>
  <c r="C356"/>
  <c r="D356"/>
  <c r="E356"/>
  <c r="S356" s="1"/>
  <c r="O356" s="1"/>
  <c r="F356"/>
  <c r="G356"/>
  <c r="H356"/>
  <c r="J356"/>
  <c r="K356"/>
  <c r="L356"/>
  <c r="M356"/>
  <c r="B357"/>
  <c r="C357"/>
  <c r="D357"/>
  <c r="E357"/>
  <c r="S357" s="1"/>
  <c r="P357" s="1"/>
  <c r="F357"/>
  <c r="G357"/>
  <c r="H357"/>
  <c r="J357"/>
  <c r="K357"/>
  <c r="L357"/>
  <c r="M357"/>
  <c r="B358"/>
  <c r="C358"/>
  <c r="D358"/>
  <c r="E358"/>
  <c r="S358" s="1"/>
  <c r="F358"/>
  <c r="G358"/>
  <c r="H358"/>
  <c r="J358"/>
  <c r="K358"/>
  <c r="L358"/>
  <c r="M358"/>
  <c r="B359"/>
  <c r="C359"/>
  <c r="D359"/>
  <c r="E359"/>
  <c r="S359" s="1"/>
  <c r="F359"/>
  <c r="G359"/>
  <c r="H359"/>
  <c r="J359"/>
  <c r="K359"/>
  <c r="L359"/>
  <c r="M359"/>
  <c r="B360"/>
  <c r="C360"/>
  <c r="D360"/>
  <c r="E360"/>
  <c r="S360" s="1"/>
  <c r="F360"/>
  <c r="G360"/>
  <c r="H360"/>
  <c r="J360"/>
  <c r="K360"/>
  <c r="L360"/>
  <c r="M360"/>
  <c r="B361"/>
  <c r="C361"/>
  <c r="D361"/>
  <c r="E361"/>
  <c r="S361" s="1"/>
  <c r="O361" s="1"/>
  <c r="F361"/>
  <c r="G361"/>
  <c r="H361"/>
  <c r="J361"/>
  <c r="K361"/>
  <c r="L361"/>
  <c r="M361"/>
  <c r="B362"/>
  <c r="C362"/>
  <c r="D362"/>
  <c r="E362"/>
  <c r="S362" s="1"/>
  <c r="O362" s="1"/>
  <c r="F362"/>
  <c r="G362"/>
  <c r="H362"/>
  <c r="J362"/>
  <c r="K362"/>
  <c r="L362"/>
  <c r="M362"/>
  <c r="B363"/>
  <c r="C363"/>
  <c r="D363"/>
  <c r="E363"/>
  <c r="S363" s="1"/>
  <c r="F363"/>
  <c r="G363"/>
  <c r="H363"/>
  <c r="J363"/>
  <c r="K363"/>
  <c r="L363"/>
  <c r="M363"/>
  <c r="B364"/>
  <c r="C364"/>
  <c r="D364"/>
  <c r="E364"/>
  <c r="S364" s="1"/>
  <c r="F364"/>
  <c r="G364"/>
  <c r="H364"/>
  <c r="J364"/>
  <c r="K364"/>
  <c r="L364"/>
  <c r="M364"/>
  <c r="B365"/>
  <c r="C365"/>
  <c r="D365"/>
  <c r="E365"/>
  <c r="S365" s="1"/>
  <c r="F365"/>
  <c r="G365"/>
  <c r="H365"/>
  <c r="J365"/>
  <c r="K365"/>
  <c r="L365"/>
  <c r="M365"/>
  <c r="B366"/>
  <c r="C366"/>
  <c r="D366"/>
  <c r="E366"/>
  <c r="S366" s="1"/>
  <c r="F366"/>
  <c r="G366"/>
  <c r="H366"/>
  <c r="J366"/>
  <c r="K366"/>
  <c r="L366"/>
  <c r="M366"/>
  <c r="B367"/>
  <c r="C367"/>
  <c r="D367"/>
  <c r="E367"/>
  <c r="S367" s="1"/>
  <c r="F367"/>
  <c r="G367"/>
  <c r="H367"/>
  <c r="J367"/>
  <c r="K367"/>
  <c r="L367"/>
  <c r="M367"/>
  <c r="B368"/>
  <c r="C368"/>
  <c r="D368"/>
  <c r="E368"/>
  <c r="S368" s="1"/>
  <c r="F368"/>
  <c r="G368"/>
  <c r="H368"/>
  <c r="J368"/>
  <c r="K368"/>
  <c r="L368"/>
  <c r="M368"/>
  <c r="B369"/>
  <c r="C369"/>
  <c r="D369"/>
  <c r="E369"/>
  <c r="S369" s="1"/>
  <c r="O369" s="1"/>
  <c r="F369"/>
  <c r="G369"/>
  <c r="H369"/>
  <c r="J369"/>
  <c r="K369"/>
  <c r="L369"/>
  <c r="M369"/>
  <c r="B370"/>
  <c r="C370"/>
  <c r="D370"/>
  <c r="E370"/>
  <c r="S370" s="1"/>
  <c r="F370"/>
  <c r="G370"/>
  <c r="H370"/>
  <c r="J370"/>
  <c r="K370"/>
  <c r="L370"/>
  <c r="M370"/>
  <c r="B371"/>
  <c r="C371"/>
  <c r="D371"/>
  <c r="E371"/>
  <c r="S371" s="1"/>
  <c r="F371"/>
  <c r="G371"/>
  <c r="H371"/>
  <c r="J371"/>
  <c r="K371"/>
  <c r="L371"/>
  <c r="M371"/>
  <c r="B372"/>
  <c r="C372"/>
  <c r="D372"/>
  <c r="E372"/>
  <c r="S372" s="1"/>
  <c r="F372"/>
  <c r="G372"/>
  <c r="H372"/>
  <c r="J372"/>
  <c r="K372"/>
  <c r="L372"/>
  <c r="M372"/>
  <c r="B373"/>
  <c r="C373"/>
  <c r="D373"/>
  <c r="E373"/>
  <c r="S373" s="1"/>
  <c r="F373"/>
  <c r="G373"/>
  <c r="H373"/>
  <c r="J373"/>
  <c r="K373"/>
  <c r="L373"/>
  <c r="M373"/>
  <c r="B374"/>
  <c r="C374"/>
  <c r="D374"/>
  <c r="E374"/>
  <c r="S374" s="1"/>
  <c r="P374" s="1"/>
  <c r="N374" s="1"/>
  <c r="F374"/>
  <c r="G374"/>
  <c r="H374"/>
  <c r="J374"/>
  <c r="K374"/>
  <c r="L374"/>
  <c r="M374"/>
  <c r="B375"/>
  <c r="C375"/>
  <c r="D375"/>
  <c r="E375"/>
  <c r="S375" s="1"/>
  <c r="P375" s="1"/>
  <c r="I375" s="1"/>
  <c r="F375"/>
  <c r="G375"/>
  <c r="H375"/>
  <c r="J375"/>
  <c r="K375"/>
  <c r="L375"/>
  <c r="M375"/>
  <c r="B376"/>
  <c r="C376"/>
  <c r="D376"/>
  <c r="E376"/>
  <c r="S376" s="1"/>
  <c r="F376"/>
  <c r="G376"/>
  <c r="H376"/>
  <c r="J376"/>
  <c r="K376"/>
  <c r="L376"/>
  <c r="M376"/>
  <c r="B377"/>
  <c r="C377"/>
  <c r="D377"/>
  <c r="E377"/>
  <c r="S377" s="1"/>
  <c r="F377"/>
  <c r="G377"/>
  <c r="H377"/>
  <c r="J377"/>
  <c r="K377"/>
  <c r="L377"/>
  <c r="M377"/>
  <c r="B378"/>
  <c r="C378"/>
  <c r="D378"/>
  <c r="E378"/>
  <c r="S378" s="1"/>
  <c r="F378"/>
  <c r="G378"/>
  <c r="H378"/>
  <c r="J378"/>
  <c r="K378"/>
  <c r="L378"/>
  <c r="M378"/>
  <c r="B379"/>
  <c r="C379"/>
  <c r="D379"/>
  <c r="E379"/>
  <c r="S379" s="1"/>
  <c r="F379"/>
  <c r="G379"/>
  <c r="H379"/>
  <c r="J379"/>
  <c r="K379"/>
  <c r="L379"/>
  <c r="M379"/>
  <c r="B380"/>
  <c r="C380"/>
  <c r="D380"/>
  <c r="E380"/>
  <c r="S380" s="1"/>
  <c r="O380" s="1"/>
  <c r="F380"/>
  <c r="G380"/>
  <c r="H380"/>
  <c r="J380"/>
  <c r="K380"/>
  <c r="L380"/>
  <c r="M380"/>
  <c r="B381"/>
  <c r="C381"/>
  <c r="D381"/>
  <c r="E381"/>
  <c r="S381" s="1"/>
  <c r="F381"/>
  <c r="G381"/>
  <c r="H381"/>
  <c r="J381"/>
  <c r="K381"/>
  <c r="L381"/>
  <c r="M381"/>
  <c r="B382"/>
  <c r="C382"/>
  <c r="D382"/>
  <c r="E382"/>
  <c r="S382" s="1"/>
  <c r="F382"/>
  <c r="G382"/>
  <c r="H382"/>
  <c r="J382"/>
  <c r="K382"/>
  <c r="L382"/>
  <c r="M382"/>
  <c r="B383"/>
  <c r="C383"/>
  <c r="D383"/>
  <c r="E383"/>
  <c r="S383" s="1"/>
  <c r="F383"/>
  <c r="G383"/>
  <c r="H383"/>
  <c r="J383"/>
  <c r="K383"/>
  <c r="L383"/>
  <c r="M383"/>
  <c r="B384"/>
  <c r="C384"/>
  <c r="D384"/>
  <c r="E384"/>
  <c r="S384" s="1"/>
  <c r="P384" s="1"/>
  <c r="I384" s="1"/>
  <c r="F384"/>
  <c r="G384"/>
  <c r="H384"/>
  <c r="J384"/>
  <c r="K384"/>
  <c r="L384"/>
  <c r="M384"/>
  <c r="B385"/>
  <c r="C385"/>
  <c r="D385"/>
  <c r="E385"/>
  <c r="S385" s="1"/>
  <c r="P385" s="1"/>
  <c r="I385" s="1"/>
  <c r="F385"/>
  <c r="G385"/>
  <c r="H385"/>
  <c r="J385"/>
  <c r="K385"/>
  <c r="L385"/>
  <c r="M385"/>
  <c r="B386"/>
  <c r="C386"/>
  <c r="D386"/>
  <c r="E386"/>
  <c r="S386" s="1"/>
  <c r="F386"/>
  <c r="G386"/>
  <c r="H386"/>
  <c r="J386"/>
  <c r="K386"/>
  <c r="L386"/>
  <c r="M386"/>
  <c r="B387"/>
  <c r="C387"/>
  <c r="D387"/>
  <c r="E387"/>
  <c r="S387" s="1"/>
  <c r="F387"/>
  <c r="G387"/>
  <c r="H387"/>
  <c r="J387"/>
  <c r="K387"/>
  <c r="L387"/>
  <c r="M387"/>
  <c r="B388"/>
  <c r="C388"/>
  <c r="D388"/>
  <c r="E388"/>
  <c r="S388" s="1"/>
  <c r="F388"/>
  <c r="G388"/>
  <c r="H388"/>
  <c r="J388"/>
  <c r="K388"/>
  <c r="L388"/>
  <c r="M388"/>
  <c r="B389"/>
  <c r="C389"/>
  <c r="D389"/>
  <c r="E389"/>
  <c r="S389" s="1"/>
  <c r="F389"/>
  <c r="G389"/>
  <c r="H389"/>
  <c r="J389"/>
  <c r="K389"/>
  <c r="L389"/>
  <c r="M389"/>
  <c r="B390"/>
  <c r="C390"/>
  <c r="D390"/>
  <c r="E390"/>
  <c r="S390" s="1"/>
  <c r="F390"/>
  <c r="G390"/>
  <c r="H390"/>
  <c r="J390"/>
  <c r="K390"/>
  <c r="L390"/>
  <c r="M390"/>
  <c r="B391"/>
  <c r="C391"/>
  <c r="D391"/>
  <c r="E391"/>
  <c r="S391" s="1"/>
  <c r="F391"/>
  <c r="G391"/>
  <c r="H391"/>
  <c r="J391"/>
  <c r="K391"/>
  <c r="L391"/>
  <c r="M391"/>
  <c r="B392"/>
  <c r="C392"/>
  <c r="D392"/>
  <c r="E392"/>
  <c r="F392"/>
  <c r="G392"/>
  <c r="H392"/>
  <c r="J392"/>
  <c r="K392"/>
  <c r="L392"/>
  <c r="M392"/>
  <c r="S392"/>
  <c r="B393"/>
  <c r="C393"/>
  <c r="D393"/>
  <c r="E393"/>
  <c r="S393" s="1"/>
  <c r="P393" s="1"/>
  <c r="N393" s="1"/>
  <c r="F393"/>
  <c r="G393"/>
  <c r="H393"/>
  <c r="J393"/>
  <c r="K393"/>
  <c r="L393"/>
  <c r="M393"/>
  <c r="B394"/>
  <c r="C394"/>
  <c r="D394"/>
  <c r="E394"/>
  <c r="S394" s="1"/>
  <c r="F394"/>
  <c r="G394"/>
  <c r="H394"/>
  <c r="J394"/>
  <c r="K394"/>
  <c r="L394"/>
  <c r="M394"/>
  <c r="B395"/>
  <c r="C395"/>
  <c r="D395"/>
  <c r="E395"/>
  <c r="S395" s="1"/>
  <c r="F395"/>
  <c r="G395"/>
  <c r="H395"/>
  <c r="J395"/>
  <c r="K395"/>
  <c r="L395"/>
  <c r="M395"/>
  <c r="B396"/>
  <c r="C396"/>
  <c r="D396"/>
  <c r="E396"/>
  <c r="S396" s="1"/>
  <c r="F396"/>
  <c r="G396"/>
  <c r="H396"/>
  <c r="J396"/>
  <c r="K396"/>
  <c r="L396"/>
  <c r="M396"/>
  <c r="B397"/>
  <c r="C397"/>
  <c r="D397"/>
  <c r="E397"/>
  <c r="S397" s="1"/>
  <c r="O397" s="1"/>
  <c r="F397"/>
  <c r="G397"/>
  <c r="H397"/>
  <c r="J397"/>
  <c r="K397"/>
  <c r="L397"/>
  <c r="M397"/>
  <c r="B398"/>
  <c r="C398"/>
  <c r="D398"/>
  <c r="E398"/>
  <c r="S398" s="1"/>
  <c r="F398"/>
  <c r="G398"/>
  <c r="H398"/>
  <c r="J398"/>
  <c r="K398"/>
  <c r="L398"/>
  <c r="M398"/>
  <c r="B399"/>
  <c r="C399"/>
  <c r="D399"/>
  <c r="E399"/>
  <c r="S399" s="1"/>
  <c r="O399" s="1"/>
  <c r="F399"/>
  <c r="G399"/>
  <c r="H399"/>
  <c r="J399"/>
  <c r="K399"/>
  <c r="L399"/>
  <c r="M399"/>
  <c r="B400"/>
  <c r="C400"/>
  <c r="D400"/>
  <c r="E400"/>
  <c r="S400" s="1"/>
  <c r="F400"/>
  <c r="G400"/>
  <c r="H400"/>
  <c r="J400"/>
  <c r="K400"/>
  <c r="L400"/>
  <c r="M400"/>
  <c r="B401"/>
  <c r="C401"/>
  <c r="D401"/>
  <c r="E401"/>
  <c r="S401" s="1"/>
  <c r="P401" s="1"/>
  <c r="T401" s="1"/>
  <c r="F401"/>
  <c r="G401"/>
  <c r="H401"/>
  <c r="J401"/>
  <c r="K401"/>
  <c r="L401"/>
  <c r="M401"/>
  <c r="B402"/>
  <c r="C402"/>
  <c r="D402"/>
  <c r="E402"/>
  <c r="S402" s="1"/>
  <c r="F402"/>
  <c r="G402"/>
  <c r="H402"/>
  <c r="J402"/>
  <c r="K402"/>
  <c r="L402"/>
  <c r="M402"/>
  <c r="B403"/>
  <c r="C403"/>
  <c r="D403"/>
  <c r="E403"/>
  <c r="S403" s="1"/>
  <c r="O403" s="1"/>
  <c r="F403"/>
  <c r="G403"/>
  <c r="H403"/>
  <c r="J403"/>
  <c r="K403"/>
  <c r="L403"/>
  <c r="M403"/>
  <c r="B404"/>
  <c r="C404"/>
  <c r="D404"/>
  <c r="E404"/>
  <c r="S404" s="1"/>
  <c r="F404"/>
  <c r="G404"/>
  <c r="H404"/>
  <c r="J404"/>
  <c r="K404"/>
  <c r="L404"/>
  <c r="M404"/>
  <c r="B405"/>
  <c r="C405"/>
  <c r="D405"/>
  <c r="E405"/>
  <c r="S405" s="1"/>
  <c r="O405" s="1"/>
  <c r="F405"/>
  <c r="G405"/>
  <c r="H405"/>
  <c r="J405"/>
  <c r="K405"/>
  <c r="L405"/>
  <c r="M405"/>
  <c r="B406"/>
  <c r="C406"/>
  <c r="D406"/>
  <c r="E406"/>
  <c r="S406" s="1"/>
  <c r="F406"/>
  <c r="G406"/>
  <c r="H406"/>
  <c r="J406"/>
  <c r="K406"/>
  <c r="L406"/>
  <c r="M406"/>
  <c r="B407"/>
  <c r="C407"/>
  <c r="D407"/>
  <c r="E407"/>
  <c r="S407" s="1"/>
  <c r="O407" s="1"/>
  <c r="F407"/>
  <c r="G407"/>
  <c r="H407"/>
  <c r="J407"/>
  <c r="K407"/>
  <c r="L407"/>
  <c r="M407"/>
  <c r="B408"/>
  <c r="C408"/>
  <c r="D408"/>
  <c r="E408"/>
  <c r="S408" s="1"/>
  <c r="F408"/>
  <c r="G408"/>
  <c r="H408"/>
  <c r="J408"/>
  <c r="K408"/>
  <c r="L408"/>
  <c r="M408"/>
  <c r="B409"/>
  <c r="C409"/>
  <c r="D409"/>
  <c r="E409"/>
  <c r="S409" s="1"/>
  <c r="P409" s="1"/>
  <c r="I409" s="1"/>
  <c r="F409"/>
  <c r="G409"/>
  <c r="H409"/>
  <c r="J409"/>
  <c r="K409"/>
  <c r="L409"/>
  <c r="M409"/>
  <c r="B410"/>
  <c r="C410"/>
  <c r="D410"/>
  <c r="E410"/>
  <c r="S410" s="1"/>
  <c r="F410"/>
  <c r="G410"/>
  <c r="H410"/>
  <c r="J410"/>
  <c r="K410"/>
  <c r="L410"/>
  <c r="M410"/>
  <c r="B411"/>
  <c r="C411"/>
  <c r="D411"/>
  <c r="E411"/>
  <c r="S411" s="1"/>
  <c r="F411"/>
  <c r="G411"/>
  <c r="H411"/>
  <c r="J411"/>
  <c r="K411"/>
  <c r="L411"/>
  <c r="M411"/>
  <c r="B412"/>
  <c r="C412"/>
  <c r="D412"/>
  <c r="E412"/>
  <c r="S412" s="1"/>
  <c r="P412" s="1"/>
  <c r="T412" s="1"/>
  <c r="F412"/>
  <c r="G412"/>
  <c r="H412"/>
  <c r="J412"/>
  <c r="K412"/>
  <c r="L412"/>
  <c r="M412"/>
  <c r="B413"/>
  <c r="C413"/>
  <c r="D413"/>
  <c r="E413"/>
  <c r="S413" s="1"/>
  <c r="O413" s="1"/>
  <c r="F413"/>
  <c r="G413"/>
  <c r="H413"/>
  <c r="J413"/>
  <c r="K413"/>
  <c r="L413"/>
  <c r="M413"/>
  <c r="B414"/>
  <c r="C414"/>
  <c r="D414"/>
  <c r="E414"/>
  <c r="S414" s="1"/>
  <c r="O414" s="1"/>
  <c r="F414"/>
  <c r="G414"/>
  <c r="H414"/>
  <c r="J414"/>
  <c r="K414"/>
  <c r="L414"/>
  <c r="M414"/>
  <c r="B415"/>
  <c r="C415"/>
  <c r="D415"/>
  <c r="E415"/>
  <c r="S415" s="1"/>
  <c r="F415"/>
  <c r="G415"/>
  <c r="H415"/>
  <c r="J415"/>
  <c r="K415"/>
  <c r="L415"/>
  <c r="M415"/>
  <c r="B416"/>
  <c r="C416"/>
  <c r="D416"/>
  <c r="E416"/>
  <c r="S416" s="1"/>
  <c r="F416"/>
  <c r="G416"/>
  <c r="H416"/>
  <c r="J416"/>
  <c r="K416"/>
  <c r="L416"/>
  <c r="M416"/>
  <c r="B417"/>
  <c r="C417"/>
  <c r="D417"/>
  <c r="E417"/>
  <c r="S417" s="1"/>
  <c r="F417"/>
  <c r="G417"/>
  <c r="H417"/>
  <c r="J417"/>
  <c r="K417"/>
  <c r="L417"/>
  <c r="M417"/>
  <c r="B418"/>
  <c r="C418"/>
  <c r="D418"/>
  <c r="E418"/>
  <c r="S418" s="1"/>
  <c r="O418" s="1"/>
  <c r="F418"/>
  <c r="G418"/>
  <c r="H418"/>
  <c r="J418"/>
  <c r="K418"/>
  <c r="L418"/>
  <c r="M418"/>
  <c r="B419"/>
  <c r="C419"/>
  <c r="D419"/>
  <c r="E419"/>
  <c r="S419" s="1"/>
  <c r="F419"/>
  <c r="G419"/>
  <c r="H419"/>
  <c r="J419"/>
  <c r="K419"/>
  <c r="L419"/>
  <c r="M419"/>
  <c r="B420"/>
  <c r="C420"/>
  <c r="D420"/>
  <c r="E420"/>
  <c r="S420" s="1"/>
  <c r="F420"/>
  <c r="G420"/>
  <c r="H420"/>
  <c r="J420"/>
  <c r="K420"/>
  <c r="L420"/>
  <c r="M420"/>
  <c r="B421"/>
  <c r="C421"/>
  <c r="D421"/>
  <c r="E421"/>
  <c r="S421" s="1"/>
  <c r="F421"/>
  <c r="G421"/>
  <c r="H421"/>
  <c r="J421"/>
  <c r="K421"/>
  <c r="L421"/>
  <c r="M421"/>
  <c r="B422"/>
  <c r="C422"/>
  <c r="D422"/>
  <c r="E422"/>
  <c r="S422" s="1"/>
  <c r="F422"/>
  <c r="G422"/>
  <c r="H422"/>
  <c r="J422"/>
  <c r="K422"/>
  <c r="L422"/>
  <c r="M422"/>
  <c r="B423"/>
  <c r="C423"/>
  <c r="D423"/>
  <c r="E423"/>
  <c r="S423" s="1"/>
  <c r="F423"/>
  <c r="G423"/>
  <c r="H423"/>
  <c r="J423"/>
  <c r="K423"/>
  <c r="L423"/>
  <c r="M423"/>
  <c r="B424"/>
  <c r="C424"/>
  <c r="D424"/>
  <c r="E424"/>
  <c r="S424" s="1"/>
  <c r="F424"/>
  <c r="G424"/>
  <c r="H424"/>
  <c r="J424"/>
  <c r="K424"/>
  <c r="L424"/>
  <c r="M424"/>
  <c r="B425"/>
  <c r="C425"/>
  <c r="D425"/>
  <c r="E425"/>
  <c r="S425" s="1"/>
  <c r="P425" s="1"/>
  <c r="I425" s="1"/>
  <c r="F425"/>
  <c r="G425"/>
  <c r="H425"/>
  <c r="J425"/>
  <c r="K425"/>
  <c r="L425"/>
  <c r="M425"/>
  <c r="B426"/>
  <c r="C426"/>
  <c r="D426"/>
  <c r="E426"/>
  <c r="S426" s="1"/>
  <c r="P426" s="1"/>
  <c r="I426" s="1"/>
  <c r="F426"/>
  <c r="G426"/>
  <c r="H426"/>
  <c r="J426"/>
  <c r="K426"/>
  <c r="L426"/>
  <c r="M426"/>
  <c r="B427"/>
  <c r="C427"/>
  <c r="D427"/>
  <c r="E427"/>
  <c r="S427" s="1"/>
  <c r="F427"/>
  <c r="G427"/>
  <c r="H427"/>
  <c r="J427"/>
  <c r="K427"/>
  <c r="L427"/>
  <c r="M427"/>
  <c r="B428"/>
  <c r="C428"/>
  <c r="D428"/>
  <c r="E428"/>
  <c r="S428" s="1"/>
  <c r="O428" s="1"/>
  <c r="F428"/>
  <c r="G428"/>
  <c r="H428"/>
  <c r="J428"/>
  <c r="K428"/>
  <c r="L428"/>
  <c r="M428"/>
  <c r="B429"/>
  <c r="C429"/>
  <c r="D429"/>
  <c r="E429"/>
  <c r="S429" s="1"/>
  <c r="F429"/>
  <c r="G429"/>
  <c r="H429"/>
  <c r="J429"/>
  <c r="K429"/>
  <c r="L429"/>
  <c r="M429"/>
  <c r="B430"/>
  <c r="C430"/>
  <c r="D430"/>
  <c r="E430"/>
  <c r="S430" s="1"/>
  <c r="F430"/>
  <c r="G430"/>
  <c r="H430"/>
  <c r="J430"/>
  <c r="K430"/>
  <c r="L430"/>
  <c r="M430"/>
  <c r="B431"/>
  <c r="C431"/>
  <c r="D431"/>
  <c r="E431"/>
  <c r="S431" s="1"/>
  <c r="F431"/>
  <c r="G431"/>
  <c r="H431"/>
  <c r="J431"/>
  <c r="K431"/>
  <c r="L431"/>
  <c r="M431"/>
  <c r="B432"/>
  <c r="C432"/>
  <c r="D432"/>
  <c r="E432"/>
  <c r="S432" s="1"/>
  <c r="P432" s="1"/>
  <c r="T432" s="1"/>
  <c r="F432"/>
  <c r="G432"/>
  <c r="H432"/>
  <c r="J432"/>
  <c r="K432"/>
  <c r="L432"/>
  <c r="M432"/>
  <c r="B433"/>
  <c r="C433"/>
  <c r="D433"/>
  <c r="E433"/>
  <c r="S433" s="1"/>
  <c r="O433" s="1"/>
  <c r="F433"/>
  <c r="G433"/>
  <c r="H433"/>
  <c r="J433"/>
  <c r="K433"/>
  <c r="L433"/>
  <c r="M433"/>
  <c r="B434"/>
  <c r="C434"/>
  <c r="D434"/>
  <c r="E434"/>
  <c r="S434" s="1"/>
  <c r="P434" s="1"/>
  <c r="I434" s="1"/>
  <c r="F434"/>
  <c r="G434"/>
  <c r="H434"/>
  <c r="J434"/>
  <c r="K434"/>
  <c r="L434"/>
  <c r="M434"/>
  <c r="B435"/>
  <c r="C435"/>
  <c r="D435"/>
  <c r="E435"/>
  <c r="S435" s="1"/>
  <c r="O435" s="1"/>
  <c r="F435"/>
  <c r="G435"/>
  <c r="H435"/>
  <c r="J435"/>
  <c r="K435"/>
  <c r="L435"/>
  <c r="M435"/>
  <c r="B436"/>
  <c r="C436"/>
  <c r="D436"/>
  <c r="E436"/>
  <c r="S436" s="1"/>
  <c r="P436" s="1"/>
  <c r="F436"/>
  <c r="G436"/>
  <c r="H436"/>
  <c r="J436"/>
  <c r="K436"/>
  <c r="L436"/>
  <c r="M436"/>
  <c r="B437"/>
  <c r="C437"/>
  <c r="D437"/>
  <c r="E437"/>
  <c r="S437" s="1"/>
  <c r="F437"/>
  <c r="G437"/>
  <c r="H437"/>
  <c r="J437"/>
  <c r="K437"/>
  <c r="L437"/>
  <c r="M437"/>
  <c r="B438"/>
  <c r="C438"/>
  <c r="D438"/>
  <c r="E438"/>
  <c r="S438" s="1"/>
  <c r="O438" s="1"/>
  <c r="F438"/>
  <c r="G438"/>
  <c r="H438"/>
  <c r="J438"/>
  <c r="K438"/>
  <c r="L438"/>
  <c r="M438"/>
  <c r="B439"/>
  <c r="C439"/>
  <c r="D439"/>
  <c r="E439"/>
  <c r="S439" s="1"/>
  <c r="F439"/>
  <c r="G439"/>
  <c r="H439"/>
  <c r="J439"/>
  <c r="K439"/>
  <c r="L439"/>
  <c r="M439"/>
  <c r="B440"/>
  <c r="C440"/>
  <c r="D440"/>
  <c r="E440"/>
  <c r="S440" s="1"/>
  <c r="O440" s="1"/>
  <c r="F440"/>
  <c r="G440"/>
  <c r="H440"/>
  <c r="J440"/>
  <c r="K440"/>
  <c r="L440"/>
  <c r="M440"/>
  <c r="B441"/>
  <c r="C441"/>
  <c r="D441"/>
  <c r="E441"/>
  <c r="S441" s="1"/>
  <c r="P441" s="1"/>
  <c r="I441" s="1"/>
  <c r="F441"/>
  <c r="G441"/>
  <c r="H441"/>
  <c r="J441"/>
  <c r="K441"/>
  <c r="L441"/>
  <c r="M441"/>
  <c r="B442"/>
  <c r="C442"/>
  <c r="D442"/>
  <c r="E442"/>
  <c r="S442" s="1"/>
  <c r="P442" s="1"/>
  <c r="F442"/>
  <c r="G442"/>
  <c r="H442"/>
  <c r="J442"/>
  <c r="K442"/>
  <c r="L442"/>
  <c r="M442"/>
  <c r="B443"/>
  <c r="C443"/>
  <c r="D443"/>
  <c r="E443"/>
  <c r="S443" s="1"/>
  <c r="F443"/>
  <c r="G443"/>
  <c r="H443"/>
  <c r="J443"/>
  <c r="K443"/>
  <c r="L443"/>
  <c r="M443"/>
  <c r="B444"/>
  <c r="C444"/>
  <c r="D444"/>
  <c r="E444"/>
  <c r="S444" s="1"/>
  <c r="F444"/>
  <c r="G444"/>
  <c r="H444"/>
  <c r="J444"/>
  <c r="K444"/>
  <c r="L444"/>
  <c r="M444"/>
  <c r="B445"/>
  <c r="C445"/>
  <c r="D445"/>
  <c r="E445"/>
  <c r="S445" s="1"/>
  <c r="F445"/>
  <c r="G445"/>
  <c r="H445"/>
  <c r="J445"/>
  <c r="K445"/>
  <c r="L445"/>
  <c r="M445"/>
  <c r="B446"/>
  <c r="C446"/>
  <c r="D446"/>
  <c r="E446"/>
  <c r="S446" s="1"/>
  <c r="O446" s="1"/>
  <c r="F446"/>
  <c r="G446"/>
  <c r="H446"/>
  <c r="J446"/>
  <c r="K446"/>
  <c r="L446"/>
  <c r="M446"/>
  <c r="B447"/>
  <c r="C447"/>
  <c r="D447"/>
  <c r="E447"/>
  <c r="S447" s="1"/>
  <c r="F447"/>
  <c r="G447"/>
  <c r="H447"/>
  <c r="J447"/>
  <c r="K447"/>
  <c r="L447"/>
  <c r="M447"/>
  <c r="B448"/>
  <c r="C448"/>
  <c r="D448"/>
  <c r="E448"/>
  <c r="S448" s="1"/>
  <c r="O448" s="1"/>
  <c r="F448"/>
  <c r="G448"/>
  <c r="H448"/>
  <c r="J448"/>
  <c r="K448"/>
  <c r="L448"/>
  <c r="M448"/>
  <c r="B449"/>
  <c r="C449"/>
  <c r="D449"/>
  <c r="E449"/>
  <c r="S449" s="1"/>
  <c r="F449"/>
  <c r="G449"/>
  <c r="H449"/>
  <c r="J449"/>
  <c r="K449"/>
  <c r="L449"/>
  <c r="M449"/>
  <c r="B450"/>
  <c r="C450"/>
  <c r="D450"/>
  <c r="E450"/>
  <c r="S450" s="1"/>
  <c r="F450"/>
  <c r="G450"/>
  <c r="H450"/>
  <c r="J450"/>
  <c r="K450"/>
  <c r="L450"/>
  <c r="M450"/>
  <c r="B451"/>
  <c r="C451"/>
  <c r="D451"/>
  <c r="E451"/>
  <c r="S451" s="1"/>
  <c r="F451"/>
  <c r="G451"/>
  <c r="H451"/>
  <c r="J451"/>
  <c r="K451"/>
  <c r="L451"/>
  <c r="M451"/>
  <c r="B452"/>
  <c r="C452"/>
  <c r="D452"/>
  <c r="E452"/>
  <c r="S452" s="1"/>
  <c r="F452"/>
  <c r="G452"/>
  <c r="H452"/>
  <c r="J452"/>
  <c r="K452"/>
  <c r="L452"/>
  <c r="M452"/>
  <c r="B453"/>
  <c r="C453"/>
  <c r="D453"/>
  <c r="E453"/>
  <c r="S453" s="1"/>
  <c r="P453" s="1"/>
  <c r="Q453" s="1"/>
  <c r="F453"/>
  <c r="G453"/>
  <c r="H453"/>
  <c r="J453"/>
  <c r="K453"/>
  <c r="L453"/>
  <c r="M453"/>
  <c r="B454"/>
  <c r="C454"/>
  <c r="D454"/>
  <c r="E454"/>
  <c r="S454" s="1"/>
  <c r="F454"/>
  <c r="G454"/>
  <c r="H454"/>
  <c r="J454"/>
  <c r="K454"/>
  <c r="L454"/>
  <c r="M454"/>
  <c r="B455"/>
  <c r="C455"/>
  <c r="D455"/>
  <c r="E455"/>
  <c r="S455" s="1"/>
  <c r="F455"/>
  <c r="G455"/>
  <c r="H455"/>
  <c r="J455"/>
  <c r="K455"/>
  <c r="L455"/>
  <c r="M455"/>
  <c r="B456"/>
  <c r="C456"/>
  <c r="D456"/>
  <c r="E456"/>
  <c r="S456" s="1"/>
  <c r="F456"/>
  <c r="G456"/>
  <c r="H456"/>
  <c r="J456"/>
  <c r="K456"/>
  <c r="L456"/>
  <c r="M456"/>
  <c r="B457"/>
  <c r="C457"/>
  <c r="D457"/>
  <c r="E457"/>
  <c r="S457" s="1"/>
  <c r="F457"/>
  <c r="G457"/>
  <c r="H457"/>
  <c r="J457"/>
  <c r="K457"/>
  <c r="L457"/>
  <c r="M457"/>
  <c r="B458"/>
  <c r="C458"/>
  <c r="D458"/>
  <c r="E458"/>
  <c r="S458" s="1"/>
  <c r="F458"/>
  <c r="G458"/>
  <c r="H458"/>
  <c r="J458"/>
  <c r="K458"/>
  <c r="L458"/>
  <c r="M458"/>
  <c r="B459"/>
  <c r="C459"/>
  <c r="D459"/>
  <c r="E459"/>
  <c r="S459" s="1"/>
  <c r="F459"/>
  <c r="G459"/>
  <c r="H459"/>
  <c r="J459"/>
  <c r="K459"/>
  <c r="L459"/>
  <c r="M459"/>
  <c r="B460"/>
  <c r="C460"/>
  <c r="D460"/>
  <c r="E460"/>
  <c r="S460" s="1"/>
  <c r="F460"/>
  <c r="G460"/>
  <c r="H460"/>
  <c r="J460"/>
  <c r="K460"/>
  <c r="L460"/>
  <c r="M460"/>
  <c r="B461"/>
  <c r="C461"/>
  <c r="D461"/>
  <c r="E461"/>
  <c r="S461" s="1"/>
  <c r="P461" s="1"/>
  <c r="Q461" s="1"/>
  <c r="F461"/>
  <c r="G461"/>
  <c r="H461"/>
  <c r="J461"/>
  <c r="K461"/>
  <c r="L461"/>
  <c r="M461"/>
  <c r="B462"/>
  <c r="C462"/>
  <c r="D462"/>
  <c r="E462"/>
  <c r="S462" s="1"/>
  <c r="F462"/>
  <c r="G462"/>
  <c r="H462"/>
  <c r="J462"/>
  <c r="K462"/>
  <c r="L462"/>
  <c r="M462"/>
  <c r="B463"/>
  <c r="C463"/>
  <c r="D463"/>
  <c r="E463"/>
  <c r="S463" s="1"/>
  <c r="O463" s="1"/>
  <c r="F463"/>
  <c r="G463"/>
  <c r="H463"/>
  <c r="J463"/>
  <c r="K463"/>
  <c r="L463"/>
  <c r="M463"/>
  <c r="B464"/>
  <c r="C464"/>
  <c r="D464"/>
  <c r="E464"/>
  <c r="S464" s="1"/>
  <c r="O464" s="1"/>
  <c r="F464"/>
  <c r="G464"/>
  <c r="H464"/>
  <c r="J464"/>
  <c r="K464"/>
  <c r="L464"/>
  <c r="M464"/>
  <c r="B465"/>
  <c r="C465"/>
  <c r="D465"/>
  <c r="E465"/>
  <c r="S465" s="1"/>
  <c r="F465"/>
  <c r="G465"/>
  <c r="H465"/>
  <c r="J465"/>
  <c r="K465"/>
  <c r="L465"/>
  <c r="M465"/>
  <c r="B466"/>
  <c r="C466"/>
  <c r="D466"/>
  <c r="E466"/>
  <c r="S466" s="1"/>
  <c r="F466"/>
  <c r="G466"/>
  <c r="H466"/>
  <c r="J466"/>
  <c r="K466"/>
  <c r="L466"/>
  <c r="M466"/>
  <c r="B467"/>
  <c r="C467"/>
  <c r="D467"/>
  <c r="E467"/>
  <c r="S467" s="1"/>
  <c r="F467"/>
  <c r="G467"/>
  <c r="H467"/>
  <c r="J467"/>
  <c r="K467"/>
  <c r="L467"/>
  <c r="M467"/>
  <c r="B468"/>
  <c r="C468"/>
  <c r="D468"/>
  <c r="E468"/>
  <c r="S468" s="1"/>
  <c r="F468"/>
  <c r="G468"/>
  <c r="H468"/>
  <c r="J468"/>
  <c r="K468"/>
  <c r="L468"/>
  <c r="M468"/>
  <c r="B469"/>
  <c r="C469"/>
  <c r="D469"/>
  <c r="E469"/>
  <c r="S469" s="1"/>
  <c r="F469"/>
  <c r="G469"/>
  <c r="H469"/>
  <c r="J469"/>
  <c r="K469"/>
  <c r="L469"/>
  <c r="M469"/>
  <c r="B470"/>
  <c r="C470"/>
  <c r="D470"/>
  <c r="E470"/>
  <c r="S470" s="1"/>
  <c r="F470"/>
  <c r="G470"/>
  <c r="H470"/>
  <c r="J470"/>
  <c r="K470"/>
  <c r="L470"/>
  <c r="M470"/>
  <c r="B471"/>
  <c r="C471"/>
  <c r="D471"/>
  <c r="E471"/>
  <c r="S471" s="1"/>
  <c r="F471"/>
  <c r="G471"/>
  <c r="H471"/>
  <c r="J471"/>
  <c r="K471"/>
  <c r="L471"/>
  <c r="M471"/>
  <c r="B472"/>
  <c r="C472"/>
  <c r="D472"/>
  <c r="E472"/>
  <c r="S472" s="1"/>
  <c r="O472" s="1"/>
  <c r="F472"/>
  <c r="G472"/>
  <c r="H472"/>
  <c r="J472"/>
  <c r="K472"/>
  <c r="L472"/>
  <c r="M472"/>
  <c r="B473"/>
  <c r="C473"/>
  <c r="D473"/>
  <c r="E473"/>
  <c r="S473" s="1"/>
  <c r="F473"/>
  <c r="G473"/>
  <c r="H473"/>
  <c r="J473"/>
  <c r="K473"/>
  <c r="L473"/>
  <c r="M473"/>
  <c r="B474"/>
  <c r="C474"/>
  <c r="D474"/>
  <c r="E474"/>
  <c r="S474" s="1"/>
  <c r="F474"/>
  <c r="G474"/>
  <c r="H474"/>
  <c r="J474"/>
  <c r="K474"/>
  <c r="L474"/>
  <c r="M474"/>
  <c r="B475"/>
  <c r="C475"/>
  <c r="D475"/>
  <c r="E475"/>
  <c r="S475" s="1"/>
  <c r="F475"/>
  <c r="G475"/>
  <c r="H475"/>
  <c r="J475"/>
  <c r="K475"/>
  <c r="L475"/>
  <c r="M475"/>
  <c r="B476"/>
  <c r="C476"/>
  <c r="D476"/>
  <c r="E476"/>
  <c r="S476" s="1"/>
  <c r="F476"/>
  <c r="G476"/>
  <c r="H476"/>
  <c r="J476"/>
  <c r="K476"/>
  <c r="L476"/>
  <c r="M476"/>
  <c r="B477"/>
  <c r="C477"/>
  <c r="D477"/>
  <c r="E477"/>
  <c r="S477" s="1"/>
  <c r="F477"/>
  <c r="G477"/>
  <c r="H477"/>
  <c r="J477"/>
  <c r="K477"/>
  <c r="L477"/>
  <c r="M477"/>
  <c r="B478"/>
  <c r="C478"/>
  <c r="D478"/>
  <c r="E478"/>
  <c r="S478" s="1"/>
  <c r="F478"/>
  <c r="G478"/>
  <c r="H478"/>
  <c r="J478"/>
  <c r="K478"/>
  <c r="L478"/>
  <c r="M478"/>
  <c r="B479"/>
  <c r="C479"/>
  <c r="D479"/>
  <c r="E479"/>
  <c r="S479" s="1"/>
  <c r="F479"/>
  <c r="G479"/>
  <c r="H479"/>
  <c r="J479"/>
  <c r="K479"/>
  <c r="L479"/>
  <c r="M479"/>
  <c r="B480"/>
  <c r="C480"/>
  <c r="D480"/>
  <c r="E480"/>
  <c r="S480" s="1"/>
  <c r="F480"/>
  <c r="G480"/>
  <c r="H480"/>
  <c r="J480"/>
  <c r="K480"/>
  <c r="L480"/>
  <c r="M480"/>
  <c r="B481"/>
  <c r="C481"/>
  <c r="D481"/>
  <c r="E481"/>
  <c r="S481" s="1"/>
  <c r="F481"/>
  <c r="G481"/>
  <c r="H481"/>
  <c r="J481"/>
  <c r="K481"/>
  <c r="L481"/>
  <c r="M481"/>
  <c r="Q491"/>
  <c r="N8" i="11"/>
  <c r="O9"/>
  <c r="P9" s="1"/>
  <c r="Q9" s="1"/>
  <c r="O10"/>
  <c r="A13"/>
  <c r="D17"/>
  <c r="A20"/>
  <c r="A23" s="1"/>
  <c r="A26" s="1"/>
  <c r="A29" s="1"/>
  <c r="A32" s="1"/>
  <c r="A35" s="1"/>
  <c r="A38" s="1"/>
  <c r="A41" s="1"/>
  <c r="A44" s="1"/>
  <c r="A47" s="1"/>
  <c r="A50" s="1"/>
  <c r="A53" s="1"/>
  <c r="A56" s="1"/>
  <c r="A59" s="1"/>
  <c r="A62" s="1"/>
  <c r="A65" s="1"/>
  <c r="A68" s="1"/>
  <c r="A71" s="1"/>
  <c r="A74" s="1"/>
  <c r="A77" s="1"/>
  <c r="A80" s="1"/>
  <c r="A83" s="1"/>
  <c r="A86" s="1"/>
  <c r="A89" s="1"/>
  <c r="L437"/>
  <c r="A10" i="12"/>
  <c r="E10" s="1"/>
  <c r="X10"/>
  <c r="Y10" s="1"/>
  <c r="R10" s="1"/>
  <c r="AA10"/>
  <c r="A12"/>
  <c r="E12" s="1"/>
  <c r="T12"/>
  <c r="X12"/>
  <c r="Y12" s="1"/>
  <c r="R12" s="1"/>
  <c r="AA12"/>
  <c r="A14"/>
  <c r="B14" s="1"/>
  <c r="X14"/>
  <c r="AA14"/>
  <c r="A15"/>
  <c r="X15"/>
  <c r="AA15"/>
  <c r="A16"/>
  <c r="X16"/>
  <c r="AA16"/>
  <c r="A17"/>
  <c r="I17" s="1"/>
  <c r="X17"/>
  <c r="AA17"/>
  <c r="A18"/>
  <c r="I18" s="1"/>
  <c r="X18"/>
  <c r="AA18"/>
  <c r="A19"/>
  <c r="X19"/>
  <c r="AA19"/>
  <c r="A20"/>
  <c r="X20"/>
  <c r="AA20"/>
  <c r="A21"/>
  <c r="B21" s="1"/>
  <c r="X21"/>
  <c r="AA21"/>
  <c r="A22"/>
  <c r="I22" s="1"/>
  <c r="X22"/>
  <c r="AA22"/>
  <c r="A23"/>
  <c r="X23"/>
  <c r="AA23"/>
  <c r="A24"/>
  <c r="X24"/>
  <c r="AA24"/>
  <c r="A25"/>
  <c r="X25"/>
  <c r="AA25"/>
  <c r="A26"/>
  <c r="I26" s="1"/>
  <c r="X26"/>
  <c r="AA26"/>
  <c r="A27"/>
  <c r="X27"/>
  <c r="AA27"/>
  <c r="A28"/>
  <c r="X28"/>
  <c r="AA28"/>
  <c r="A29"/>
  <c r="X29"/>
  <c r="AA29"/>
  <c r="A31"/>
  <c r="X31"/>
  <c r="AA31"/>
  <c r="A32"/>
  <c r="X32"/>
  <c r="AA32"/>
  <c r="A35"/>
  <c r="X35"/>
  <c r="AA35"/>
  <c r="A36"/>
  <c r="I36" s="1"/>
  <c r="X36"/>
  <c r="AA36"/>
  <c r="A37"/>
  <c r="X37"/>
  <c r="AA37"/>
  <c r="A38"/>
  <c r="X38"/>
  <c r="AA38"/>
  <c r="A39"/>
  <c r="H39" s="1"/>
  <c r="X39"/>
  <c r="AA39"/>
  <c r="A40"/>
  <c r="X40"/>
  <c r="AA40"/>
  <c r="A41"/>
  <c r="X41"/>
  <c r="AA41"/>
  <c r="A42"/>
  <c r="X42"/>
  <c r="AA42"/>
  <c r="A43"/>
  <c r="W43" s="1"/>
  <c r="X43"/>
  <c r="AA43"/>
  <c r="A44"/>
  <c r="X44"/>
  <c r="AA44"/>
  <c r="A45"/>
  <c r="X45"/>
  <c r="AA45"/>
  <c r="A46"/>
  <c r="H46" s="1"/>
  <c r="X46"/>
  <c r="AA46"/>
  <c r="A48"/>
  <c r="B48" s="1"/>
  <c r="X48"/>
  <c r="AA48"/>
  <c r="A49"/>
  <c r="X49"/>
  <c r="AA49"/>
  <c r="A50"/>
  <c r="X50"/>
  <c r="AA50"/>
  <c r="A51"/>
  <c r="I51" s="1"/>
  <c r="X51"/>
  <c r="AA51"/>
  <c r="A52"/>
  <c r="X52"/>
  <c r="AA52"/>
  <c r="A54"/>
  <c r="X54"/>
  <c r="AA54"/>
  <c r="A55"/>
  <c r="X55"/>
  <c r="AA55"/>
  <c r="A56"/>
  <c r="I56" s="1"/>
  <c r="X56"/>
  <c r="AA56"/>
  <c r="A57"/>
  <c r="X57"/>
  <c r="AA57"/>
  <c r="A58"/>
  <c r="B58" s="1"/>
  <c r="X58"/>
  <c r="AA58"/>
  <c r="A59"/>
  <c r="X59"/>
  <c r="AA59"/>
  <c r="A60"/>
  <c r="H60" s="1"/>
  <c r="X60"/>
  <c r="AA60"/>
  <c r="A61"/>
  <c r="X61"/>
  <c r="AA61"/>
  <c r="A62"/>
  <c r="X62"/>
  <c r="AA62"/>
  <c r="A63"/>
  <c r="X63"/>
  <c r="AA63"/>
  <c r="A64"/>
  <c r="I64" s="1"/>
  <c r="X64"/>
  <c r="AA64"/>
  <c r="A65"/>
  <c r="H65" s="1"/>
  <c r="X65"/>
  <c r="AA65"/>
  <c r="A67"/>
  <c r="X67"/>
  <c r="AA67"/>
  <c r="A68"/>
  <c r="H68" s="1"/>
  <c r="X68"/>
  <c r="AA68"/>
  <c r="A69"/>
  <c r="X69"/>
  <c r="AA69"/>
  <c r="A70"/>
  <c r="X70"/>
  <c r="AA70"/>
  <c r="A71"/>
  <c r="X71"/>
  <c r="AA71"/>
  <c r="A74"/>
  <c r="H74" s="1"/>
  <c r="X74"/>
  <c r="AA74"/>
  <c r="A75"/>
  <c r="X75"/>
  <c r="AA75"/>
  <c r="A76"/>
  <c r="X76"/>
  <c r="AA76"/>
  <c r="A77"/>
  <c r="H77" s="1"/>
  <c r="X77"/>
  <c r="AA77"/>
  <c r="A78"/>
  <c r="X78"/>
  <c r="AA78"/>
  <c r="A79"/>
  <c r="X79"/>
  <c r="AA79"/>
  <c r="A80"/>
  <c r="I80" s="1"/>
  <c r="X80"/>
  <c r="AA80"/>
  <c r="A81"/>
  <c r="I81" s="1"/>
  <c r="X81"/>
  <c r="AA81"/>
  <c r="A82"/>
  <c r="X82"/>
  <c r="AA82"/>
  <c r="A83"/>
  <c r="X83"/>
  <c r="AA83"/>
  <c r="A113"/>
  <c r="T113"/>
  <c r="X113"/>
  <c r="Y113" s="1"/>
  <c r="AA113"/>
  <c r="A115"/>
  <c r="X115"/>
  <c r="AA115"/>
  <c r="A116"/>
  <c r="W116" s="1"/>
  <c r="X116"/>
  <c r="AA116"/>
  <c r="A117"/>
  <c r="X117"/>
  <c r="AA117"/>
  <c r="A118"/>
  <c r="X118"/>
  <c r="AA118"/>
  <c r="A119"/>
  <c r="X119"/>
  <c r="AA119"/>
  <c r="A120"/>
  <c r="W120" s="1"/>
  <c r="X120"/>
  <c r="AA120"/>
  <c r="A121"/>
  <c r="X121"/>
  <c r="AA121"/>
  <c r="A122"/>
  <c r="X122"/>
  <c r="AA122"/>
  <c r="A123"/>
  <c r="X123"/>
  <c r="AA123"/>
  <c r="A124"/>
  <c r="H124" s="1"/>
  <c r="X124"/>
  <c r="AA124"/>
  <c r="A125"/>
  <c r="X125"/>
  <c r="AA125"/>
  <c r="A126"/>
  <c r="X126"/>
  <c r="AA126"/>
  <c r="A127"/>
  <c r="X127"/>
  <c r="AA127"/>
  <c r="A128"/>
  <c r="B128" s="1"/>
  <c r="X128"/>
  <c r="AA128"/>
  <c r="A129"/>
  <c r="W129" s="1"/>
  <c r="X129"/>
  <c r="AA129"/>
  <c r="A131"/>
  <c r="X131"/>
  <c r="AA131"/>
  <c r="A132"/>
  <c r="W132" s="1"/>
  <c r="X132"/>
  <c r="AA132"/>
  <c r="A135"/>
  <c r="X135"/>
  <c r="AA135"/>
  <c r="A136"/>
  <c r="X136"/>
  <c r="AA136"/>
  <c r="A137"/>
  <c r="W137" s="1"/>
  <c r="X137"/>
  <c r="AA137"/>
  <c r="A297"/>
  <c r="X297"/>
  <c r="AA297"/>
  <c r="A298"/>
  <c r="X298"/>
  <c r="AA298"/>
  <c r="A139"/>
  <c r="W139" s="1"/>
  <c r="X139"/>
  <c r="AA139"/>
  <c r="A140"/>
  <c r="X140"/>
  <c r="AA140"/>
  <c r="A141"/>
  <c r="X141"/>
  <c r="AA141"/>
  <c r="A143"/>
  <c r="W143" s="1"/>
  <c r="X143"/>
  <c r="AA143"/>
  <c r="A148"/>
  <c r="F148" s="1"/>
  <c r="X148"/>
  <c r="AA148"/>
  <c r="A149"/>
  <c r="X149"/>
  <c r="AA149"/>
  <c r="A152"/>
  <c r="B152" s="1"/>
  <c r="X152"/>
  <c r="AA152"/>
  <c r="A153"/>
  <c r="H153" s="1"/>
  <c r="X153"/>
  <c r="AA153"/>
  <c r="A154"/>
  <c r="X154"/>
  <c r="AA154"/>
  <c r="A155"/>
  <c r="X155"/>
  <c r="AA155"/>
  <c r="A156"/>
  <c r="W156" s="1"/>
  <c r="X156"/>
  <c r="AA156"/>
  <c r="A157"/>
  <c r="B157" s="1"/>
  <c r="X157"/>
  <c r="AA157"/>
  <c r="A158"/>
  <c r="X158"/>
  <c r="AA158"/>
  <c r="A159"/>
  <c r="X159"/>
  <c r="AA159"/>
  <c r="A160"/>
  <c r="X160"/>
  <c r="AA160"/>
  <c r="A161"/>
  <c r="B161" s="1"/>
  <c r="X161"/>
  <c r="AA161"/>
  <c r="A162"/>
  <c r="X162"/>
  <c r="AA162"/>
  <c r="A163"/>
  <c r="X163"/>
  <c r="AA163"/>
  <c r="A165"/>
  <c r="H165" s="1"/>
  <c r="X165"/>
  <c r="AA165"/>
  <c r="A166"/>
  <c r="X166"/>
  <c r="AA166"/>
  <c r="A168"/>
  <c r="W168" s="1"/>
  <c r="X168"/>
  <c r="AA168"/>
  <c r="A169"/>
  <c r="W169" s="1"/>
  <c r="X169"/>
  <c r="AA169"/>
  <c r="A324"/>
  <c r="X324"/>
  <c r="AA324"/>
  <c r="A325"/>
  <c r="B325" s="1"/>
  <c r="X325"/>
  <c r="AA325"/>
  <c r="A326"/>
  <c r="X326"/>
  <c r="AA326"/>
  <c r="A190"/>
  <c r="I190" s="1"/>
  <c r="X190"/>
  <c r="AA190"/>
  <c r="A191"/>
  <c r="X191"/>
  <c r="AA191"/>
  <c r="A192"/>
  <c r="W192" s="1"/>
  <c r="X192"/>
  <c r="AA192"/>
  <c r="A194"/>
  <c r="B194" s="1"/>
  <c r="X194"/>
  <c r="AA194"/>
  <c r="A199"/>
  <c r="X199"/>
  <c r="AA199"/>
  <c r="A200"/>
  <c r="B200" s="1"/>
  <c r="X200"/>
  <c r="AA200"/>
  <c r="A202"/>
  <c r="T202"/>
  <c r="X202"/>
  <c r="Y202" s="1"/>
  <c r="P202" s="1"/>
  <c r="AA202"/>
  <c r="A205"/>
  <c r="B205" s="1"/>
  <c r="X205"/>
  <c r="AA205"/>
  <c r="A206"/>
  <c r="X206"/>
  <c r="AA206"/>
  <c r="A207"/>
  <c r="X207"/>
  <c r="AA207"/>
  <c r="A208"/>
  <c r="X208"/>
  <c r="AA208"/>
  <c r="A209"/>
  <c r="H209" s="1"/>
  <c r="X209"/>
  <c r="AA209"/>
  <c r="A210"/>
  <c r="X210"/>
  <c r="AA210"/>
  <c r="A211"/>
  <c r="X211"/>
  <c r="AA211"/>
  <c r="A212"/>
  <c r="X212"/>
  <c r="AA212"/>
  <c r="A213"/>
  <c r="B213" s="1"/>
  <c r="X213"/>
  <c r="AA213"/>
  <c r="A214"/>
  <c r="X214"/>
  <c r="AA214"/>
  <c r="A215"/>
  <c r="W215" s="1"/>
  <c r="X215"/>
  <c r="AA215"/>
  <c r="A216"/>
  <c r="X216"/>
  <c r="AA216"/>
  <c r="A217"/>
  <c r="W217" s="1"/>
  <c r="X217"/>
  <c r="AA217"/>
  <c r="A218"/>
  <c r="X218"/>
  <c r="AA218"/>
  <c r="A220"/>
  <c r="X220"/>
  <c r="AA220"/>
  <c r="A221"/>
  <c r="B221" s="1"/>
  <c r="X221"/>
  <c r="AA221"/>
  <c r="A223"/>
  <c r="X223"/>
  <c r="AA223"/>
  <c r="A224"/>
  <c r="X224"/>
  <c r="AA224"/>
  <c r="A225"/>
  <c r="W225" s="1"/>
  <c r="X225"/>
  <c r="AA225"/>
  <c r="A226"/>
  <c r="X226"/>
  <c r="AA226"/>
  <c r="A227"/>
  <c r="X227"/>
  <c r="AA227"/>
  <c r="A228"/>
  <c r="X228"/>
  <c r="AA228"/>
  <c r="A229"/>
  <c r="B229" s="1"/>
  <c r="X229"/>
  <c r="AA229"/>
  <c r="A441"/>
  <c r="X441"/>
  <c r="AA441"/>
  <c r="A442"/>
  <c r="X442"/>
  <c r="AA442"/>
  <c r="A443"/>
  <c r="X443"/>
  <c r="AA443"/>
  <c r="A231"/>
  <c r="X231"/>
  <c r="AA231"/>
  <c r="A232"/>
  <c r="X232"/>
  <c r="AA232"/>
  <c r="A233"/>
  <c r="I233" s="1"/>
  <c r="X233"/>
  <c r="AA233"/>
  <c r="A234"/>
  <c r="X234"/>
  <c r="AA234"/>
  <c r="A235"/>
  <c r="X235"/>
  <c r="AA235"/>
  <c r="A236"/>
  <c r="X236"/>
  <c r="AA236"/>
  <c r="A237"/>
  <c r="I237" s="1"/>
  <c r="X237"/>
  <c r="AA237"/>
  <c r="A238"/>
  <c r="X238"/>
  <c r="AA238"/>
  <c r="A239"/>
  <c r="X239"/>
  <c r="AA239"/>
  <c r="A240"/>
  <c r="H240" s="1"/>
  <c r="X240"/>
  <c r="AA240"/>
  <c r="A241"/>
  <c r="I241" s="1"/>
  <c r="X241"/>
  <c r="AA241"/>
  <c r="A243"/>
  <c r="X243"/>
  <c r="AA243"/>
  <c r="A244"/>
  <c r="H244" s="1"/>
  <c r="X244"/>
  <c r="AA244"/>
  <c r="A245"/>
  <c r="X245"/>
  <c r="AA245"/>
  <c r="A247"/>
  <c r="X247"/>
  <c r="AA247"/>
  <c r="A248"/>
  <c r="X248"/>
  <c r="AA248"/>
  <c r="A249"/>
  <c r="I249" s="1"/>
  <c r="X249"/>
  <c r="AA249"/>
  <c r="A469"/>
  <c r="X469"/>
  <c r="AA469"/>
  <c r="A468"/>
  <c r="X468"/>
  <c r="AA468"/>
  <c r="A470"/>
  <c r="X470"/>
  <c r="AA470"/>
  <c r="A270"/>
  <c r="T270"/>
  <c r="X270"/>
  <c r="Y270" s="1"/>
  <c r="AA270"/>
  <c r="A272"/>
  <c r="X272"/>
  <c r="AA272"/>
  <c r="A273"/>
  <c r="X273"/>
  <c r="AA273"/>
  <c r="A274"/>
  <c r="H274" s="1"/>
  <c r="X274"/>
  <c r="AA274"/>
  <c r="A279"/>
  <c r="X279"/>
  <c r="AA279"/>
  <c r="A281"/>
  <c r="X281"/>
  <c r="AA281"/>
  <c r="A282"/>
  <c r="X282"/>
  <c r="AA282"/>
  <c r="A284"/>
  <c r="W284" s="1"/>
  <c r="X284"/>
  <c r="AA284"/>
  <c r="A285"/>
  <c r="X285"/>
  <c r="AA285"/>
  <c r="A286"/>
  <c r="B286" s="1"/>
  <c r="X286"/>
  <c r="AA286"/>
  <c r="A289"/>
  <c r="X289"/>
  <c r="AA289"/>
  <c r="A294"/>
  <c r="X294"/>
  <c r="AA294"/>
  <c r="A295"/>
  <c r="W295" s="1"/>
  <c r="X295"/>
  <c r="AA295"/>
  <c r="A301"/>
  <c r="B301" s="1"/>
  <c r="X301"/>
  <c r="AA301"/>
  <c r="A302"/>
  <c r="X302"/>
  <c r="AA302"/>
  <c r="A303"/>
  <c r="X303"/>
  <c r="AA303"/>
  <c r="A307"/>
  <c r="X307"/>
  <c r="AA307"/>
  <c r="A309"/>
  <c r="X309"/>
  <c r="AA309"/>
  <c r="A310"/>
  <c r="H310" s="1"/>
  <c r="X310"/>
  <c r="AA310"/>
  <c r="A703"/>
  <c r="X703"/>
  <c r="AA703"/>
  <c r="A312"/>
  <c r="B312" s="1"/>
  <c r="X312"/>
  <c r="AA312"/>
  <c r="A313"/>
  <c r="X313"/>
  <c r="AA313"/>
  <c r="A314"/>
  <c r="X314"/>
  <c r="AA314"/>
  <c r="A316"/>
  <c r="W316" s="1"/>
  <c r="X316"/>
  <c r="AA316"/>
  <c r="A321"/>
  <c r="X321"/>
  <c r="AA321"/>
  <c r="A322"/>
  <c r="X322"/>
  <c r="AA322"/>
  <c r="A338"/>
  <c r="T338"/>
  <c r="X338"/>
  <c r="Y338" s="1"/>
  <c r="L338" s="1"/>
  <c r="AA338"/>
  <c r="A340"/>
  <c r="W340" s="1"/>
  <c r="X340"/>
  <c r="AA340"/>
  <c r="A341"/>
  <c r="X341"/>
  <c r="AA341"/>
  <c r="A342"/>
  <c r="I342" s="1"/>
  <c r="X342"/>
  <c r="AA342"/>
  <c r="A343"/>
  <c r="X343"/>
  <c r="AA343"/>
  <c r="A344"/>
  <c r="X344"/>
  <c r="AA344"/>
  <c r="A345"/>
  <c r="X345"/>
  <c r="AA345"/>
  <c r="A346"/>
  <c r="B346" s="1"/>
  <c r="X346"/>
  <c r="AA346"/>
  <c r="A347"/>
  <c r="X347"/>
  <c r="AA347"/>
  <c r="A348"/>
  <c r="X348"/>
  <c r="AA348"/>
  <c r="A349"/>
  <c r="X349"/>
  <c r="AA349"/>
  <c r="A350"/>
  <c r="I350" s="1"/>
  <c r="X350"/>
  <c r="AA350"/>
  <c r="A351"/>
  <c r="X351"/>
  <c r="AA351"/>
  <c r="A352"/>
  <c r="X352"/>
  <c r="AA352"/>
  <c r="A353"/>
  <c r="X353"/>
  <c r="AA353"/>
  <c r="A354"/>
  <c r="W354" s="1"/>
  <c r="X354"/>
  <c r="AA354"/>
  <c r="A356"/>
  <c r="X356"/>
  <c r="AA356"/>
  <c r="A357"/>
  <c r="H357" s="1"/>
  <c r="X357"/>
  <c r="AA357"/>
  <c r="A359"/>
  <c r="X359"/>
  <c r="AA359"/>
  <c r="A360"/>
  <c r="X360"/>
  <c r="AA360"/>
  <c r="A361"/>
  <c r="X361"/>
  <c r="AA361"/>
  <c r="A362"/>
  <c r="B362" s="1"/>
  <c r="X362"/>
  <c r="AA362"/>
  <c r="A363"/>
  <c r="X363"/>
  <c r="AA363"/>
  <c r="A364"/>
  <c r="H364" s="1"/>
  <c r="X364"/>
  <c r="AA364"/>
  <c r="A1121"/>
  <c r="X1121"/>
  <c r="AA1121"/>
  <c r="A1122"/>
  <c r="I1122" s="1"/>
  <c r="X1122"/>
  <c r="AA1122"/>
  <c r="A366"/>
  <c r="X366"/>
  <c r="AA366"/>
  <c r="A367"/>
  <c r="X367"/>
  <c r="AA367"/>
  <c r="A369"/>
  <c r="W369" s="1"/>
  <c r="X369"/>
  <c r="AA369"/>
  <c r="A370"/>
  <c r="I370" s="1"/>
  <c r="X370"/>
  <c r="AA370"/>
  <c r="A371"/>
  <c r="B371" s="1"/>
  <c r="X371"/>
  <c r="AA371"/>
  <c r="A372"/>
  <c r="X372"/>
  <c r="AA372"/>
  <c r="A373"/>
  <c r="X373"/>
  <c r="AA373"/>
  <c r="A374"/>
  <c r="X374"/>
  <c r="AA374"/>
  <c r="A375"/>
  <c r="W375" s="1"/>
  <c r="X375"/>
  <c r="AA375"/>
  <c r="A376"/>
  <c r="X376"/>
  <c r="AA376"/>
  <c r="A377"/>
  <c r="X377"/>
  <c r="AA377"/>
  <c r="A378"/>
  <c r="X378"/>
  <c r="AA378"/>
  <c r="A379"/>
  <c r="I379" s="1"/>
  <c r="X379"/>
  <c r="AA379"/>
  <c r="A381"/>
  <c r="X381"/>
  <c r="AA381"/>
  <c r="A382"/>
  <c r="I382" s="1"/>
  <c r="X382"/>
  <c r="AA382"/>
  <c r="A384"/>
  <c r="I384" s="1"/>
  <c r="X384"/>
  <c r="AA384"/>
  <c r="A385"/>
  <c r="X385"/>
  <c r="AA385"/>
  <c r="A386"/>
  <c r="X386"/>
  <c r="AA386"/>
  <c r="A1125"/>
  <c r="I1125" s="1"/>
  <c r="X1125"/>
  <c r="AA1125"/>
  <c r="A1126"/>
  <c r="I1126" s="1"/>
  <c r="X1126"/>
  <c r="AA1126"/>
  <c r="A388"/>
  <c r="X388"/>
  <c r="AA388"/>
  <c r="A389"/>
  <c r="H389" s="1"/>
  <c r="X389"/>
  <c r="AA389"/>
  <c r="A491"/>
  <c r="E491" s="1"/>
  <c r="T491"/>
  <c r="X491"/>
  <c r="Y491" s="1"/>
  <c r="P491" s="1"/>
  <c r="AA491"/>
  <c r="A493"/>
  <c r="X493"/>
  <c r="AA493"/>
  <c r="A494"/>
  <c r="X494"/>
  <c r="AA494"/>
  <c r="A495"/>
  <c r="X495"/>
  <c r="AA495"/>
  <c r="A496"/>
  <c r="X496"/>
  <c r="AA496"/>
  <c r="A497"/>
  <c r="X497"/>
  <c r="AA497"/>
  <c r="A498"/>
  <c r="X498"/>
  <c r="AA498"/>
  <c r="A499"/>
  <c r="X499"/>
  <c r="AA499"/>
  <c r="A500"/>
  <c r="I500" s="1"/>
  <c r="X500"/>
  <c r="AA500"/>
  <c r="A501"/>
  <c r="X501"/>
  <c r="AA501"/>
  <c r="A502"/>
  <c r="X502"/>
  <c r="AA502"/>
  <c r="A503"/>
  <c r="X503"/>
  <c r="AA503"/>
  <c r="A504"/>
  <c r="H504" s="1"/>
  <c r="X504"/>
  <c r="AA504"/>
  <c r="A505"/>
  <c r="X505"/>
  <c r="AA505"/>
  <c r="A506"/>
  <c r="B506" s="1"/>
  <c r="X506"/>
  <c r="AA506"/>
  <c r="A507"/>
  <c r="I507" s="1"/>
  <c r="X507"/>
  <c r="AA507"/>
  <c r="A509"/>
  <c r="X509"/>
  <c r="AA509"/>
  <c r="A510"/>
  <c r="X510"/>
  <c r="AA510"/>
  <c r="A511"/>
  <c r="B511" s="1"/>
  <c r="X511"/>
  <c r="AA511"/>
  <c r="A513"/>
  <c r="X513"/>
  <c r="AA513"/>
  <c r="A514"/>
  <c r="X514"/>
  <c r="AA514"/>
  <c r="A515"/>
  <c r="X515"/>
  <c r="AA515"/>
  <c r="A516"/>
  <c r="I516" s="1"/>
  <c r="X516"/>
  <c r="AA516"/>
  <c r="A517"/>
  <c r="X517"/>
  <c r="AA517"/>
  <c r="A519"/>
  <c r="X519"/>
  <c r="AA519"/>
  <c r="A520"/>
  <c r="W520" s="1"/>
  <c r="X520"/>
  <c r="AA520"/>
  <c r="A521"/>
  <c r="H521" s="1"/>
  <c r="X521"/>
  <c r="AA521"/>
  <c r="A523"/>
  <c r="B523" s="1"/>
  <c r="X523"/>
  <c r="AA523"/>
  <c r="A528"/>
  <c r="X528"/>
  <c r="AA528"/>
  <c r="A529"/>
  <c r="X529"/>
  <c r="AA529"/>
  <c r="A531"/>
  <c r="B531" s="1"/>
  <c r="X531"/>
  <c r="AA531"/>
  <c r="A532"/>
  <c r="W532" s="1"/>
  <c r="X532"/>
  <c r="AA532"/>
  <c r="A533"/>
  <c r="X533"/>
  <c r="AA533"/>
  <c r="A534"/>
  <c r="X534"/>
  <c r="AA534"/>
  <c r="A535"/>
  <c r="W535" s="1"/>
  <c r="X535"/>
  <c r="AA535"/>
  <c r="A536"/>
  <c r="X536"/>
  <c r="AA536"/>
  <c r="A537"/>
  <c r="X537"/>
  <c r="AA537"/>
  <c r="A538"/>
  <c r="X538"/>
  <c r="AA538"/>
  <c r="A539"/>
  <c r="X539"/>
  <c r="AA539"/>
  <c r="A540"/>
  <c r="X540"/>
  <c r="AA540"/>
  <c r="A541"/>
  <c r="X541"/>
  <c r="AA541"/>
  <c r="A543"/>
  <c r="B543" s="1"/>
  <c r="X543"/>
  <c r="AA543"/>
  <c r="A544"/>
  <c r="X544"/>
  <c r="AA544"/>
  <c r="A546"/>
  <c r="X546"/>
  <c r="AA546"/>
  <c r="A547"/>
  <c r="B547" s="1"/>
  <c r="X547"/>
  <c r="AA547"/>
  <c r="A548"/>
  <c r="I548" s="1"/>
  <c r="X548"/>
  <c r="AA548"/>
  <c r="A550"/>
  <c r="X550"/>
  <c r="AA550"/>
  <c r="A551"/>
  <c r="X551"/>
  <c r="AA551"/>
  <c r="A552"/>
  <c r="H552" s="1"/>
  <c r="X552"/>
  <c r="AA552"/>
  <c r="A554"/>
  <c r="X554"/>
  <c r="AA554"/>
  <c r="A559"/>
  <c r="X559"/>
  <c r="AA559"/>
  <c r="A560"/>
  <c r="I560" s="1"/>
  <c r="X560"/>
  <c r="AA560"/>
  <c r="A581"/>
  <c r="H581" s="1"/>
  <c r="X581"/>
  <c r="AA581"/>
  <c r="A582"/>
  <c r="X582"/>
  <c r="AA582"/>
  <c r="A583"/>
  <c r="X583"/>
  <c r="AA583"/>
  <c r="A584"/>
  <c r="X584"/>
  <c r="AA584"/>
  <c r="A585"/>
  <c r="I585" s="1"/>
  <c r="X585"/>
  <c r="AA585"/>
  <c r="A586"/>
  <c r="X586"/>
  <c r="AA586"/>
  <c r="A587"/>
  <c r="H587" s="1"/>
  <c r="X587"/>
  <c r="AA587"/>
  <c r="A588"/>
  <c r="X588"/>
  <c r="AA588"/>
  <c r="A589"/>
  <c r="X589"/>
  <c r="AA589"/>
  <c r="A590"/>
  <c r="X590"/>
  <c r="AA590"/>
  <c r="A591"/>
  <c r="X591"/>
  <c r="AA591"/>
  <c r="A592"/>
  <c r="X592"/>
  <c r="AA592"/>
  <c r="A593"/>
  <c r="B593" s="1"/>
  <c r="X593"/>
  <c r="AA593"/>
  <c r="A594"/>
  <c r="W594" s="1"/>
  <c r="X594"/>
  <c r="AA594"/>
  <c r="A595"/>
  <c r="X595"/>
  <c r="AA595"/>
  <c r="A597"/>
  <c r="X597"/>
  <c r="AA597"/>
  <c r="A598"/>
  <c r="X598"/>
  <c r="AA598"/>
  <c r="A599"/>
  <c r="X599"/>
  <c r="AA599"/>
  <c r="A600"/>
  <c r="X600"/>
  <c r="AA600"/>
  <c r="A601"/>
  <c r="X601"/>
  <c r="AA601"/>
  <c r="A602"/>
  <c r="X602"/>
  <c r="AA602"/>
  <c r="A604"/>
  <c r="X604"/>
  <c r="AA604"/>
  <c r="A605"/>
  <c r="X605"/>
  <c r="AA605"/>
  <c r="A606"/>
  <c r="X606"/>
  <c r="AA606"/>
  <c r="A607"/>
  <c r="X607"/>
  <c r="AA607"/>
  <c r="A608"/>
  <c r="X608"/>
  <c r="AA608"/>
  <c r="A609"/>
  <c r="X609"/>
  <c r="AA609"/>
  <c r="A610"/>
  <c r="X610"/>
  <c r="AA610"/>
  <c r="A611"/>
  <c r="X611"/>
  <c r="AA611"/>
  <c r="A612"/>
  <c r="X612"/>
  <c r="AA612"/>
  <c r="A613"/>
  <c r="X613"/>
  <c r="AA613"/>
  <c r="A614"/>
  <c r="X614"/>
  <c r="AA614"/>
  <c r="A616"/>
  <c r="X616"/>
  <c r="AA616"/>
  <c r="A617"/>
  <c r="X617"/>
  <c r="AA617"/>
  <c r="A618"/>
  <c r="X618"/>
  <c r="AA618"/>
  <c r="A619"/>
  <c r="X619"/>
  <c r="AA619"/>
  <c r="A620"/>
  <c r="H620" s="1"/>
  <c r="X620"/>
  <c r="AA620"/>
  <c r="A621"/>
  <c r="X621"/>
  <c r="AA621"/>
  <c r="A644"/>
  <c r="X644"/>
  <c r="AA644"/>
  <c r="A646"/>
  <c r="X646"/>
  <c r="AA646"/>
  <c r="A647"/>
  <c r="X647"/>
  <c r="AA647"/>
  <c r="A648"/>
  <c r="H648" s="1"/>
  <c r="X648"/>
  <c r="AA648"/>
  <c r="A651"/>
  <c r="X651"/>
  <c r="AA651"/>
  <c r="A652"/>
  <c r="X652"/>
  <c r="AA652"/>
  <c r="A654"/>
  <c r="X654"/>
  <c r="AA654"/>
  <c r="A655"/>
  <c r="X655"/>
  <c r="AA655"/>
  <c r="A656"/>
  <c r="X656"/>
  <c r="AA656"/>
  <c r="A658"/>
  <c r="X658"/>
  <c r="AA658"/>
  <c r="A659"/>
  <c r="I659" s="1"/>
  <c r="X659"/>
  <c r="AA659"/>
  <c r="A660"/>
  <c r="X660"/>
  <c r="AA660"/>
  <c r="A661"/>
  <c r="W661" s="1"/>
  <c r="X661"/>
  <c r="AA661"/>
  <c r="A664"/>
  <c r="X664"/>
  <c r="AA664"/>
  <c r="A665"/>
  <c r="X665"/>
  <c r="AA665"/>
  <c r="A668"/>
  <c r="X668"/>
  <c r="AA668"/>
  <c r="A670"/>
  <c r="X670"/>
  <c r="AA670"/>
  <c r="A671"/>
  <c r="X671"/>
  <c r="AA671"/>
  <c r="A673"/>
  <c r="X673"/>
  <c r="AA673"/>
  <c r="A674"/>
  <c r="X674"/>
  <c r="AA674"/>
  <c r="A678"/>
  <c r="X678"/>
  <c r="AA678"/>
  <c r="A679"/>
  <c r="X679"/>
  <c r="AA679"/>
  <c r="A681"/>
  <c r="X681"/>
  <c r="AA681"/>
  <c r="A682"/>
  <c r="X682"/>
  <c r="AA682"/>
  <c r="A683"/>
  <c r="H683" s="1"/>
  <c r="X683"/>
  <c r="AA683"/>
  <c r="A680"/>
  <c r="X680"/>
  <c r="AA680"/>
  <c r="A685"/>
  <c r="X685"/>
  <c r="AA685"/>
  <c r="A686"/>
  <c r="X686"/>
  <c r="AA686"/>
  <c r="A690"/>
  <c r="X690"/>
  <c r="AA690"/>
  <c r="A691"/>
  <c r="X691"/>
  <c r="AA691"/>
  <c r="A692"/>
  <c r="X692"/>
  <c r="AA692"/>
  <c r="A695"/>
  <c r="X695"/>
  <c r="AA695"/>
  <c r="A696"/>
  <c r="B696" s="1"/>
  <c r="X696"/>
  <c r="AA696"/>
  <c r="A697"/>
  <c r="X697"/>
  <c r="AA697"/>
  <c r="A698"/>
  <c r="W698" s="1"/>
  <c r="X698"/>
  <c r="AA698"/>
  <c r="A701"/>
  <c r="X701"/>
  <c r="AA701"/>
  <c r="A702"/>
  <c r="X702"/>
  <c r="AA702"/>
  <c r="A705"/>
  <c r="X705"/>
  <c r="AA705"/>
  <c r="A706"/>
  <c r="X706"/>
  <c r="AA706"/>
  <c r="A708"/>
  <c r="X708"/>
  <c r="AA708"/>
  <c r="A709"/>
  <c r="I709" s="1"/>
  <c r="X709"/>
  <c r="AA709"/>
  <c r="A710"/>
  <c r="X710"/>
  <c r="AA710"/>
  <c r="A711"/>
  <c r="X711"/>
  <c r="AA711"/>
  <c r="A714"/>
  <c r="E714" s="1"/>
  <c r="X714"/>
  <c r="AA714"/>
  <c r="A715"/>
  <c r="W715" s="1"/>
  <c r="X715"/>
  <c r="AA715"/>
  <c r="A718"/>
  <c r="X718"/>
  <c r="AA718"/>
  <c r="A719"/>
  <c r="H719" s="1"/>
  <c r="X719"/>
  <c r="AA719"/>
  <c r="A721"/>
  <c r="H721" s="1"/>
  <c r="X721"/>
  <c r="AA721"/>
  <c r="A722"/>
  <c r="W722" s="1"/>
  <c r="X722"/>
  <c r="AA722"/>
  <c r="A723"/>
  <c r="B723" s="1"/>
  <c r="X723"/>
  <c r="AA723"/>
  <c r="A724"/>
  <c r="X724"/>
  <c r="AA724"/>
  <c r="A725"/>
  <c r="X725"/>
  <c r="AA725"/>
  <c r="A726"/>
  <c r="X726"/>
  <c r="AA726"/>
  <c r="A727"/>
  <c r="X727"/>
  <c r="AA727"/>
  <c r="A728"/>
  <c r="X728"/>
  <c r="AA728"/>
  <c r="A729"/>
  <c r="X729"/>
  <c r="AA729"/>
  <c r="A730"/>
  <c r="W730" s="1"/>
  <c r="X730"/>
  <c r="AA730"/>
  <c r="A731"/>
  <c r="X731"/>
  <c r="AA731"/>
  <c r="A732"/>
  <c r="X732"/>
  <c r="AA732"/>
  <c r="A733"/>
  <c r="X733"/>
  <c r="AA733"/>
  <c r="A734"/>
  <c r="X734"/>
  <c r="AA734"/>
  <c r="A735"/>
  <c r="X735"/>
  <c r="AA735"/>
  <c r="A737"/>
  <c r="B737" s="1"/>
  <c r="X737"/>
  <c r="AA737"/>
  <c r="A738"/>
  <c r="X738"/>
  <c r="AA738"/>
  <c r="A739"/>
  <c r="X739"/>
  <c r="AA739"/>
  <c r="A741"/>
  <c r="H741" s="1"/>
  <c r="X741"/>
  <c r="AA741"/>
  <c r="A742"/>
  <c r="X742"/>
  <c r="AA742"/>
  <c r="A744"/>
  <c r="X744"/>
  <c r="AA744"/>
  <c r="A745"/>
  <c r="W745" s="1"/>
  <c r="X745"/>
  <c r="AA745"/>
  <c r="A746"/>
  <c r="X746"/>
  <c r="AA746"/>
  <c r="A748"/>
  <c r="B748" s="1"/>
  <c r="X748"/>
  <c r="AA748"/>
  <c r="A753"/>
  <c r="B753" s="1"/>
  <c r="X753"/>
  <c r="AA753"/>
  <c r="A754"/>
  <c r="X754"/>
  <c r="AA754"/>
  <c r="A755"/>
  <c r="X755"/>
  <c r="AA755"/>
  <c r="A756"/>
  <c r="X756"/>
  <c r="AA756"/>
  <c r="A757"/>
  <c r="H757" s="1"/>
  <c r="X757"/>
  <c r="AA757"/>
  <c r="A758"/>
  <c r="X758"/>
  <c r="AA758"/>
  <c r="A759"/>
  <c r="X759"/>
  <c r="AA759"/>
  <c r="A760"/>
  <c r="X760"/>
  <c r="AA760"/>
  <c r="A761"/>
  <c r="X761"/>
  <c r="AA761"/>
  <c r="A762"/>
  <c r="X762"/>
  <c r="AA762"/>
  <c r="A763"/>
  <c r="B763" s="1"/>
  <c r="X763"/>
  <c r="AA763"/>
  <c r="A764"/>
  <c r="B764" s="1"/>
  <c r="X764"/>
  <c r="AA764"/>
  <c r="A766"/>
  <c r="X766"/>
  <c r="AA766"/>
  <c r="A767"/>
  <c r="X767"/>
  <c r="AA767"/>
  <c r="A769"/>
  <c r="H769" s="1"/>
  <c r="X769"/>
  <c r="AA769"/>
  <c r="A770"/>
  <c r="X770"/>
  <c r="AA770"/>
  <c r="A772"/>
  <c r="X772"/>
  <c r="AA772"/>
  <c r="A773"/>
  <c r="H773" s="1"/>
  <c r="X773"/>
  <c r="AA773"/>
  <c r="A774"/>
  <c r="W774" s="1"/>
  <c r="X774"/>
  <c r="AA774"/>
  <c r="A776"/>
  <c r="I776" s="1"/>
  <c r="X776"/>
  <c r="AA776"/>
  <c r="A801"/>
  <c r="H801" s="1"/>
  <c r="X801"/>
  <c r="AA801"/>
  <c r="A802"/>
  <c r="X802"/>
  <c r="AA802"/>
  <c r="A803"/>
  <c r="X803"/>
  <c r="AA803"/>
  <c r="A804"/>
  <c r="X804"/>
  <c r="AA804"/>
  <c r="A805"/>
  <c r="W805" s="1"/>
  <c r="X805"/>
  <c r="AA805"/>
  <c r="A806"/>
  <c r="X806"/>
  <c r="AA806"/>
  <c r="A807"/>
  <c r="W807" s="1"/>
  <c r="X807"/>
  <c r="AA807"/>
  <c r="A808"/>
  <c r="X808"/>
  <c r="AA808"/>
  <c r="A809"/>
  <c r="H809" s="1"/>
  <c r="X809"/>
  <c r="AA809"/>
  <c r="A810"/>
  <c r="W810" s="1"/>
  <c r="X810"/>
  <c r="AA810"/>
  <c r="A811"/>
  <c r="W811" s="1"/>
  <c r="X811"/>
  <c r="AA811"/>
  <c r="A812"/>
  <c r="X812"/>
  <c r="AA812"/>
  <c r="A813"/>
  <c r="H813" s="1"/>
  <c r="X813"/>
  <c r="AA813"/>
  <c r="A814"/>
  <c r="X814"/>
  <c r="AA814"/>
  <c r="A815"/>
  <c r="H815" s="1"/>
  <c r="X815"/>
  <c r="AA815"/>
  <c r="A816"/>
  <c r="X816"/>
  <c r="AA816"/>
  <c r="A818"/>
  <c r="X818"/>
  <c r="AA818"/>
  <c r="A819"/>
  <c r="B819" s="1"/>
  <c r="X819"/>
  <c r="AA819"/>
  <c r="A820"/>
  <c r="X820"/>
  <c r="AA820"/>
  <c r="A821"/>
  <c r="B821" s="1"/>
  <c r="X821"/>
  <c r="AA821"/>
  <c r="A822"/>
  <c r="X822"/>
  <c r="AA822"/>
  <c r="A823"/>
  <c r="X823"/>
  <c r="AA823"/>
  <c r="A824"/>
  <c r="X824"/>
  <c r="AA824"/>
  <c r="A825"/>
  <c r="X825"/>
  <c r="AA825"/>
  <c r="A826"/>
  <c r="W826" s="1"/>
  <c r="X826"/>
  <c r="AA826"/>
  <c r="A827"/>
  <c r="X827"/>
  <c r="AA827"/>
  <c r="A829"/>
  <c r="B829" s="1"/>
  <c r="X829"/>
  <c r="AA829"/>
  <c r="A830"/>
  <c r="W830" s="1"/>
  <c r="X830"/>
  <c r="AA830"/>
  <c r="A832"/>
  <c r="H832" s="1"/>
  <c r="X832"/>
  <c r="AA832"/>
  <c r="A833"/>
  <c r="W833" s="1"/>
  <c r="X833"/>
  <c r="AA833"/>
  <c r="A834"/>
  <c r="X834"/>
  <c r="AA834"/>
  <c r="A835"/>
  <c r="X835"/>
  <c r="AA835"/>
  <c r="A836"/>
  <c r="H836" s="1"/>
  <c r="X836"/>
  <c r="AA836"/>
  <c r="A837"/>
  <c r="X837"/>
  <c r="AA837"/>
  <c r="A838"/>
  <c r="X838"/>
  <c r="AA838"/>
  <c r="A839"/>
  <c r="W839" s="1"/>
  <c r="X839"/>
  <c r="AA839"/>
  <c r="A840"/>
  <c r="B840" s="1"/>
  <c r="X840"/>
  <c r="AA840"/>
  <c r="A841"/>
  <c r="X841"/>
  <c r="AA841"/>
  <c r="A842"/>
  <c r="X842"/>
  <c r="AA842"/>
  <c r="A843"/>
  <c r="H843" s="1"/>
  <c r="X843"/>
  <c r="AA843"/>
  <c r="A844"/>
  <c r="H844" s="1"/>
  <c r="X844"/>
  <c r="AA844"/>
  <c r="A845"/>
  <c r="X845"/>
  <c r="AA845"/>
  <c r="A846"/>
  <c r="X846"/>
  <c r="AA846"/>
  <c r="A848"/>
  <c r="X848"/>
  <c r="AA848"/>
  <c r="A849"/>
  <c r="X849"/>
  <c r="AA849"/>
  <c r="A850"/>
  <c r="X850"/>
  <c r="AA850"/>
  <c r="A851"/>
  <c r="X851"/>
  <c r="AA851"/>
  <c r="A852"/>
  <c r="X852"/>
  <c r="AA852"/>
  <c r="A853"/>
  <c r="X853"/>
  <c r="AA853"/>
  <c r="A854"/>
  <c r="X854"/>
  <c r="AA854"/>
  <c r="A856"/>
  <c r="X856"/>
  <c r="AA856"/>
  <c r="A857"/>
  <c r="H857" s="1"/>
  <c r="X857"/>
  <c r="AA857"/>
  <c r="A883"/>
  <c r="X883"/>
  <c r="AA883"/>
  <c r="A884"/>
  <c r="B884" s="1"/>
  <c r="X884"/>
  <c r="AA884"/>
  <c r="A885"/>
  <c r="X885"/>
  <c r="AA885"/>
  <c r="A886"/>
  <c r="H886" s="1"/>
  <c r="X886"/>
  <c r="AA886"/>
  <c r="A887"/>
  <c r="X887"/>
  <c r="AA887"/>
  <c r="A888"/>
  <c r="X888"/>
  <c r="AA888"/>
  <c r="A889"/>
  <c r="X889"/>
  <c r="AA889"/>
  <c r="A890"/>
  <c r="X890"/>
  <c r="AA890"/>
  <c r="A891"/>
  <c r="I891" s="1"/>
  <c r="X891"/>
  <c r="AA891"/>
  <c r="A892"/>
  <c r="X892"/>
  <c r="AA892"/>
  <c r="A893"/>
  <c r="H893" s="1"/>
  <c r="X893"/>
  <c r="AA893"/>
  <c r="A894"/>
  <c r="H894" s="1"/>
  <c r="X894"/>
  <c r="AA894"/>
  <c r="A895"/>
  <c r="X895"/>
  <c r="AA895"/>
  <c r="A896"/>
  <c r="I896" s="1"/>
  <c r="X896"/>
  <c r="AA896"/>
  <c r="A897"/>
  <c r="I897" s="1"/>
  <c r="X897"/>
  <c r="AA897"/>
  <c r="A899"/>
  <c r="I899" s="1"/>
  <c r="X899"/>
  <c r="AA899"/>
  <c r="A900"/>
  <c r="X900"/>
  <c r="AA900"/>
  <c r="A901"/>
  <c r="I901" s="1"/>
  <c r="X901"/>
  <c r="AA901"/>
  <c r="A903"/>
  <c r="X903"/>
  <c r="AA903"/>
  <c r="A904"/>
  <c r="X904"/>
  <c r="AA904"/>
  <c r="A907"/>
  <c r="X907"/>
  <c r="AA907"/>
  <c r="A908"/>
  <c r="X908"/>
  <c r="AA908"/>
  <c r="A909"/>
  <c r="X909"/>
  <c r="AA909"/>
  <c r="A910"/>
  <c r="W910" s="1"/>
  <c r="X910"/>
  <c r="AA910"/>
  <c r="A911"/>
  <c r="X911"/>
  <c r="AA911"/>
  <c r="A912"/>
  <c r="W912" s="1"/>
  <c r="X912"/>
  <c r="AA912"/>
  <c r="A913"/>
  <c r="X913"/>
  <c r="AA913"/>
  <c r="A914"/>
  <c r="H914" s="1"/>
  <c r="X914"/>
  <c r="AA914"/>
  <c r="A915"/>
  <c r="B915" s="1"/>
  <c r="X915"/>
  <c r="AA915"/>
  <c r="A916"/>
  <c r="I916" s="1"/>
  <c r="X916"/>
  <c r="AA916"/>
  <c r="A917"/>
  <c r="B917" s="1"/>
  <c r="X917"/>
  <c r="AA917"/>
  <c r="A919"/>
  <c r="X919"/>
  <c r="AA919"/>
  <c r="A920"/>
  <c r="X920"/>
  <c r="AA920"/>
  <c r="A922"/>
  <c r="I922" s="1"/>
  <c r="X922"/>
  <c r="AA922"/>
  <c r="A923"/>
  <c r="B923" s="1"/>
  <c r="X923"/>
  <c r="AA923"/>
  <c r="A924"/>
  <c r="X924"/>
  <c r="AA924"/>
  <c r="A946"/>
  <c r="X946"/>
  <c r="AA946"/>
  <c r="A947"/>
  <c r="X947"/>
  <c r="AA947"/>
  <c r="A948"/>
  <c r="X948"/>
  <c r="AA948"/>
  <c r="A949"/>
  <c r="X949"/>
  <c r="AA949"/>
  <c r="A950"/>
  <c r="X950"/>
  <c r="AA950"/>
  <c r="A951"/>
  <c r="B951" s="1"/>
  <c r="X951"/>
  <c r="AA951"/>
  <c r="A952"/>
  <c r="W952" s="1"/>
  <c r="X952"/>
  <c r="AA952"/>
  <c r="A953"/>
  <c r="X953"/>
  <c r="AA953"/>
  <c r="A954"/>
  <c r="H954" s="1"/>
  <c r="X954"/>
  <c r="AA954"/>
  <c r="A955"/>
  <c r="B955" s="1"/>
  <c r="X955"/>
  <c r="AA955"/>
  <c r="A956"/>
  <c r="X956"/>
  <c r="AA956"/>
  <c r="A957"/>
  <c r="X957"/>
  <c r="AA957"/>
  <c r="A958"/>
  <c r="H958" s="1"/>
  <c r="X958"/>
  <c r="AA958"/>
  <c r="A959"/>
  <c r="X959"/>
  <c r="AA959"/>
  <c r="A960"/>
  <c r="X960"/>
  <c r="AA960"/>
  <c r="A962"/>
  <c r="W962" s="1"/>
  <c r="X962"/>
  <c r="AA962"/>
  <c r="A963"/>
  <c r="W963" s="1"/>
  <c r="X963"/>
  <c r="AA963"/>
  <c r="A965"/>
  <c r="I965" s="1"/>
  <c r="X965"/>
  <c r="AA965"/>
  <c r="A966"/>
  <c r="B966" s="1"/>
  <c r="X966"/>
  <c r="AA966"/>
  <c r="A967"/>
  <c r="W967" s="1"/>
  <c r="X967"/>
  <c r="AA967"/>
  <c r="A968"/>
  <c r="X968"/>
  <c r="AA968"/>
  <c r="A969"/>
  <c r="X969"/>
  <c r="AA969"/>
  <c r="A970"/>
  <c r="H970" s="1"/>
  <c r="X970"/>
  <c r="AA970"/>
  <c r="A972"/>
  <c r="X972"/>
  <c r="AA972"/>
  <c r="A973"/>
  <c r="H973" s="1"/>
  <c r="X973"/>
  <c r="AA973"/>
  <c r="A975"/>
  <c r="H975" s="1"/>
  <c r="X975"/>
  <c r="AA975"/>
  <c r="A976"/>
  <c r="X976"/>
  <c r="AA976"/>
  <c r="A977"/>
  <c r="H977" s="1"/>
  <c r="X977"/>
  <c r="AA977"/>
  <c r="A978"/>
  <c r="B978" s="1"/>
  <c r="X978"/>
  <c r="AA978"/>
  <c r="A979"/>
  <c r="X979"/>
  <c r="AA979"/>
  <c r="A980"/>
  <c r="X980"/>
  <c r="AA980"/>
  <c r="A981"/>
  <c r="X981"/>
  <c r="AA981"/>
  <c r="A982"/>
  <c r="X982"/>
  <c r="AA982"/>
  <c r="A983"/>
  <c r="W983" s="1"/>
  <c r="X983"/>
  <c r="AA983"/>
  <c r="A984"/>
  <c r="X984"/>
  <c r="AA984"/>
  <c r="A985"/>
  <c r="X985"/>
  <c r="AA985"/>
  <c r="A987"/>
  <c r="X987"/>
  <c r="AA987"/>
  <c r="A988"/>
  <c r="X988"/>
  <c r="AA988"/>
  <c r="A990"/>
  <c r="I990" s="1"/>
  <c r="X990"/>
  <c r="AA990"/>
  <c r="A991"/>
  <c r="H991" s="1"/>
  <c r="X991"/>
  <c r="AA991"/>
  <c r="A992"/>
  <c r="X992"/>
  <c r="AA992"/>
  <c r="A994"/>
  <c r="W994" s="1"/>
  <c r="X994"/>
  <c r="AA994"/>
  <c r="A995"/>
  <c r="W995" s="1"/>
  <c r="X995"/>
  <c r="AA995"/>
  <c r="A1016"/>
  <c r="I1016" s="1"/>
  <c r="X1016"/>
  <c r="AA1016"/>
  <c r="A1017"/>
  <c r="X1017"/>
  <c r="AA1017"/>
  <c r="A1018"/>
  <c r="X1018"/>
  <c r="AA1018"/>
  <c r="A1019"/>
  <c r="I1019" s="1"/>
  <c r="X1019"/>
  <c r="AA1019"/>
  <c r="A1022"/>
  <c r="H1022" s="1"/>
  <c r="X1022"/>
  <c r="AA1022"/>
  <c r="A1023"/>
  <c r="I1023" s="1"/>
  <c r="X1023"/>
  <c r="AA1023"/>
  <c r="A1024"/>
  <c r="X1024"/>
  <c r="AA1024"/>
  <c r="A1025"/>
  <c r="X1025"/>
  <c r="AA1025"/>
  <c r="A1029"/>
  <c r="X1029"/>
  <c r="AA1029"/>
  <c r="A1030"/>
  <c r="W1030" s="1"/>
  <c r="X1030"/>
  <c r="AA1030"/>
  <c r="A1031"/>
  <c r="X1031"/>
  <c r="AA1031"/>
  <c r="A1032"/>
  <c r="X1032"/>
  <c r="AA1032"/>
  <c r="A1033"/>
  <c r="H1033" s="1"/>
  <c r="X1033"/>
  <c r="AA1033"/>
  <c r="A1034"/>
  <c r="H1034" s="1"/>
  <c r="X1034"/>
  <c r="AA1034"/>
  <c r="A1035"/>
  <c r="I1035" s="1"/>
  <c r="X1035"/>
  <c r="AA1035"/>
  <c r="A1036"/>
  <c r="B1036" s="1"/>
  <c r="X1036"/>
  <c r="AA1036"/>
  <c r="A1037"/>
  <c r="X1037"/>
  <c r="AA1037"/>
  <c r="A1038"/>
  <c r="I1038" s="1"/>
  <c r="X1038"/>
  <c r="AA1038"/>
  <c r="A1039"/>
  <c r="X1039"/>
  <c r="AA1039"/>
  <c r="A1040"/>
  <c r="W1040" s="1"/>
  <c r="X1040"/>
  <c r="AA1040"/>
  <c r="A1041"/>
  <c r="X1041"/>
  <c r="AA1041"/>
  <c r="A1042"/>
  <c r="B1042" s="1"/>
  <c r="X1042"/>
  <c r="AA1042"/>
  <c r="A1044"/>
  <c r="X1044"/>
  <c r="AA1044"/>
  <c r="A1045"/>
  <c r="X1045"/>
  <c r="AA1045"/>
  <c r="A1046"/>
  <c r="B1046" s="1"/>
  <c r="X1046"/>
  <c r="AA1046"/>
  <c r="A1047"/>
  <c r="X1047"/>
  <c r="AA1047"/>
  <c r="A1048"/>
  <c r="X1048"/>
  <c r="AA1048"/>
  <c r="A1049"/>
  <c r="X1049"/>
  <c r="AA1049"/>
  <c r="A1050"/>
  <c r="W1050" s="1"/>
  <c r="X1050"/>
  <c r="AA1050"/>
  <c r="A1051"/>
  <c r="B1051" s="1"/>
  <c r="X1051"/>
  <c r="AA1051"/>
  <c r="A1054"/>
  <c r="X1054"/>
  <c r="AA1054"/>
  <c r="A1055"/>
  <c r="X1055"/>
  <c r="AA1055"/>
  <c r="A1057"/>
  <c r="X1057"/>
  <c r="AA1057"/>
  <c r="A1058"/>
  <c r="W1058" s="1"/>
  <c r="X1058"/>
  <c r="AA1058"/>
  <c r="A1059"/>
  <c r="X1059"/>
  <c r="AA1059"/>
  <c r="A1060"/>
  <c r="X1060"/>
  <c r="AA1060"/>
  <c r="A1061"/>
  <c r="X1061"/>
  <c r="AA1061"/>
  <c r="A1062"/>
  <c r="H1062" s="1"/>
  <c r="X1062"/>
  <c r="AA1062"/>
  <c r="A1063"/>
  <c r="B1063" s="1"/>
  <c r="X1063"/>
  <c r="AA1063"/>
  <c r="A1064"/>
  <c r="W1064" s="1"/>
  <c r="X1064"/>
  <c r="AA1064"/>
  <c r="A1065"/>
  <c r="X1065"/>
  <c r="AA1065"/>
  <c r="A1066"/>
  <c r="W1066" s="1"/>
  <c r="X1066"/>
  <c r="AA1066"/>
  <c r="A1068"/>
  <c r="B1068" s="1"/>
  <c r="X1068"/>
  <c r="AA1068"/>
  <c r="A1069"/>
  <c r="X1069"/>
  <c r="AA1069"/>
  <c r="A1070"/>
  <c r="B1070" s="1"/>
  <c r="X1070"/>
  <c r="AA1070"/>
  <c r="A1071"/>
  <c r="H1071" s="1"/>
  <c r="X1071"/>
  <c r="AA1071"/>
  <c r="A1072"/>
  <c r="I1072" s="1"/>
  <c r="X1072"/>
  <c r="AA1072"/>
  <c r="A1075"/>
  <c r="W1075" s="1"/>
  <c r="X1075"/>
  <c r="AA1075"/>
  <c r="A1076"/>
  <c r="H1076" s="1"/>
  <c r="X1076"/>
  <c r="AA1076"/>
  <c r="F1078"/>
  <c r="F1079" s="1"/>
  <c r="F1080" s="1"/>
  <c r="F1081" s="1"/>
  <c r="F1082" s="1"/>
  <c r="F1083" s="1"/>
  <c r="F1084" s="1"/>
  <c r="F1085" s="1"/>
  <c r="F1086" s="1"/>
  <c r="F1087" s="1"/>
  <c r="A1096"/>
  <c r="B1096" s="1"/>
  <c r="X1096"/>
  <c r="AA1096"/>
  <c r="A1097"/>
  <c r="X1097"/>
  <c r="AA1097"/>
  <c r="A1098"/>
  <c r="H1098" s="1"/>
  <c r="X1098"/>
  <c r="AA1098"/>
  <c r="A1099"/>
  <c r="X1099"/>
  <c r="AA1099"/>
  <c r="A1100"/>
  <c r="W1100" s="1"/>
  <c r="X1100"/>
  <c r="AA1100"/>
  <c r="A1101"/>
  <c r="H1101" s="1"/>
  <c r="X1101"/>
  <c r="AA1101"/>
  <c r="A1102"/>
  <c r="X1102"/>
  <c r="AA1102"/>
  <c r="A1103"/>
  <c r="X1103"/>
  <c r="AA1103"/>
  <c r="A1104"/>
  <c r="W1104" s="1"/>
  <c r="X1104"/>
  <c r="AA1104"/>
  <c r="A1105"/>
  <c r="X1105"/>
  <c r="AA1105"/>
  <c r="A1106"/>
  <c r="H1106" s="1"/>
  <c r="X1106"/>
  <c r="AA1106"/>
  <c r="A1107"/>
  <c r="X1107"/>
  <c r="AA1107"/>
  <c r="A1108"/>
  <c r="X1108"/>
  <c r="AA1108"/>
  <c r="A1109"/>
  <c r="X1109"/>
  <c r="AA1109"/>
  <c r="A1110"/>
  <c r="X1110"/>
  <c r="AA1110"/>
  <c r="A1113"/>
  <c r="B1113" s="1"/>
  <c r="X1113"/>
  <c r="AA1113"/>
  <c r="A1114"/>
  <c r="X1114"/>
  <c r="AA1114"/>
  <c r="A1116"/>
  <c r="I1116" s="1"/>
  <c r="X1116"/>
  <c r="AA1116"/>
  <c r="A1117"/>
  <c r="B1117" s="1"/>
  <c r="X1117"/>
  <c r="AA1117"/>
  <c r="A1118"/>
  <c r="X1118"/>
  <c r="AA1118"/>
  <c r="A1119"/>
  <c r="X1119"/>
  <c r="AA1119"/>
  <c r="A1146"/>
  <c r="B1146" s="1"/>
  <c r="X1146"/>
  <c r="AA1146"/>
  <c r="A1147"/>
  <c r="I1147" s="1"/>
  <c r="X1147"/>
  <c r="AA1147"/>
  <c r="A1148"/>
  <c r="X1148"/>
  <c r="AA1148"/>
  <c r="A1149"/>
  <c r="X1149"/>
  <c r="AA1149"/>
  <c r="A1150"/>
  <c r="X1150"/>
  <c r="AA1150"/>
  <c r="A1151"/>
  <c r="W1151" s="1"/>
  <c r="X1151"/>
  <c r="AA1151"/>
  <c r="A1152"/>
  <c r="I1152" s="1"/>
  <c r="X1152"/>
  <c r="AA1152"/>
  <c r="A1153"/>
  <c r="I1153" s="1"/>
  <c r="X1153"/>
  <c r="AA1153"/>
  <c r="A1154"/>
  <c r="H1154" s="1"/>
  <c r="X1154"/>
  <c r="AA1154"/>
  <c r="A1155"/>
  <c r="I1155" s="1"/>
  <c r="X1155"/>
  <c r="AA1155"/>
  <c r="A1156"/>
  <c r="I1156" s="1"/>
  <c r="X1156"/>
  <c r="AA1156"/>
  <c r="A1158"/>
  <c r="B1158" s="1"/>
  <c r="X1158"/>
  <c r="AA1158"/>
  <c r="A1159"/>
  <c r="I1159" s="1"/>
  <c r="X1159"/>
  <c r="AA1159"/>
  <c r="A1161"/>
  <c r="W1161" s="1"/>
  <c r="X1161"/>
  <c r="AA1161"/>
  <c r="A1162"/>
  <c r="W1162" s="1"/>
  <c r="X1162"/>
  <c r="AA1162"/>
  <c r="A1163"/>
  <c r="X1163"/>
  <c r="AA1163"/>
  <c r="A1164"/>
  <c r="X1164"/>
  <c r="AA1164"/>
  <c r="A1130"/>
  <c r="X1130"/>
  <c r="AA1130"/>
  <c r="A1131"/>
  <c r="H1131" s="1"/>
  <c r="X1131"/>
  <c r="AA1131"/>
  <c r="A1132"/>
  <c r="H1132" s="1"/>
  <c r="X1132"/>
  <c r="AA1132"/>
  <c r="A1134"/>
  <c r="X1134"/>
  <c r="AA1134"/>
  <c r="A1135"/>
  <c r="I1135" s="1"/>
  <c r="X1135"/>
  <c r="AA1135"/>
  <c r="A1136"/>
  <c r="X1136"/>
  <c r="AA1136"/>
  <c r="A1139"/>
  <c r="B1139" s="1"/>
  <c r="X1139"/>
  <c r="AA1139"/>
  <c r="A1140"/>
  <c r="X1140"/>
  <c r="AA1140"/>
  <c r="A1141"/>
  <c r="X1141"/>
  <c r="AA1141"/>
  <c r="A1143"/>
  <c r="W1143" s="1"/>
  <c r="X1143"/>
  <c r="AA1143"/>
  <c r="A1144"/>
  <c r="X1144"/>
  <c r="AA1144"/>
  <c r="A1187"/>
  <c r="X1187"/>
  <c r="AA1187"/>
  <c r="A1188"/>
  <c r="H1188" s="1"/>
  <c r="X1188"/>
  <c r="AA1188"/>
  <c r="A1190"/>
  <c r="X1190"/>
  <c r="AA1190"/>
  <c r="A1191"/>
  <c r="H1191" s="1"/>
  <c r="X1191"/>
  <c r="AA1191"/>
  <c r="A1192"/>
  <c r="I1192" s="1"/>
  <c r="X1192"/>
  <c r="AA1192"/>
  <c r="A1196"/>
  <c r="B1196" s="1"/>
  <c r="X1196"/>
  <c r="AA1196"/>
  <c r="A1197"/>
  <c r="W1197" s="1"/>
  <c r="X1197"/>
  <c r="AA1197"/>
  <c r="A1199"/>
  <c r="X1199"/>
  <c r="AA1199"/>
  <c r="A1200"/>
  <c r="W1200" s="1"/>
  <c r="X1200"/>
  <c r="AA1200"/>
  <c r="A1201"/>
  <c r="W1201" s="1"/>
  <c r="X1201"/>
  <c r="AA1201"/>
  <c r="A1203"/>
  <c r="H1203" s="1"/>
  <c r="X1203"/>
  <c r="AA1203"/>
  <c r="A1204"/>
  <c r="X1204"/>
  <c r="AA1204"/>
  <c r="A1205"/>
  <c r="W1205" s="1"/>
  <c r="X1205"/>
  <c r="AA1205"/>
  <c r="A1208"/>
  <c r="H1208" s="1"/>
  <c r="X1208"/>
  <c r="AA1208"/>
  <c r="A1209"/>
  <c r="W1209" s="1"/>
  <c r="X1209"/>
  <c r="AA1209"/>
  <c r="A1210"/>
  <c r="B1210" s="1"/>
  <c r="X1210"/>
  <c r="AA1210"/>
  <c r="A1211"/>
  <c r="H1211" s="1"/>
  <c r="X1211"/>
  <c r="AA1211"/>
  <c r="A1212"/>
  <c r="I1212" s="1"/>
  <c r="X1212"/>
  <c r="AA1212"/>
  <c r="A1213"/>
  <c r="I1213" s="1"/>
  <c r="X1213"/>
  <c r="AA1213"/>
  <c r="A1214"/>
  <c r="X1214"/>
  <c r="AA1214"/>
  <c r="A1215"/>
  <c r="B1215" s="1"/>
  <c r="X1215"/>
  <c r="AA1215"/>
  <c r="A1216"/>
  <c r="H1216" s="1"/>
  <c r="X1216"/>
  <c r="AA1216"/>
  <c r="A1217"/>
  <c r="H1217" s="1"/>
  <c r="X1217"/>
  <c r="AA1217"/>
  <c r="A1218"/>
  <c r="X1218"/>
  <c r="AA1218"/>
  <c r="A1219"/>
  <c r="X1219"/>
  <c r="AA1219"/>
  <c r="A1220"/>
  <c r="W1220" s="1"/>
  <c r="X1220"/>
  <c r="AA1220"/>
  <c r="A1221"/>
  <c r="I1221" s="1"/>
  <c r="X1221"/>
  <c r="AA1221"/>
  <c r="A1222"/>
  <c r="X1222"/>
  <c r="AA1222"/>
  <c r="A1224"/>
  <c r="W1224" s="1"/>
  <c r="X1224"/>
  <c r="AA1224"/>
  <c r="A1225"/>
  <c r="W1225" s="1"/>
  <c r="X1225"/>
  <c r="AA1225"/>
  <c r="A1226"/>
  <c r="X1226"/>
  <c r="AA1226"/>
  <c r="A1228"/>
  <c r="H1228" s="1"/>
  <c r="X1228"/>
  <c r="AA1228"/>
  <c r="A1229"/>
  <c r="W1229" s="1"/>
  <c r="X1229"/>
  <c r="AA1229"/>
  <c r="A1230"/>
  <c r="X1230"/>
  <c r="AA1230"/>
  <c r="A1232"/>
  <c r="X1232"/>
  <c r="AA1232"/>
  <c r="A1233"/>
  <c r="W1233" s="1"/>
  <c r="X1233"/>
  <c r="AA1233"/>
  <c r="A1235"/>
  <c r="H1235" s="1"/>
  <c r="X1235"/>
  <c r="AA1235"/>
  <c r="A1236"/>
  <c r="B1236" s="1"/>
  <c r="X1236"/>
  <c r="AA1236"/>
  <c r="A1237"/>
  <c r="X1237"/>
  <c r="AA1237"/>
  <c r="A1238"/>
  <c r="I1238" s="1"/>
  <c r="X1238"/>
  <c r="AA1238"/>
  <c r="A1239"/>
  <c r="W1239" s="1"/>
  <c r="X1239"/>
  <c r="AA1239"/>
  <c r="A1240"/>
  <c r="H1240" s="1"/>
  <c r="X1240"/>
  <c r="AA1240"/>
  <c r="A1241"/>
  <c r="W1241" s="1"/>
  <c r="X1241"/>
  <c r="AA1241"/>
  <c r="A1242"/>
  <c r="X1242"/>
  <c r="AA1242"/>
  <c r="A1243"/>
  <c r="W1243" s="1"/>
  <c r="X1243"/>
  <c r="AA1243"/>
  <c r="A1244"/>
  <c r="W1244" s="1"/>
  <c r="X1244"/>
  <c r="AA1244"/>
  <c r="A1245"/>
  <c r="X1245"/>
  <c r="AA1245"/>
  <c r="A1247"/>
  <c r="W1247" s="1"/>
  <c r="X1247"/>
  <c r="AA1247"/>
  <c r="A1248"/>
  <c r="X1248"/>
  <c r="AA1248"/>
  <c r="A1250"/>
  <c r="W1250" s="1"/>
  <c r="X1250"/>
  <c r="AA1250"/>
  <c r="A1251"/>
  <c r="B1251" s="1"/>
  <c r="X1251"/>
  <c r="AA1251"/>
  <c r="A1252"/>
  <c r="B1252" s="1"/>
  <c r="X1252"/>
  <c r="AA1252"/>
  <c r="A1253"/>
  <c r="H1253" s="1"/>
  <c r="X1253"/>
  <c r="AA1253"/>
  <c r="A1255"/>
  <c r="H1255" s="1"/>
  <c r="X1255"/>
  <c r="AA1255"/>
  <c r="A1256"/>
  <c r="H1256" s="1"/>
  <c r="X1256"/>
  <c r="AA1256"/>
  <c r="A1278"/>
  <c r="W1278" s="1"/>
  <c r="X1278"/>
  <c r="AA1278"/>
  <c r="A1279"/>
  <c r="W1279" s="1"/>
  <c r="X1279"/>
  <c r="AA1279"/>
  <c r="A1280"/>
  <c r="X1280"/>
  <c r="AA1280"/>
  <c r="A1281"/>
  <c r="X1281"/>
  <c r="AA1281"/>
  <c r="A1282"/>
  <c r="B1282" s="1"/>
  <c r="X1282"/>
  <c r="AA1282"/>
  <c r="A1283"/>
  <c r="W1283" s="1"/>
  <c r="X1283"/>
  <c r="AA1283"/>
  <c r="A1284"/>
  <c r="B1284" s="1"/>
  <c r="X1284"/>
  <c r="AA1284"/>
  <c r="A1285"/>
  <c r="X1285"/>
  <c r="AA1285"/>
  <c r="A1286"/>
  <c r="X1286"/>
  <c r="AA1286"/>
  <c r="A1287"/>
  <c r="H1287" s="1"/>
  <c r="X1287"/>
  <c r="AA1287"/>
  <c r="A1288"/>
  <c r="I1288" s="1"/>
  <c r="X1288"/>
  <c r="AA1288"/>
  <c r="A1289"/>
  <c r="B1289" s="1"/>
  <c r="X1289"/>
  <c r="AA1289"/>
  <c r="A1290"/>
  <c r="B1290" s="1"/>
  <c r="X1290"/>
  <c r="AA1290"/>
  <c r="A1291"/>
  <c r="I1291" s="1"/>
  <c r="X1291"/>
  <c r="AA1291"/>
  <c r="A1292"/>
  <c r="X1292"/>
  <c r="AA1292"/>
  <c r="A1294"/>
  <c r="B1294" s="1"/>
  <c r="X1294"/>
  <c r="AA1294"/>
  <c r="A1295"/>
  <c r="H1295" s="1"/>
  <c r="X1295"/>
  <c r="AA1295"/>
  <c r="A1297"/>
  <c r="X1297"/>
  <c r="AA1297"/>
  <c r="A1298"/>
  <c r="X1298"/>
  <c r="AA1298"/>
  <c r="A1299"/>
  <c r="B1299" s="1"/>
  <c r="X1299"/>
  <c r="AA1299"/>
  <c r="A1300"/>
  <c r="I1300" s="1"/>
  <c r="X1300"/>
  <c r="AA1300"/>
  <c r="A1301"/>
  <c r="H1301" s="1"/>
  <c r="X1301"/>
  <c r="AA1301"/>
  <c r="A1302"/>
  <c r="I1302" s="1"/>
  <c r="X1302"/>
  <c r="AA1302"/>
  <c r="A1303"/>
  <c r="B1303" s="1"/>
  <c r="X1303"/>
  <c r="AA1303"/>
  <c r="A1305"/>
  <c r="X1305"/>
  <c r="AA1305"/>
  <c r="A1306"/>
  <c r="W1306" s="1"/>
  <c r="X1306"/>
  <c r="AA1306"/>
  <c r="A1307"/>
  <c r="X1307"/>
  <c r="AA1307"/>
  <c r="A1308"/>
  <c r="W1308" s="1"/>
  <c r="X1308"/>
  <c r="AA1308"/>
  <c r="A1309"/>
  <c r="W1309" s="1"/>
  <c r="X1309"/>
  <c r="AA1309"/>
  <c r="A1310"/>
  <c r="H1310" s="1"/>
  <c r="X1310"/>
  <c r="AA1310"/>
  <c r="A1311"/>
  <c r="W1311" s="1"/>
  <c r="X1311"/>
  <c r="AA1311"/>
  <c r="A1312"/>
  <c r="W1312" s="1"/>
  <c r="X1312"/>
  <c r="AA1312"/>
  <c r="A1313"/>
  <c r="H1313" s="1"/>
  <c r="X1313"/>
  <c r="AA1313"/>
  <c r="A1314"/>
  <c r="W1314" s="1"/>
  <c r="X1314"/>
  <c r="AA1314"/>
  <c r="A1315"/>
  <c r="H1315" s="1"/>
  <c r="X1315"/>
  <c r="AA1315"/>
  <c r="A1317"/>
  <c r="W1317" s="1"/>
  <c r="X1317"/>
  <c r="AA1317"/>
  <c r="A1318"/>
  <c r="B1318" s="1"/>
  <c r="X1318"/>
  <c r="AA1318"/>
  <c r="A1320"/>
  <c r="X1320"/>
  <c r="AA1320"/>
  <c r="A1321"/>
  <c r="H1321" s="1"/>
  <c r="X1321"/>
  <c r="AA1321"/>
  <c r="A1322"/>
  <c r="X1322"/>
  <c r="AA1322"/>
  <c r="A1323"/>
  <c r="B1323" s="1"/>
  <c r="X1323"/>
  <c r="AA1323"/>
  <c r="A1346"/>
  <c r="W1346" s="1"/>
  <c r="X1346"/>
  <c r="AA1346"/>
  <c r="A1347"/>
  <c r="B1347" s="1"/>
  <c r="X1347"/>
  <c r="AA1347"/>
  <c r="A1348"/>
  <c r="H1348" s="1"/>
  <c r="X1348"/>
  <c r="AA1348"/>
  <c r="A1349"/>
  <c r="X1349"/>
  <c r="AA1349"/>
  <c r="A1350"/>
  <c r="X1350"/>
  <c r="AA1350"/>
  <c r="A1351"/>
  <c r="B1351" s="1"/>
  <c r="X1351"/>
  <c r="AA1351"/>
  <c r="A1352"/>
  <c r="X1352"/>
  <c r="AA1352"/>
  <c r="A1353"/>
  <c r="X1353"/>
  <c r="AA1353"/>
  <c r="A1354"/>
  <c r="X1354"/>
  <c r="AA1354"/>
  <c r="A1355"/>
  <c r="X1355"/>
  <c r="AA1355"/>
  <c r="A1356"/>
  <c r="I1356" s="1"/>
  <c r="X1356"/>
  <c r="AA1356"/>
  <c r="A1357"/>
  <c r="X1357"/>
  <c r="AA1357"/>
  <c r="A1358"/>
  <c r="I1358" s="1"/>
  <c r="X1358"/>
  <c r="AA1358"/>
  <c r="A1359"/>
  <c r="B1359" s="1"/>
  <c r="X1359"/>
  <c r="AA1359"/>
  <c r="A1360"/>
  <c r="H1360" s="1"/>
  <c r="X1360"/>
  <c r="AA1360"/>
  <c r="A1363"/>
  <c r="B1363" s="1"/>
  <c r="X1363"/>
  <c r="AA1363"/>
  <c r="A1365"/>
  <c r="X1365"/>
  <c r="AA1365"/>
  <c r="A1366"/>
  <c r="I1366" s="1"/>
  <c r="X1366"/>
  <c r="AA1366"/>
  <c r="A1367"/>
  <c r="B1367" s="1"/>
  <c r="X1367"/>
  <c r="AA1367"/>
  <c r="A1368"/>
  <c r="X1368"/>
  <c r="AA1368"/>
  <c r="A1370"/>
  <c r="B1370" s="1"/>
  <c r="X1370"/>
  <c r="AA1370"/>
  <c r="A1371"/>
  <c r="X1371"/>
  <c r="AA1371"/>
  <c r="A1373"/>
  <c r="B1373" s="1"/>
  <c r="X1373"/>
  <c r="AA1373"/>
  <c r="A1374"/>
  <c r="X1374"/>
  <c r="AA1374"/>
  <c r="A1375"/>
  <c r="I1375" s="1"/>
  <c r="X1375"/>
  <c r="AA1375"/>
  <c r="A1376"/>
  <c r="W1376" s="1"/>
  <c r="X1376"/>
  <c r="AA1376"/>
  <c r="A1377"/>
  <c r="X1377"/>
  <c r="AA1377"/>
  <c r="A1378"/>
  <c r="W1378" s="1"/>
  <c r="X1378"/>
  <c r="AA1378"/>
  <c r="A1379"/>
  <c r="X1379"/>
  <c r="AA1379"/>
  <c r="A1380"/>
  <c r="I1380" s="1"/>
  <c r="X1380"/>
  <c r="AA1380"/>
  <c r="A1381"/>
  <c r="I1381" s="1"/>
  <c r="X1381"/>
  <c r="AA1381"/>
  <c r="A1382"/>
  <c r="X1382"/>
  <c r="AA1382"/>
  <c r="A1383"/>
  <c r="X1383"/>
  <c r="AA1383"/>
  <c r="A1385"/>
  <c r="X1385"/>
  <c r="AA1385"/>
  <c r="A1386"/>
  <c r="X1386"/>
  <c r="AA1386"/>
  <c r="A1388"/>
  <c r="X1388"/>
  <c r="AA1388"/>
  <c r="A1389"/>
  <c r="B1389" s="1"/>
  <c r="X1389"/>
  <c r="AA1389"/>
  <c r="A1390"/>
  <c r="B1390" s="1"/>
  <c r="X1390"/>
  <c r="AA1390"/>
  <c r="A1392"/>
  <c r="X1392"/>
  <c r="AA1392"/>
  <c r="A1393"/>
  <c r="H1393" s="1"/>
  <c r="X1393"/>
  <c r="AA1393"/>
  <c r="A1415"/>
  <c r="H1415" s="1"/>
  <c r="X1415"/>
  <c r="AA1415"/>
  <c r="A1417"/>
  <c r="W1417" s="1"/>
  <c r="X1417"/>
  <c r="AA1417"/>
  <c r="A1419"/>
  <c r="H1419" s="1"/>
  <c r="X1419"/>
  <c r="AA1419"/>
  <c r="A1420"/>
  <c r="X1420"/>
  <c r="AA1420"/>
  <c r="A1424"/>
  <c r="X1424"/>
  <c r="AA1424"/>
  <c r="A1446"/>
  <c r="X1446"/>
  <c r="AA1446"/>
  <c r="A1443"/>
  <c r="I1443" s="1"/>
  <c r="X1443"/>
  <c r="AA1443"/>
  <c r="A1444"/>
  <c r="W1444" s="1"/>
  <c r="X1444"/>
  <c r="AA1444"/>
  <c r="A1445"/>
  <c r="X1445"/>
  <c r="AA1445"/>
  <c r="A1448"/>
  <c r="I1448" s="1"/>
  <c r="X1448"/>
  <c r="AA1448"/>
  <c r="A1449"/>
  <c r="X1449"/>
  <c r="AA1449"/>
  <c r="A1450"/>
  <c r="I1450" s="1"/>
  <c r="X1450"/>
  <c r="AA1450"/>
  <c r="A1451"/>
  <c r="X1451"/>
  <c r="AA1451"/>
  <c r="A1452"/>
  <c r="W1452" s="1"/>
  <c r="X1452"/>
  <c r="AA1452"/>
  <c r="A1453"/>
  <c r="H1453" s="1"/>
  <c r="X1453"/>
  <c r="AA1453"/>
  <c r="A1454"/>
  <c r="X1454"/>
  <c r="AA1454"/>
  <c r="A1455"/>
  <c r="I1455" s="1"/>
  <c r="X1455"/>
  <c r="AA1455"/>
  <c r="A1456"/>
  <c r="H1456" s="1"/>
  <c r="X1456"/>
  <c r="AA1456"/>
  <c r="A1457"/>
  <c r="X1457"/>
  <c r="AA1457"/>
  <c r="A1458"/>
  <c r="X1458"/>
  <c r="AA1458"/>
  <c r="A1459"/>
  <c r="X1459"/>
  <c r="AA1459"/>
  <c r="A1460"/>
  <c r="W1460" s="1"/>
  <c r="X1460"/>
  <c r="AA1460"/>
  <c r="A1461"/>
  <c r="X1461"/>
  <c r="AA1461"/>
  <c r="A1462"/>
  <c r="H1462" s="1"/>
  <c r="X1462"/>
  <c r="AA1462"/>
  <c r="A1464"/>
  <c r="I1464" s="1"/>
  <c r="X1464"/>
  <c r="AA1464"/>
  <c r="A1465"/>
  <c r="X1465"/>
  <c r="AA1465"/>
  <c r="A1466"/>
  <c r="X1466"/>
  <c r="AA1466"/>
  <c r="A1467"/>
  <c r="X1467"/>
  <c r="AA1467"/>
  <c r="A1468"/>
  <c r="W1468" s="1"/>
  <c r="X1468"/>
  <c r="AA1468"/>
  <c r="A1469"/>
  <c r="X1469"/>
  <c r="AA1469"/>
  <c r="A1470"/>
  <c r="X1470"/>
  <c r="AA1470"/>
  <c r="A1471"/>
  <c r="B1471" s="1"/>
  <c r="X1471"/>
  <c r="AA1471"/>
  <c r="A1473"/>
  <c r="B1473" s="1"/>
  <c r="X1473"/>
  <c r="AA1473"/>
  <c r="A1474"/>
  <c r="X1474"/>
  <c r="AA1474"/>
  <c r="A1475"/>
  <c r="B1475" s="1"/>
  <c r="X1475"/>
  <c r="AA1475"/>
  <c r="A1476"/>
  <c r="H1476" s="1"/>
  <c r="X1476"/>
  <c r="AA1476"/>
  <c r="A1477"/>
  <c r="B1477" s="1"/>
  <c r="X1477"/>
  <c r="AA1477"/>
  <c r="A1478"/>
  <c r="B1478" s="1"/>
  <c r="X1478"/>
  <c r="AA1478"/>
  <c r="A1479"/>
  <c r="H1479" s="1"/>
  <c r="X1479"/>
  <c r="AA1479"/>
  <c r="A1480"/>
  <c r="B1480" s="1"/>
  <c r="X1480"/>
  <c r="AA1480"/>
  <c r="A1481"/>
  <c r="H1481" s="1"/>
  <c r="X1481"/>
  <c r="AA1481"/>
  <c r="A1482"/>
  <c r="X1482"/>
  <c r="AA1482"/>
  <c r="A1483"/>
  <c r="H1483" s="1"/>
  <c r="X1483"/>
  <c r="AA1483"/>
  <c r="A1485"/>
  <c r="H1485" s="1"/>
  <c r="X1485"/>
  <c r="AA1485"/>
  <c r="A1486"/>
  <c r="X1486"/>
  <c r="AA1486"/>
  <c r="A1487"/>
  <c r="I1487" s="1"/>
  <c r="X1487"/>
  <c r="AA1487"/>
  <c r="A1488"/>
  <c r="X1488"/>
  <c r="AA1488"/>
  <c r="A1489"/>
  <c r="B1489" s="1"/>
  <c r="X1489"/>
  <c r="AA1489"/>
  <c r="K1511"/>
  <c r="K1514"/>
  <c r="L440" i="11" s="1"/>
  <c r="A2860" i="12"/>
  <c r="D2860" s="1"/>
  <c r="H2860" s="1"/>
  <c r="T2860"/>
  <c r="X2860"/>
  <c r="Y2860" s="1"/>
  <c r="AA2860"/>
  <c r="A2" i="25"/>
  <c r="A3" s="1"/>
  <c r="C5"/>
  <c r="A5" s="1"/>
  <c r="C6"/>
  <c r="A6" s="1"/>
  <c r="C7"/>
  <c r="A7" s="1"/>
  <c r="C8"/>
  <c r="A8" s="1"/>
  <c r="C9"/>
  <c r="A9" s="1"/>
  <c r="C10"/>
  <c r="A10" s="1"/>
  <c r="C11"/>
  <c r="A11" s="1"/>
  <c r="C12"/>
  <c r="A12" s="1"/>
  <c r="C13"/>
  <c r="A13" s="1"/>
  <c r="C14"/>
  <c r="A14" s="1"/>
  <c r="C15"/>
  <c r="A15" s="1"/>
  <c r="C16"/>
  <c r="A16" s="1"/>
  <c r="C17"/>
  <c r="A17" s="1"/>
  <c r="C18"/>
  <c r="A18" s="1"/>
  <c r="C19"/>
  <c r="A19" s="1"/>
  <c r="C20"/>
  <c r="A20" s="1"/>
  <c r="C21"/>
  <c r="A21" s="1"/>
  <c r="C22"/>
  <c r="A22" s="1"/>
  <c r="C23"/>
  <c r="A23" s="1"/>
  <c r="C24"/>
  <c r="A24" s="1"/>
  <c r="C25"/>
  <c r="A25" s="1"/>
  <c r="C26"/>
  <c r="A26" s="1"/>
  <c r="C27"/>
  <c r="A27" s="1"/>
  <c r="C28"/>
  <c r="A28" s="1"/>
  <c r="C29"/>
  <c r="A29" s="1"/>
  <c r="C30"/>
  <c r="A30" s="1"/>
  <c r="C31"/>
  <c r="A31" s="1"/>
  <c r="C32"/>
  <c r="A32" s="1"/>
  <c r="C33"/>
  <c r="A33" s="1"/>
  <c r="C34"/>
  <c r="A34" s="1"/>
  <c r="C35"/>
  <c r="A35" s="1"/>
  <c r="C36"/>
  <c r="A36" s="1"/>
  <c r="C37"/>
  <c r="A37" s="1"/>
  <c r="C38"/>
  <c r="A38" s="1"/>
  <c r="C39"/>
  <c r="A39" s="1"/>
  <c r="C40"/>
  <c r="A40" s="1"/>
  <c r="C41"/>
  <c r="A41" s="1"/>
  <c r="C42"/>
  <c r="A42" s="1"/>
  <c r="C43"/>
  <c r="A43" s="1"/>
  <c r="C44"/>
  <c r="A44" s="1"/>
  <c r="C45"/>
  <c r="A45" s="1"/>
  <c r="C46"/>
  <c r="A46" s="1"/>
  <c r="C47"/>
  <c r="A47" s="1"/>
  <c r="C48"/>
  <c r="A48" s="1"/>
  <c r="C49"/>
  <c r="A49" s="1"/>
  <c r="C50"/>
  <c r="A50" s="1"/>
  <c r="C51"/>
  <c r="A51" s="1"/>
  <c r="C52"/>
  <c r="A52" s="1"/>
  <c r="C53"/>
  <c r="A53" s="1"/>
  <c r="C54"/>
  <c r="A54" s="1"/>
  <c r="C55"/>
  <c r="A55" s="1"/>
  <c r="C56"/>
  <c r="A56" s="1"/>
  <c r="C57"/>
  <c r="A57" s="1"/>
  <c r="C58"/>
  <c r="A58" s="1"/>
  <c r="C59"/>
  <c r="A59" s="1"/>
  <c r="C60"/>
  <c r="A60" s="1"/>
  <c r="C61"/>
  <c r="A61" s="1"/>
  <c r="C62"/>
  <c r="A62" s="1"/>
  <c r="C63"/>
  <c r="A63" s="1"/>
  <c r="C64"/>
  <c r="A64" s="1"/>
  <c r="C65"/>
  <c r="A65" s="1"/>
  <c r="C66"/>
  <c r="A66" s="1"/>
  <c r="C67"/>
  <c r="A67" s="1"/>
  <c r="C68"/>
  <c r="A68" s="1"/>
  <c r="C69"/>
  <c r="A69" s="1"/>
  <c r="C70"/>
  <c r="A70" s="1"/>
  <c r="C71"/>
  <c r="A71" s="1"/>
  <c r="C72"/>
  <c r="A72" s="1"/>
  <c r="C73"/>
  <c r="A73" s="1"/>
  <c r="C74"/>
  <c r="A74" s="1"/>
  <c r="C75"/>
  <c r="A75" s="1"/>
  <c r="C76"/>
  <c r="A76" s="1"/>
  <c r="C77"/>
  <c r="A77" s="1"/>
  <c r="C78"/>
  <c r="A78" s="1"/>
  <c r="C79"/>
  <c r="A79" s="1"/>
  <c r="C80"/>
  <c r="A80" s="1"/>
  <c r="C84"/>
  <c r="A84" s="1"/>
  <c r="C85"/>
  <c r="A85" s="1"/>
  <c r="C86"/>
  <c r="A86" s="1"/>
  <c r="C87"/>
  <c r="A87" s="1"/>
  <c r="C88"/>
  <c r="A88" s="1"/>
  <c r="C89"/>
  <c r="A89" s="1"/>
  <c r="C90"/>
  <c r="A90" s="1"/>
  <c r="C91"/>
  <c r="A91" s="1"/>
  <c r="C92"/>
  <c r="A92" s="1"/>
  <c r="C93"/>
  <c r="A93" s="1"/>
  <c r="C94"/>
  <c r="A94" s="1"/>
  <c r="C95"/>
  <c r="A95" s="1"/>
  <c r="C96"/>
  <c r="A96" s="1"/>
  <c r="C97"/>
  <c r="A97" s="1"/>
  <c r="C98"/>
  <c r="A98" s="1"/>
  <c r="C99"/>
  <c r="A99" s="1"/>
  <c r="C100"/>
  <c r="A100" s="1"/>
  <c r="C101"/>
  <c r="A101" s="1"/>
  <c r="C102"/>
  <c r="A102" s="1"/>
  <c r="C103"/>
  <c r="A103" s="1"/>
  <c r="C104"/>
  <c r="A104" s="1"/>
  <c r="C105"/>
  <c r="A105" s="1"/>
  <c r="C106"/>
  <c r="A106" s="1"/>
  <c r="C107"/>
  <c r="A107" s="1"/>
  <c r="C108"/>
  <c r="A108" s="1"/>
  <c r="C109"/>
  <c r="A109" s="1"/>
  <c r="C110"/>
  <c r="A110" s="1"/>
  <c r="C111"/>
  <c r="A111" s="1"/>
  <c r="C112"/>
  <c r="A112" s="1"/>
  <c r="C113"/>
  <c r="A113" s="1"/>
  <c r="C114"/>
  <c r="A114" s="1"/>
  <c r="C115"/>
  <c r="A115" s="1"/>
  <c r="C116"/>
  <c r="A116" s="1"/>
  <c r="C117"/>
  <c r="A117" s="1"/>
  <c r="C118"/>
  <c r="A118" s="1"/>
  <c r="C119"/>
  <c r="A119" s="1"/>
  <c r="C120"/>
  <c r="A120" s="1"/>
  <c r="C121"/>
  <c r="A121" s="1"/>
  <c r="C122"/>
  <c r="A122" s="1"/>
  <c r="C123"/>
  <c r="A123" s="1"/>
  <c r="C124"/>
  <c r="A124" s="1"/>
  <c r="C125"/>
  <c r="A125" s="1"/>
  <c r="C126"/>
  <c r="A126" s="1"/>
  <c r="C127"/>
  <c r="A127" s="1"/>
  <c r="C128"/>
  <c r="A128" s="1"/>
  <c r="C129"/>
  <c r="A129" s="1"/>
  <c r="C130"/>
  <c r="A130" s="1"/>
  <c r="C131"/>
  <c r="A131" s="1"/>
  <c r="C132"/>
  <c r="A132" s="1"/>
  <c r="C133"/>
  <c r="A133" s="1"/>
  <c r="C134"/>
  <c r="A134" s="1"/>
  <c r="C135"/>
  <c r="A135" s="1"/>
  <c r="C136"/>
  <c r="A136" s="1"/>
  <c r="C137"/>
  <c r="A137" s="1"/>
  <c r="C138"/>
  <c r="A138" s="1"/>
  <c r="C139"/>
  <c r="A139" s="1"/>
  <c r="C140"/>
  <c r="A140" s="1"/>
  <c r="C141"/>
  <c r="A141" s="1"/>
  <c r="C142"/>
  <c r="A142" s="1"/>
  <c r="C143"/>
  <c r="A143" s="1"/>
  <c r="C144"/>
  <c r="A144" s="1"/>
  <c r="C145"/>
  <c r="A145" s="1"/>
  <c r="C146"/>
  <c r="A146" s="1"/>
  <c r="C147"/>
  <c r="A147" s="1"/>
  <c r="C148"/>
  <c r="A148" s="1"/>
  <c r="C149"/>
  <c r="A149" s="1"/>
  <c r="C150"/>
  <c r="A150" s="1"/>
  <c r="C151"/>
  <c r="A151" s="1"/>
  <c r="C152"/>
  <c r="A152" s="1"/>
  <c r="C153"/>
  <c r="A153" s="1"/>
  <c r="C154"/>
  <c r="A154" s="1"/>
  <c r="C155"/>
  <c r="A155" s="1"/>
  <c r="C156"/>
  <c r="A156" s="1"/>
  <c r="C157"/>
  <c r="A157" s="1"/>
  <c r="C158"/>
  <c r="A158" s="1"/>
  <c r="C159"/>
  <c r="A159" s="1"/>
  <c r="C160"/>
  <c r="A160" s="1"/>
  <c r="C161"/>
  <c r="A161" s="1"/>
  <c r="C162"/>
  <c r="A162" s="1"/>
  <c r="C163"/>
  <c r="A163" s="1"/>
  <c r="C164"/>
  <c r="A164" s="1"/>
  <c r="C165"/>
  <c r="A165" s="1"/>
  <c r="C166"/>
  <c r="A166" s="1"/>
  <c r="C167"/>
  <c r="A167" s="1"/>
  <c r="C168"/>
  <c r="C169"/>
  <c r="A169" s="1"/>
  <c r="B146" i="16"/>
  <c r="H146"/>
  <c r="B147"/>
  <c r="H147"/>
  <c r="I149" i="12"/>
  <c r="B1438"/>
  <c r="H241"/>
  <c r="H1434"/>
  <c r="H120"/>
  <c r="B39"/>
  <c r="H137"/>
  <c r="I116"/>
  <c r="H132"/>
  <c r="I43"/>
  <c r="I77"/>
  <c r="E139"/>
  <c r="I1438"/>
  <c r="W1438"/>
  <c r="W163"/>
  <c r="B241"/>
  <c r="H190"/>
  <c r="B137"/>
  <c r="W77"/>
  <c r="I1434"/>
  <c r="W1434"/>
  <c r="W220"/>
  <c r="B169"/>
  <c r="B139"/>
  <c r="H216"/>
  <c r="I465"/>
  <c r="B465"/>
  <c r="E438"/>
  <c r="E1166"/>
  <c r="E1167" s="1"/>
  <c r="E1168" s="1"/>
  <c r="E1169" s="1"/>
  <c r="E1170" s="1"/>
  <c r="E1171" s="1"/>
  <c r="E1172" s="1"/>
  <c r="E1173" s="1"/>
  <c r="E1174" s="1"/>
  <c r="E1175" s="1"/>
  <c r="E1176" s="1"/>
  <c r="Y299" l="1"/>
  <c r="Y287"/>
  <c r="Y1127"/>
  <c r="Y1123"/>
  <c r="Y201"/>
  <c r="Y150"/>
  <c r="P17" i="26"/>
  <c r="N17" s="1"/>
  <c r="Y716" i="12"/>
  <c r="Y669"/>
  <c r="Y667"/>
  <c r="Y645"/>
  <c r="Y643"/>
  <c r="Y275"/>
  <c r="Y740"/>
  <c r="Y768"/>
  <c r="Y797"/>
  <c r="Y73"/>
  <c r="Y34"/>
  <c r="Y750"/>
  <c r="Y747"/>
  <c r="Y1502"/>
  <c r="Y1484"/>
  <c r="Y1463"/>
  <c r="Y1406"/>
  <c r="Y1384"/>
  <c r="Y1361"/>
  <c r="Y1336"/>
  <c r="Y1316"/>
  <c r="Y1293"/>
  <c r="Y1269"/>
  <c r="Y1246"/>
  <c r="Y1223"/>
  <c r="Y1189"/>
  <c r="Y1133"/>
  <c r="Y1177"/>
  <c r="E1177"/>
  <c r="E1178" s="1"/>
  <c r="E1179" s="1"/>
  <c r="E1180" s="1"/>
  <c r="E1181" s="1"/>
  <c r="E1182" s="1"/>
  <c r="E1183" s="1"/>
  <c r="E1184" s="1"/>
  <c r="Y1157"/>
  <c r="Y1111"/>
  <c r="F1088"/>
  <c r="F1089" s="1"/>
  <c r="F1090" s="1"/>
  <c r="F1091" s="1"/>
  <c r="F1092" s="1"/>
  <c r="F1093" s="1"/>
  <c r="F1094" s="1"/>
  <c r="Y1088"/>
  <c r="Y1067"/>
  <c r="Y1043"/>
  <c r="Y1026"/>
  <c r="Y1020"/>
  <c r="Y1008"/>
  <c r="Y986"/>
  <c r="Y961"/>
  <c r="Y937"/>
  <c r="Y918"/>
  <c r="Y898"/>
  <c r="Y874"/>
  <c r="Y817"/>
  <c r="Y847"/>
  <c r="Y793"/>
  <c r="Y778"/>
  <c r="Y775"/>
  <c r="Y765"/>
  <c r="Y736"/>
  <c r="Y712"/>
  <c r="Y699"/>
  <c r="Y687"/>
  <c r="Y675"/>
  <c r="Y662"/>
  <c r="Y649"/>
  <c r="Y634"/>
  <c r="Y615"/>
  <c r="Y596"/>
  <c r="Y573"/>
  <c r="Y555"/>
  <c r="Y553"/>
  <c r="Y542"/>
  <c r="Y525"/>
  <c r="Y522"/>
  <c r="Y508"/>
  <c r="Y483"/>
  <c r="W153"/>
  <c r="B74"/>
  <c r="Y456"/>
  <c r="Y425"/>
  <c r="Y402"/>
  <c r="Y380"/>
  <c r="Y355"/>
  <c r="Y335"/>
  <c r="Y318"/>
  <c r="Y315"/>
  <c r="Y308"/>
  <c r="Y291"/>
  <c r="Y288"/>
  <c r="Y280"/>
  <c r="Y262"/>
  <c r="Y242"/>
  <c r="Y219"/>
  <c r="Y196"/>
  <c r="Y193"/>
  <c r="Y183"/>
  <c r="Y164"/>
  <c r="Y145"/>
  <c r="Y142"/>
  <c r="Y130"/>
  <c r="Y97"/>
  <c r="Y66"/>
  <c r="Y30"/>
  <c r="Y1194"/>
  <c r="Y1193"/>
  <c r="Y1138"/>
  <c r="Y1137"/>
  <c r="Y689"/>
  <c r="Y688"/>
  <c r="Y677"/>
  <c r="Y676"/>
  <c r="Y186"/>
  <c r="Y167"/>
  <c r="Y134"/>
  <c r="Y1423"/>
  <c r="Y1249"/>
  <c r="Y72"/>
  <c r="Y33"/>
  <c r="Y1273"/>
  <c r="Y1227"/>
  <c r="Y1362"/>
  <c r="Y1112"/>
  <c r="Y905"/>
  <c r="Y133"/>
  <c r="W60"/>
  <c r="H56"/>
  <c r="I46"/>
  <c r="Y47"/>
  <c r="H22"/>
  <c r="Y332"/>
  <c r="B225"/>
  <c r="H237"/>
  <c r="H213"/>
  <c r="W286"/>
  <c r="W209"/>
  <c r="W1125"/>
  <c r="I295"/>
  <c r="F301"/>
  <c r="F302" s="1"/>
  <c r="F303" s="1"/>
  <c r="H217"/>
  <c r="Y476"/>
  <c r="Y449"/>
  <c r="H143"/>
  <c r="I157"/>
  <c r="W81"/>
  <c r="G139"/>
  <c r="G140" s="1"/>
  <c r="G141" s="1"/>
  <c r="W157"/>
  <c r="I139"/>
  <c r="H157"/>
  <c r="I375"/>
  <c r="I153"/>
  <c r="F14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W68"/>
  <c r="B51"/>
  <c r="B64"/>
  <c r="B81"/>
  <c r="B143"/>
  <c r="W161"/>
  <c r="I60"/>
  <c r="W39"/>
  <c r="H43"/>
  <c r="H64"/>
  <c r="I74"/>
  <c r="B116"/>
  <c r="I39"/>
  <c r="H81"/>
  <c r="W165"/>
  <c r="W51"/>
  <c r="B124"/>
  <c r="W1122"/>
  <c r="W128"/>
  <c r="B153"/>
  <c r="W64"/>
  <c r="B60"/>
  <c r="B77"/>
  <c r="I143"/>
  <c r="B43"/>
  <c r="B132"/>
  <c r="H116"/>
  <c r="I137"/>
  <c r="I120"/>
  <c r="E14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H128"/>
  <c r="H51"/>
  <c r="H139"/>
  <c r="G190"/>
  <c r="G191" s="1"/>
  <c r="G192" s="1"/>
  <c r="W56"/>
  <c r="W74"/>
  <c r="B56"/>
  <c r="B68"/>
  <c r="B120"/>
  <c r="W124"/>
  <c r="I68"/>
  <c r="I132"/>
  <c r="I124"/>
  <c r="W46"/>
  <c r="B46"/>
  <c r="I128"/>
  <c r="Y1429"/>
  <c r="Y1428"/>
  <c r="Y1426"/>
  <c r="O1426" s="1"/>
  <c r="Y1427"/>
  <c r="Y1422"/>
  <c r="Y1421"/>
  <c r="Y1186"/>
  <c r="F149"/>
  <c r="F150" s="1"/>
  <c r="Y1094"/>
  <c r="Y1073"/>
  <c r="Y1052"/>
  <c r="Y779"/>
  <c r="Y751"/>
  <c r="Y557"/>
  <c r="Y526"/>
  <c r="I310"/>
  <c r="H346"/>
  <c r="B342"/>
  <c r="I354"/>
  <c r="W350"/>
  <c r="H312"/>
  <c r="Y319"/>
  <c r="Y305"/>
  <c r="Y292"/>
  <c r="Y278"/>
  <c r="Y197"/>
  <c r="Y146"/>
  <c r="B354"/>
  <c r="W346"/>
  <c r="A168" i="25"/>
  <c r="Y290" i="12" s="1"/>
  <c r="Y1408"/>
  <c r="Y1387"/>
  <c r="Y1364"/>
  <c r="Y1339"/>
  <c r="Y1319"/>
  <c r="Y1296"/>
  <c r="Y1115"/>
  <c r="Y1160"/>
  <c r="Y1180"/>
  <c r="Y1011"/>
  <c r="Y989"/>
  <c r="Y964"/>
  <c r="P109" i="26"/>
  <c r="Q109" s="1"/>
  <c r="Y940" i="12"/>
  <c r="Y921"/>
  <c r="Y902"/>
  <c r="O81" i="26"/>
  <c r="P118"/>
  <c r="Q118" s="1"/>
  <c r="P152"/>
  <c r="Q152" s="1"/>
  <c r="P98"/>
  <c r="T98" s="1"/>
  <c r="P114"/>
  <c r="T114" s="1"/>
  <c r="O102"/>
  <c r="O144"/>
  <c r="Y577" i="12"/>
  <c r="Y545"/>
  <c r="Y512"/>
  <c r="P132" i="26"/>
  <c r="T132" s="1"/>
  <c r="O169"/>
  <c r="P82"/>
  <c r="T82" s="1"/>
  <c r="Y333" i="12"/>
  <c r="O41" i="26"/>
  <c r="Y306" i="12"/>
  <c r="O184" i="26"/>
  <c r="P21"/>
  <c r="N21" s="1"/>
  <c r="Y276" i="12"/>
  <c r="Y266"/>
  <c r="Y246"/>
  <c r="Y222"/>
  <c r="P397" i="26"/>
  <c r="T397" s="1"/>
  <c r="O263"/>
  <c r="Y474" i="12"/>
  <c r="Y480"/>
  <c r="Y488"/>
  <c r="Y479"/>
  <c r="Y487"/>
  <c r="Y473"/>
  <c r="Y481"/>
  <c r="Y472"/>
  <c r="Y490"/>
  <c r="Y477"/>
  <c r="Y485"/>
  <c r="Y489"/>
  <c r="Y482"/>
  <c r="Y478"/>
  <c r="Y486"/>
  <c r="Y475"/>
  <c r="Y484"/>
  <c r="Y445"/>
  <c r="Y452"/>
  <c r="Y454"/>
  <c r="Y457"/>
  <c r="Y463"/>
  <c r="Y446"/>
  <c r="Y450"/>
  <c r="Y453"/>
  <c r="Y455"/>
  <c r="Y459"/>
  <c r="Y461"/>
  <c r="Y460"/>
  <c r="Y462"/>
  <c r="Y458"/>
  <c r="Y448"/>
  <c r="Y447"/>
  <c r="Y451"/>
  <c r="Y419"/>
  <c r="Y418"/>
  <c r="Y417"/>
  <c r="Y416"/>
  <c r="Y415"/>
  <c r="Y414"/>
  <c r="Y413"/>
  <c r="Y412"/>
  <c r="Y411"/>
  <c r="Y427"/>
  <c r="Y430"/>
  <c r="Y433"/>
  <c r="Y428"/>
  <c r="Y424"/>
  <c r="Y431"/>
  <c r="Y426"/>
  <c r="Y436"/>
  <c r="Y432"/>
  <c r="Y435"/>
  <c r="Y421"/>
  <c r="Y434"/>
  <c r="Y423"/>
  <c r="Y422"/>
  <c r="Y420"/>
  <c r="Y429"/>
  <c r="P235" i="26"/>
  <c r="Q235" s="1"/>
  <c r="B36" i="12"/>
  <c r="B26"/>
  <c r="C12"/>
  <c r="P170" i="26"/>
  <c r="T170" s="1"/>
  <c r="I14" i="12"/>
  <c r="P179" i="26"/>
  <c r="N179" s="1"/>
  <c r="P329"/>
  <c r="Q329" s="1"/>
  <c r="P463"/>
  <c r="T463" s="1"/>
  <c r="P215"/>
  <c r="T215" s="1"/>
  <c r="P211"/>
  <c r="I211" s="1"/>
  <c r="P166"/>
  <c r="I166" s="1"/>
  <c r="O393"/>
  <c r="O317"/>
  <c r="P418"/>
  <c r="N418" s="1"/>
  <c r="O401"/>
  <c r="P267"/>
  <c r="I267" s="1"/>
  <c r="O199"/>
  <c r="O297"/>
  <c r="P245"/>
  <c r="Q245" s="1"/>
  <c r="P204"/>
  <c r="T204" s="1"/>
  <c r="H26" i="12"/>
  <c r="W12"/>
  <c r="F12"/>
  <c r="B22"/>
  <c r="W14"/>
  <c r="H18"/>
  <c r="D12"/>
  <c r="H14"/>
  <c r="W26"/>
  <c r="W36"/>
  <c r="H36"/>
  <c r="G12"/>
  <c r="W18"/>
  <c r="B18"/>
  <c r="W22"/>
  <c r="Y204"/>
  <c r="Y1497"/>
  <c r="Y1493"/>
  <c r="Y1495"/>
  <c r="Y1503"/>
  <c r="Y1501"/>
  <c r="Y1499"/>
  <c r="Y1498"/>
  <c r="Y1492"/>
  <c r="Y1496"/>
  <c r="Y1491"/>
  <c r="Y1500"/>
  <c r="Y1494"/>
  <c r="Y1395"/>
  <c r="Y1400"/>
  <c r="Y1409"/>
  <c r="Y1399"/>
  <c r="Y1403"/>
  <c r="Y1397"/>
  <c r="Y1411"/>
  <c r="Y1401"/>
  <c r="Y1405"/>
  <c r="Y1398"/>
  <c r="Y1407"/>
  <c r="Y1412"/>
  <c r="Y1404"/>
  <c r="Y1396"/>
  <c r="Y1402"/>
  <c r="Y1410"/>
  <c r="Y1326"/>
  <c r="Y1325"/>
  <c r="Y1331"/>
  <c r="Y1335"/>
  <c r="Y1337"/>
  <c r="Y1341"/>
  <c r="Y1334"/>
  <c r="Y1330"/>
  <c r="Y1342"/>
  <c r="Y1332"/>
  <c r="Y1327"/>
  <c r="Y1340"/>
  <c r="Y1343"/>
  <c r="Y1333"/>
  <c r="Y1338"/>
  <c r="Y1328"/>
  <c r="Y1329"/>
  <c r="Y1258"/>
  <c r="Y1264"/>
  <c r="Y1274"/>
  <c r="Y1271"/>
  <c r="Y1270"/>
  <c r="Y1275"/>
  <c r="Y1267"/>
  <c r="Y1272"/>
  <c r="Y1266"/>
  <c r="Y1259"/>
  <c r="Y1265"/>
  <c r="Y1260"/>
  <c r="Y1261"/>
  <c r="Y1263"/>
  <c r="Y1268"/>
  <c r="Y1276"/>
  <c r="Y1262"/>
  <c r="O457" i="26"/>
  <c r="P457"/>
  <c r="Q457" s="1"/>
  <c r="P405"/>
  <c r="T405" s="1"/>
  <c r="O426"/>
  <c r="O347"/>
  <c r="O384"/>
  <c r="P338"/>
  <c r="T338" s="1"/>
  <c r="O434"/>
  <c r="O59"/>
  <c r="P59"/>
  <c r="T59" s="1"/>
  <c r="P344"/>
  <c r="Q344" s="1"/>
  <c r="O344"/>
  <c r="O33"/>
  <c r="P472"/>
  <c r="N472" s="1"/>
  <c r="P446"/>
  <c r="N446" s="1"/>
  <c r="O60"/>
  <c r="P438"/>
  <c r="Q438" s="1"/>
  <c r="W10" i="12"/>
  <c r="Y1181"/>
  <c r="Y1168"/>
  <c r="Y1171"/>
  <c r="Y1167"/>
  <c r="Y1173"/>
  <c r="Y1175"/>
  <c r="Y1179"/>
  <c r="Y1184"/>
  <c r="Y1183"/>
  <c r="Y1169"/>
  <c r="Y1166"/>
  <c r="Y1172"/>
  <c r="Y1170"/>
  <c r="Y1174"/>
  <c r="Y1178"/>
  <c r="Y1176"/>
  <c r="Y1182"/>
  <c r="Y1082"/>
  <c r="Y1080"/>
  <c r="Y1093"/>
  <c r="Y1086"/>
  <c r="Y1079"/>
  <c r="Y1078"/>
  <c r="Y1084"/>
  <c r="Y1090"/>
  <c r="Y1089"/>
  <c r="Y1083"/>
  <c r="Y1087"/>
  <c r="Y1091"/>
  <c r="Y1085"/>
  <c r="Y1081"/>
  <c r="Y1092"/>
  <c r="Y1000"/>
  <c r="Y1002"/>
  <c r="Y1007"/>
  <c r="Y1001"/>
  <c r="Y997"/>
  <c r="Y1004"/>
  <c r="Y998"/>
  <c r="Y1010"/>
  <c r="Y1005"/>
  <c r="Y1013"/>
  <c r="Y1012"/>
  <c r="Y1006"/>
  <c r="Y1014"/>
  <c r="Y1009"/>
  <c r="Y999"/>
  <c r="Y1003"/>
  <c r="Y926"/>
  <c r="Y941"/>
  <c r="Y939"/>
  <c r="Y943"/>
  <c r="Y930"/>
  <c r="Y933"/>
  <c r="Y932"/>
  <c r="Y931"/>
  <c r="Y929"/>
  <c r="Y938"/>
  <c r="Y942"/>
  <c r="Y928"/>
  <c r="Y936"/>
  <c r="Y927"/>
  <c r="Y935"/>
  <c r="Y934"/>
  <c r="Y865"/>
  <c r="Y864"/>
  <c r="Y863"/>
  <c r="Y862"/>
  <c r="Y861"/>
  <c r="Y860"/>
  <c r="Y859"/>
  <c r="Y867"/>
  <c r="Y872"/>
  <c r="Y873"/>
  <c r="Y879"/>
  <c r="Y870"/>
  <c r="Y876"/>
  <c r="Y868"/>
  <c r="Y880"/>
  <c r="Y866"/>
  <c r="Y878"/>
  <c r="Y881"/>
  <c r="Y869"/>
  <c r="Y871"/>
  <c r="Y877"/>
  <c r="Y781"/>
  <c r="Y790"/>
  <c r="Y789"/>
  <c r="Y787"/>
  <c r="Y783"/>
  <c r="Y786"/>
  <c r="Y791"/>
  <c r="Y784"/>
  <c r="Y788"/>
  <c r="Y796"/>
  <c r="Y785"/>
  <c r="Y794"/>
  <c r="Y792"/>
  <c r="Y795"/>
  <c r="Y798"/>
  <c r="Y782"/>
  <c r="Y623"/>
  <c r="Y629"/>
  <c r="Y624"/>
  <c r="Y628"/>
  <c r="Y636"/>
  <c r="Y640"/>
  <c r="Y627"/>
  <c r="Y631"/>
  <c r="Y633"/>
  <c r="Y639"/>
  <c r="Y626"/>
  <c r="Y632"/>
  <c r="Y630"/>
  <c r="Y637"/>
  <c r="Y638"/>
  <c r="Y625"/>
  <c r="Y635"/>
  <c r="Y562"/>
  <c r="Y568"/>
  <c r="Y565"/>
  <c r="Y563"/>
  <c r="Y579"/>
  <c r="Y564"/>
  <c r="Y571"/>
  <c r="Y569"/>
  <c r="Y566"/>
  <c r="Y570"/>
  <c r="Y574"/>
  <c r="Y567"/>
  <c r="Y575"/>
  <c r="Y576"/>
  <c r="Y572"/>
  <c r="Y578"/>
  <c r="Y398"/>
  <c r="Y404"/>
  <c r="Y399"/>
  <c r="Y407"/>
  <c r="Y391"/>
  <c r="Y401"/>
  <c r="Y396"/>
  <c r="Y408"/>
  <c r="Y403"/>
  <c r="Y395"/>
  <c r="Y393"/>
  <c r="Y394"/>
  <c r="Y392"/>
  <c r="Y397"/>
  <c r="Y406"/>
  <c r="Y400"/>
  <c r="Y328"/>
  <c r="Y334"/>
  <c r="Y337"/>
  <c r="Y329"/>
  <c r="Y336"/>
  <c r="Y331"/>
  <c r="Y330"/>
  <c r="Y269"/>
  <c r="Y260"/>
  <c r="Y263"/>
  <c r="Y256"/>
  <c r="Y252"/>
  <c r="Y255"/>
  <c r="Y267"/>
  <c r="Y257"/>
  <c r="Y264"/>
  <c r="Y268"/>
  <c r="Y251"/>
  <c r="Y259"/>
  <c r="Y253"/>
  <c r="Y258"/>
  <c r="Y254"/>
  <c r="Y261"/>
  <c r="Y265"/>
  <c r="Y171"/>
  <c r="Y178"/>
  <c r="Y172"/>
  <c r="Y184"/>
  <c r="Y181"/>
  <c r="Y174"/>
  <c r="Y185"/>
  <c r="Y180"/>
  <c r="Y188"/>
  <c r="Y182"/>
  <c r="Y173"/>
  <c r="Y187"/>
  <c r="Y176"/>
  <c r="Y177"/>
  <c r="Y175"/>
  <c r="Y179"/>
  <c r="Y94"/>
  <c r="Y98"/>
  <c r="Y85"/>
  <c r="Y89"/>
  <c r="Y87"/>
  <c r="Y100"/>
  <c r="Y99"/>
  <c r="Y106"/>
  <c r="Y102"/>
  <c r="Y88"/>
  <c r="Y110"/>
  <c r="Y86"/>
  <c r="Y91"/>
  <c r="Y92"/>
  <c r="Y104"/>
  <c r="Y112"/>
  <c r="Y111"/>
  <c r="Y101"/>
  <c r="Y103"/>
  <c r="Y90"/>
  <c r="Y95"/>
  <c r="Y93"/>
  <c r="Y105"/>
  <c r="Y107"/>
  <c r="Y109"/>
  <c r="Y96"/>
  <c r="Y108"/>
  <c r="O83" i="26"/>
  <c r="P83"/>
  <c r="T83" s="1"/>
  <c r="O27"/>
  <c r="P78"/>
  <c r="Q78" s="1"/>
  <c r="P72"/>
  <c r="Q72" s="1"/>
  <c r="P195"/>
  <c r="N195" s="1"/>
  <c r="P29"/>
  <c r="I29" s="1"/>
  <c r="O314"/>
  <c r="P93"/>
  <c r="I93" s="1"/>
  <c r="O23"/>
  <c r="O64"/>
  <c r="P38"/>
  <c r="Q38" s="1"/>
  <c r="P213"/>
  <c r="N213" s="1"/>
  <c r="O453"/>
  <c r="P231"/>
  <c r="N231" s="1"/>
  <c r="O227"/>
  <c r="Y304" i="12"/>
  <c r="Y277"/>
  <c r="O425" i="26"/>
  <c r="O177"/>
  <c r="P111"/>
  <c r="I111" s="1"/>
  <c r="O461"/>
  <c r="O34"/>
  <c r="P433"/>
  <c r="T433" s="1"/>
  <c r="P164"/>
  <c r="T164" s="1"/>
  <c r="P85"/>
  <c r="Q85" s="1"/>
  <c r="O286"/>
  <c r="P362"/>
  <c r="N362" s="1"/>
  <c r="P39"/>
  <c r="I39" s="1"/>
  <c r="O168"/>
  <c r="O99"/>
  <c r="H9"/>
  <c r="L9"/>
  <c r="G301" i="12"/>
  <c r="G302" s="1"/>
  <c r="G303" s="1"/>
  <c r="I161"/>
  <c r="I229"/>
  <c r="W342"/>
  <c r="I286"/>
  <c r="I225"/>
  <c r="H194"/>
  <c r="E301"/>
  <c r="E302" s="1"/>
  <c r="E303" s="1"/>
  <c r="B310"/>
  <c r="I346"/>
  <c r="W233"/>
  <c r="B165"/>
  <c r="W274"/>
  <c r="H249"/>
  <c r="W205"/>
  <c r="I165"/>
  <c r="H205"/>
  <c r="H221"/>
  <c r="H161"/>
  <c r="I301"/>
  <c r="H229"/>
  <c r="H350"/>
  <c r="H371"/>
  <c r="F1125"/>
  <c r="F1126" s="1"/>
  <c r="F1127" s="1"/>
  <c r="H169"/>
  <c r="H286"/>
  <c r="H1125"/>
  <c r="I209"/>
  <c r="B295"/>
  <c r="B379"/>
  <c r="H225"/>
  <c r="W221"/>
  <c r="W190"/>
  <c r="B233"/>
  <c r="H511"/>
  <c r="H233"/>
  <c r="I312"/>
  <c r="H316"/>
  <c r="W249"/>
  <c r="H301"/>
  <c r="B1125"/>
  <c r="G312"/>
  <c r="G313" s="1"/>
  <c r="G314" s="1"/>
  <c r="W241"/>
  <c r="I205"/>
  <c r="I221"/>
  <c r="F190"/>
  <c r="F191" s="1"/>
  <c r="F192" s="1"/>
  <c r="W379"/>
  <c r="I169"/>
  <c r="B209"/>
  <c r="H295"/>
  <c r="H379"/>
  <c r="I194"/>
  <c r="B249"/>
  <c r="W560"/>
  <c r="W237"/>
  <c r="W312"/>
  <c r="I316"/>
  <c r="E312"/>
  <c r="E313" s="1"/>
  <c r="E314" s="1"/>
  <c r="W213"/>
  <c r="W229"/>
  <c r="I217"/>
  <c r="I213"/>
  <c r="B350"/>
  <c r="E1125"/>
  <c r="E1126" s="1"/>
  <c r="E1127" s="1"/>
  <c r="H342"/>
  <c r="H354"/>
  <c r="B190"/>
  <c r="W301"/>
  <c r="W194"/>
  <c r="B237"/>
  <c r="W310"/>
  <c r="W547"/>
  <c r="B217"/>
  <c r="B316"/>
  <c r="B274"/>
  <c r="I274"/>
  <c r="D1345"/>
  <c r="E581"/>
  <c r="E582" s="1"/>
  <c r="E583" s="1"/>
  <c r="E584" s="1"/>
  <c r="E585" s="1"/>
  <c r="E586" s="1"/>
  <c r="E587" s="1"/>
  <c r="E588" s="1"/>
  <c r="E589" s="1"/>
  <c r="E590" s="1"/>
  <c r="E591" s="1"/>
  <c r="E592" s="1"/>
  <c r="E593" s="1"/>
  <c r="E594" s="1"/>
  <c r="E595" s="1"/>
  <c r="W884"/>
  <c r="O305" i="26"/>
  <c r="P305"/>
  <c r="T305" s="1"/>
  <c r="O328"/>
  <c r="P328"/>
  <c r="I328" s="1"/>
  <c r="P246"/>
  <c r="T246" s="1"/>
  <c r="O246"/>
  <c r="O269"/>
  <c r="P269"/>
  <c r="Q269" s="1"/>
  <c r="P414"/>
  <c r="N414" s="1"/>
  <c r="P315"/>
  <c r="Q315" s="1"/>
  <c r="O306"/>
  <c r="P403"/>
  <c r="Q403" s="1"/>
  <c r="O292"/>
  <c r="P361"/>
  <c r="T361" s="1"/>
  <c r="O301"/>
  <c r="P271"/>
  <c r="T271" s="1"/>
  <c r="P310"/>
  <c r="N310" s="1"/>
  <c r="P399"/>
  <c r="I399" s="1"/>
  <c r="P279"/>
  <c r="Q279" s="1"/>
  <c r="P275"/>
  <c r="I275" s="1"/>
  <c r="O323"/>
  <c r="P413"/>
  <c r="N413" s="1"/>
  <c r="I161"/>
  <c r="I169"/>
  <c r="Q375"/>
  <c r="Q432"/>
  <c r="I1132" i="12"/>
  <c r="I832"/>
  <c r="T323" i="26"/>
  <c r="I412"/>
  <c r="N292"/>
  <c r="G272" i="12"/>
  <c r="G273" s="1"/>
  <c r="G274" s="1"/>
  <c r="F139"/>
  <c r="F140" s="1"/>
  <c r="F141" s="1"/>
  <c r="N168" i="26"/>
  <c r="Q168"/>
  <c r="T441"/>
  <c r="G907" i="12"/>
  <c r="G908" s="1"/>
  <c r="G909" s="1"/>
  <c r="G910" s="1"/>
  <c r="G911" s="1"/>
  <c r="G912" s="1"/>
  <c r="G913" s="1"/>
  <c r="G914" s="1"/>
  <c r="G915" s="1"/>
  <c r="G916" s="1"/>
  <c r="G917" s="1"/>
  <c r="T10"/>
  <c r="U10" s="1"/>
  <c r="T334" i="26"/>
  <c r="T301"/>
  <c r="Q412"/>
  <c r="N412"/>
  <c r="Q240"/>
  <c r="B9"/>
  <c r="J9"/>
  <c r="E9"/>
  <c r="S9" s="1"/>
  <c r="O9" s="1"/>
  <c r="W1063" i="12"/>
  <c r="W915"/>
  <c r="F1130"/>
  <c r="F1131" s="1"/>
  <c r="F1132" s="1"/>
  <c r="B1201"/>
  <c r="G1125"/>
  <c r="G1126" s="1"/>
  <c r="G1127" s="1"/>
  <c r="F312"/>
  <c r="F313" s="1"/>
  <c r="F314" s="1"/>
  <c r="W809"/>
  <c r="B1311"/>
  <c r="H1323"/>
  <c r="H1213"/>
  <c r="B807"/>
  <c r="H1205"/>
  <c r="B983"/>
  <c r="H916"/>
  <c r="B916"/>
  <c r="B826"/>
  <c r="H1156"/>
  <c r="F519"/>
  <c r="F520" s="1"/>
  <c r="F521" s="1"/>
  <c r="W916"/>
  <c r="B1239"/>
  <c r="H753"/>
  <c r="H922"/>
  <c r="W977"/>
  <c r="B1253"/>
  <c r="H1236"/>
  <c r="I1030"/>
  <c r="B977"/>
  <c r="B830"/>
  <c r="I840"/>
  <c r="B1132"/>
  <c r="W1300"/>
  <c r="I1389"/>
  <c r="H1038"/>
  <c r="I1022"/>
  <c r="E1196"/>
  <c r="E1197" s="1"/>
  <c r="B1301"/>
  <c r="H1050"/>
  <c r="I1154"/>
  <c r="I1158"/>
  <c r="I1104"/>
  <c r="B1058"/>
  <c r="I1191"/>
  <c r="H1066"/>
  <c r="G1143"/>
  <c r="G1144" s="1"/>
  <c r="W1191"/>
  <c r="W1146"/>
  <c r="W1208"/>
  <c r="F975"/>
  <c r="F976" s="1"/>
  <c r="F977" s="1"/>
  <c r="F978" s="1"/>
  <c r="F979" s="1"/>
  <c r="F980" s="1"/>
  <c r="F981" s="1"/>
  <c r="F982" s="1"/>
  <c r="F983" s="1"/>
  <c r="F984" s="1"/>
  <c r="F985" s="1"/>
  <c r="W1485"/>
  <c r="B1016"/>
  <c r="B1464"/>
  <c r="W1023"/>
  <c r="B973"/>
  <c r="B1156"/>
  <c r="H774"/>
  <c r="H962"/>
  <c r="W1483"/>
  <c r="B1208"/>
  <c r="B1162"/>
  <c r="B1050"/>
  <c r="W1070"/>
  <c r="B1143"/>
  <c r="I1034"/>
  <c r="W769"/>
  <c r="I801"/>
  <c r="B809"/>
  <c r="I914"/>
  <c r="H966"/>
  <c r="W1203"/>
  <c r="H1117"/>
  <c r="I1452"/>
  <c r="I1477"/>
  <c r="H1464"/>
  <c r="B1417"/>
  <c r="G1278"/>
  <c r="G1279" s="1"/>
  <c r="G1280" s="1"/>
  <c r="G1281" s="1"/>
  <c r="G1282" s="1"/>
  <c r="G1283" s="1"/>
  <c r="G1284" s="1"/>
  <c r="G1285" s="1"/>
  <c r="G1286" s="1"/>
  <c r="G1287" s="1"/>
  <c r="G1288" s="1"/>
  <c r="G1289" s="1"/>
  <c r="G1290" s="1"/>
  <c r="G1291" s="1"/>
  <c r="G1292" s="1"/>
  <c r="E1235"/>
  <c r="E1236" s="1"/>
  <c r="E1237" s="1"/>
  <c r="E1238" s="1"/>
  <c r="E1239" s="1"/>
  <c r="E1240" s="1"/>
  <c r="E1241" s="1"/>
  <c r="E1242" s="1"/>
  <c r="E1243" s="1"/>
  <c r="E1244" s="1"/>
  <c r="E1245" s="1"/>
  <c r="E1208"/>
  <c r="E1209" s="1"/>
  <c r="E1210" s="1"/>
  <c r="E1211" s="1"/>
  <c r="E1212" s="1"/>
  <c r="E1213" s="1"/>
  <c r="E1214" s="1"/>
  <c r="E1215" s="1"/>
  <c r="E1216" s="1"/>
  <c r="E1217" s="1"/>
  <c r="E1218" s="1"/>
  <c r="E1219" s="1"/>
  <c r="E1220" s="1"/>
  <c r="E1221" s="1"/>
  <c r="E1222" s="1"/>
  <c r="E1143"/>
  <c r="E1144" s="1"/>
  <c r="F1096"/>
  <c r="F1097" s="1"/>
  <c r="F1098" s="1"/>
  <c r="F1099" s="1"/>
  <c r="F1100" s="1"/>
  <c r="F1101" s="1"/>
  <c r="F1102" s="1"/>
  <c r="F1103" s="1"/>
  <c r="F1104" s="1"/>
  <c r="F1105" s="1"/>
  <c r="F1106" s="1"/>
  <c r="F1107" s="1"/>
  <c r="F1108" s="1"/>
  <c r="F1109" s="1"/>
  <c r="F1110" s="1"/>
  <c r="F1111" s="1"/>
  <c r="W1473"/>
  <c r="E1415"/>
  <c r="E1416" s="1"/>
  <c r="E1417" s="1"/>
  <c r="I1150"/>
  <c r="B1150"/>
  <c r="B1108"/>
  <c r="W1108"/>
  <c r="H1200"/>
  <c r="B1200"/>
  <c r="E1078"/>
  <c r="E1079" s="1"/>
  <c r="E1080" s="1"/>
  <c r="E1081" s="1"/>
  <c r="E1082" s="1"/>
  <c r="E1083" s="1"/>
  <c r="E1084" s="1"/>
  <c r="E1085" s="1"/>
  <c r="E1086" s="1"/>
  <c r="E1087" s="1"/>
  <c r="G1078"/>
  <c r="G1079" s="1"/>
  <c r="G1080" s="1"/>
  <c r="G1081" s="1"/>
  <c r="G1082" s="1"/>
  <c r="G1083" s="1"/>
  <c r="G1084" s="1"/>
  <c r="G1085" s="1"/>
  <c r="G1086" s="1"/>
  <c r="G1087" s="1"/>
  <c r="E1022"/>
  <c r="E1023" s="1"/>
  <c r="E1024" s="1"/>
  <c r="E1025" s="1"/>
  <c r="E1026" s="1"/>
  <c r="F1022"/>
  <c r="F1023" s="1"/>
  <c r="F1024" s="1"/>
  <c r="F1025" s="1"/>
  <c r="F1026" s="1"/>
  <c r="G1022"/>
  <c r="G1023" s="1"/>
  <c r="G1024" s="1"/>
  <c r="G1025" s="1"/>
  <c r="G1026" s="1"/>
  <c r="W1018"/>
  <c r="I1018"/>
  <c r="H1018"/>
  <c r="E994"/>
  <c r="E995" s="1"/>
  <c r="H985"/>
  <c r="B985"/>
  <c r="W985"/>
  <c r="I958"/>
  <c r="B958"/>
  <c r="W958"/>
  <c r="H950"/>
  <c r="I950"/>
  <c r="B950"/>
  <c r="W950"/>
  <c r="B946"/>
  <c r="W946"/>
  <c r="H910"/>
  <c r="I910"/>
  <c r="I893"/>
  <c r="W893"/>
  <c r="B854"/>
  <c r="W854"/>
  <c r="B851"/>
  <c r="H851"/>
  <c r="W851"/>
  <c r="I851"/>
  <c r="B835"/>
  <c r="W835"/>
  <c r="H835"/>
  <c r="F801"/>
  <c r="F802" s="1"/>
  <c r="F803" s="1"/>
  <c r="F804" s="1"/>
  <c r="F805" s="1"/>
  <c r="F806" s="1"/>
  <c r="F807" s="1"/>
  <c r="F808" s="1"/>
  <c r="F809" s="1"/>
  <c r="F810" s="1"/>
  <c r="F811" s="1"/>
  <c r="F812" s="1"/>
  <c r="F813" s="1"/>
  <c r="F814" s="1"/>
  <c r="F815" s="1"/>
  <c r="F816" s="1"/>
  <c r="H761"/>
  <c r="B761"/>
  <c r="G753"/>
  <c r="G754" s="1"/>
  <c r="G755" s="1"/>
  <c r="G756" s="1"/>
  <c r="G757" s="1"/>
  <c r="G758" s="1"/>
  <c r="G759" s="1"/>
  <c r="G760" s="1"/>
  <c r="G761" s="1"/>
  <c r="G762" s="1"/>
  <c r="G763" s="1"/>
  <c r="G764" s="1"/>
  <c r="W746"/>
  <c r="H746"/>
  <c r="I746"/>
  <c r="B746"/>
  <c r="W729"/>
  <c r="I729"/>
  <c r="H729"/>
  <c r="B721"/>
  <c r="I721"/>
  <c r="I719"/>
  <c r="B719"/>
  <c r="W705"/>
  <c r="G705"/>
  <c r="G706" s="1"/>
  <c r="I705"/>
  <c r="H705"/>
  <c r="F705"/>
  <c r="F706" s="1"/>
  <c r="B705"/>
  <c r="B685"/>
  <c r="W685"/>
  <c r="I685"/>
  <c r="H685"/>
  <c r="B678"/>
  <c r="I678"/>
  <c r="H678"/>
  <c r="W678"/>
  <c r="I621"/>
  <c r="W621"/>
  <c r="H621"/>
  <c r="I613"/>
  <c r="B613"/>
  <c r="H613"/>
  <c r="W613"/>
  <c r="B609"/>
  <c r="I609"/>
  <c r="W609"/>
  <c r="I605"/>
  <c r="H605"/>
  <c r="W605"/>
  <c r="B601"/>
  <c r="W601"/>
  <c r="I601"/>
  <c r="I769"/>
  <c r="I813"/>
  <c r="B801"/>
  <c r="W922"/>
  <c r="B970"/>
  <c r="B1076"/>
  <c r="H1150"/>
  <c r="B1154"/>
  <c r="I1076"/>
  <c r="E1146"/>
  <c r="E1147" s="1"/>
  <c r="E1148" s="1"/>
  <c r="E1149" s="1"/>
  <c r="E1150" s="1"/>
  <c r="E1151" s="1"/>
  <c r="E1152" s="1"/>
  <c r="E1153" s="1"/>
  <c r="E1154" s="1"/>
  <c r="E1155" s="1"/>
  <c r="E1156" s="1"/>
  <c r="W1046"/>
  <c r="I1066"/>
  <c r="H1158"/>
  <c r="B1203"/>
  <c r="I1208"/>
  <c r="H994"/>
  <c r="B774"/>
  <c r="B621"/>
  <c r="I835"/>
  <c r="H1162"/>
  <c r="I1162"/>
  <c r="I1117"/>
  <c r="W1117"/>
  <c r="B1100"/>
  <c r="I1100"/>
  <c r="B981"/>
  <c r="W981"/>
  <c r="F946"/>
  <c r="F947" s="1"/>
  <c r="F948" s="1"/>
  <c r="F949" s="1"/>
  <c r="F950" s="1"/>
  <c r="F951" s="1"/>
  <c r="F952" s="1"/>
  <c r="F953" s="1"/>
  <c r="F954" s="1"/>
  <c r="F955" s="1"/>
  <c r="F956" s="1"/>
  <c r="F957" s="1"/>
  <c r="F958" s="1"/>
  <c r="F959" s="1"/>
  <c r="F960" s="1"/>
  <c r="G946"/>
  <c r="G947" s="1"/>
  <c r="G948" s="1"/>
  <c r="G949" s="1"/>
  <c r="G950" s="1"/>
  <c r="G951" s="1"/>
  <c r="G952" s="1"/>
  <c r="G953" s="1"/>
  <c r="G954" s="1"/>
  <c r="G955" s="1"/>
  <c r="G956" s="1"/>
  <c r="G957" s="1"/>
  <c r="G958" s="1"/>
  <c r="G959" s="1"/>
  <c r="G960" s="1"/>
  <c r="H897"/>
  <c r="W897"/>
  <c r="B897"/>
  <c r="H889"/>
  <c r="W889"/>
  <c r="B889"/>
  <c r="I889"/>
  <c r="H885"/>
  <c r="I885"/>
  <c r="B839"/>
  <c r="H839"/>
  <c r="I839"/>
  <c r="H824"/>
  <c r="B824"/>
  <c r="W824"/>
  <c r="I824"/>
  <c r="H821"/>
  <c r="W821"/>
  <c r="I821"/>
  <c r="H805"/>
  <c r="B805"/>
  <c r="D800"/>
  <c r="W733"/>
  <c r="B733"/>
  <c r="I733"/>
  <c r="B692"/>
  <c r="H692"/>
  <c r="H671"/>
  <c r="B671"/>
  <c r="I664"/>
  <c r="B664"/>
  <c r="H664"/>
  <c r="W664"/>
  <c r="B651"/>
  <c r="H651"/>
  <c r="I651"/>
  <c r="W617"/>
  <c r="I617"/>
  <c r="B617"/>
  <c r="B597"/>
  <c r="H597"/>
  <c r="W597"/>
  <c r="I753"/>
  <c r="B769"/>
  <c r="B914"/>
  <c r="W966"/>
  <c r="W1150"/>
  <c r="H1212"/>
  <c r="B1034"/>
  <c r="I1050"/>
  <c r="W1062"/>
  <c r="I1070"/>
  <c r="H1146"/>
  <c r="H1135"/>
  <c r="F1143"/>
  <c r="F1144" s="1"/>
  <c r="G994"/>
  <c r="G995" s="1"/>
  <c r="B885"/>
  <c r="B813"/>
  <c r="B605"/>
  <c r="I671"/>
  <c r="W1320"/>
  <c r="H1320"/>
  <c r="F753"/>
  <c r="F754" s="1"/>
  <c r="F755" s="1"/>
  <c r="F756" s="1"/>
  <c r="F757" s="1"/>
  <c r="F758" s="1"/>
  <c r="F759" s="1"/>
  <c r="F760" s="1"/>
  <c r="F761" s="1"/>
  <c r="F762" s="1"/>
  <c r="F763" s="1"/>
  <c r="F764" s="1"/>
  <c r="G801"/>
  <c r="G802" s="1"/>
  <c r="G803" s="1"/>
  <c r="G804" s="1"/>
  <c r="G805" s="1"/>
  <c r="G806" s="1"/>
  <c r="G807" s="1"/>
  <c r="G808" s="1"/>
  <c r="G809" s="1"/>
  <c r="G810" s="1"/>
  <c r="G811" s="1"/>
  <c r="G812" s="1"/>
  <c r="G813" s="1"/>
  <c r="G814" s="1"/>
  <c r="G815" s="1"/>
  <c r="G816" s="1"/>
  <c r="W757"/>
  <c r="I757"/>
  <c r="I805"/>
  <c r="I809"/>
  <c r="W801"/>
  <c r="E1096"/>
  <c r="E1097" s="1"/>
  <c r="E1098" s="1"/>
  <c r="E1099" s="1"/>
  <c r="E1100" s="1"/>
  <c r="E1101" s="1"/>
  <c r="E1102" s="1"/>
  <c r="E1103" s="1"/>
  <c r="E1104" s="1"/>
  <c r="E1105" s="1"/>
  <c r="E1106" s="1"/>
  <c r="E1107" s="1"/>
  <c r="E1108" s="1"/>
  <c r="E1109" s="1"/>
  <c r="E1110" s="1"/>
  <c r="E1111" s="1"/>
  <c r="W914"/>
  <c r="B962"/>
  <c r="I966"/>
  <c r="W970"/>
  <c r="G1096"/>
  <c r="G1097" s="1"/>
  <c r="G1098" s="1"/>
  <c r="G1099" s="1"/>
  <c r="G1100" s="1"/>
  <c r="G1101" s="1"/>
  <c r="G1102" s="1"/>
  <c r="G1103" s="1"/>
  <c r="G1104" s="1"/>
  <c r="G1105" s="1"/>
  <c r="G1106" s="1"/>
  <c r="G1107" s="1"/>
  <c r="G1108" s="1"/>
  <c r="G1109" s="1"/>
  <c r="G1110" s="1"/>
  <c r="G1111" s="1"/>
  <c r="I1419"/>
  <c r="W1096"/>
  <c r="W1076"/>
  <c r="B910"/>
  <c r="H1100"/>
  <c r="I1113"/>
  <c r="W1291"/>
  <c r="B1135"/>
  <c r="B1062"/>
  <c r="H1046"/>
  <c r="I1108"/>
  <c r="I1146"/>
  <c r="I1360"/>
  <c r="H1070"/>
  <c r="B1030"/>
  <c r="W1034"/>
  <c r="I1046"/>
  <c r="I1058"/>
  <c r="I1062"/>
  <c r="B1066"/>
  <c r="W1113"/>
  <c r="W1154"/>
  <c r="W1135"/>
  <c r="I1143"/>
  <c r="I1203"/>
  <c r="H1283"/>
  <c r="H1096"/>
  <c r="I1096"/>
  <c r="I977"/>
  <c r="I954"/>
  <c r="I946"/>
  <c r="I981"/>
  <c r="W1158"/>
  <c r="I761"/>
  <c r="I1235"/>
  <c r="H1314"/>
  <c r="B1229"/>
  <c r="I1252"/>
  <c r="I1278"/>
  <c r="E946"/>
  <c r="E947" s="1"/>
  <c r="E948" s="1"/>
  <c r="E949" s="1"/>
  <c r="E950" s="1"/>
  <c r="E951" s="1"/>
  <c r="E952" s="1"/>
  <c r="E953" s="1"/>
  <c r="E954" s="1"/>
  <c r="E955" s="1"/>
  <c r="E956" s="1"/>
  <c r="E957" s="1"/>
  <c r="E958" s="1"/>
  <c r="E959" s="1"/>
  <c r="E960" s="1"/>
  <c r="H601"/>
  <c r="H617"/>
  <c r="W761"/>
  <c r="I854"/>
  <c r="W721"/>
  <c r="W719"/>
  <c r="I597"/>
  <c r="I1216"/>
  <c r="W1216"/>
  <c r="B1212"/>
  <c r="W1212"/>
  <c r="B1104"/>
  <c r="H1104"/>
  <c r="W1042"/>
  <c r="I1042"/>
  <c r="B1025"/>
  <c r="W1025"/>
  <c r="I1025"/>
  <c r="H1025"/>
  <c r="I994"/>
  <c r="B994"/>
  <c r="D945"/>
  <c r="B843"/>
  <c r="I843"/>
  <c r="W843"/>
  <c r="H829"/>
  <c r="I829"/>
  <c r="W829"/>
  <c r="W741"/>
  <c r="I741"/>
  <c r="B741"/>
  <c r="W737"/>
  <c r="H737"/>
  <c r="I737"/>
  <c r="W725"/>
  <c r="B725"/>
  <c r="H725"/>
  <c r="I725"/>
  <c r="F721"/>
  <c r="F722" s="1"/>
  <c r="F723" s="1"/>
  <c r="F724" s="1"/>
  <c r="F725" s="1"/>
  <c r="F726" s="1"/>
  <c r="F727" s="1"/>
  <c r="F728" s="1"/>
  <c r="F729" s="1"/>
  <c r="F730" s="1"/>
  <c r="F731" s="1"/>
  <c r="F732" s="1"/>
  <c r="F733" s="1"/>
  <c r="F734" s="1"/>
  <c r="F735" s="1"/>
  <c r="G721"/>
  <c r="G722" s="1"/>
  <c r="G723" s="1"/>
  <c r="G724" s="1"/>
  <c r="G725" s="1"/>
  <c r="G726" s="1"/>
  <c r="G727" s="1"/>
  <c r="G728" s="1"/>
  <c r="G729" s="1"/>
  <c r="G730" s="1"/>
  <c r="G731" s="1"/>
  <c r="G732" s="1"/>
  <c r="G733" s="1"/>
  <c r="G734" s="1"/>
  <c r="G735" s="1"/>
  <c r="H714"/>
  <c r="I714"/>
  <c r="B714"/>
  <c r="W714"/>
  <c r="F714"/>
  <c r="F715" s="1"/>
  <c r="F716" s="1"/>
  <c r="H696"/>
  <c r="I696"/>
  <c r="W696"/>
  <c r="B683"/>
  <c r="I683"/>
  <c r="B656"/>
  <c r="H656"/>
  <c r="I656"/>
  <c r="G829"/>
  <c r="G830" s="1"/>
  <c r="I970"/>
  <c r="H981"/>
  <c r="W885"/>
  <c r="I1224"/>
  <c r="W692"/>
  <c r="W651"/>
  <c r="E753"/>
  <c r="E754" s="1"/>
  <c r="E755" s="1"/>
  <c r="E756" s="1"/>
  <c r="E757" s="1"/>
  <c r="E758" s="1"/>
  <c r="E759" s="1"/>
  <c r="E760" s="1"/>
  <c r="E761" s="1"/>
  <c r="E762" s="1"/>
  <c r="E763" s="1"/>
  <c r="E764" s="1"/>
  <c r="E829"/>
  <c r="E830" s="1"/>
  <c r="W813"/>
  <c r="B757"/>
  <c r="I774"/>
  <c r="W753"/>
  <c r="B922"/>
  <c r="I962"/>
  <c r="B1038"/>
  <c r="B1320"/>
  <c r="H1058"/>
  <c r="H1108"/>
  <c r="H1113"/>
  <c r="F1208"/>
  <c r="F1209" s="1"/>
  <c r="F1210" s="1"/>
  <c r="F1211" s="1"/>
  <c r="F1212" s="1"/>
  <c r="F1213" s="1"/>
  <c r="F1214" s="1"/>
  <c r="F1215" s="1"/>
  <c r="F1216" s="1"/>
  <c r="F1217" s="1"/>
  <c r="F1218" s="1"/>
  <c r="F1219" s="1"/>
  <c r="F1220" s="1"/>
  <c r="F1221" s="1"/>
  <c r="F1222" s="1"/>
  <c r="H1143"/>
  <c r="I1200"/>
  <c r="B1191"/>
  <c r="H1030"/>
  <c r="W1038"/>
  <c r="G1208"/>
  <c r="G1209" s="1"/>
  <c r="G1210" s="1"/>
  <c r="G1211" s="1"/>
  <c r="G1212" s="1"/>
  <c r="G1213" s="1"/>
  <c r="G1214" s="1"/>
  <c r="G1215" s="1"/>
  <c r="G1216" s="1"/>
  <c r="G1217" s="1"/>
  <c r="G1218" s="1"/>
  <c r="G1219" s="1"/>
  <c r="G1220" s="1"/>
  <c r="G1221" s="1"/>
  <c r="G1222" s="1"/>
  <c r="W671"/>
  <c r="F1146"/>
  <c r="F1147" s="1"/>
  <c r="F1148" s="1"/>
  <c r="F1149" s="1"/>
  <c r="F1150" s="1"/>
  <c r="F1151" s="1"/>
  <c r="F1152" s="1"/>
  <c r="F1153" s="1"/>
  <c r="F1154" s="1"/>
  <c r="F1155" s="1"/>
  <c r="F1156" s="1"/>
  <c r="B954"/>
  <c r="H1042"/>
  <c r="H946"/>
  <c r="W954"/>
  <c r="B1018"/>
  <c r="I985"/>
  <c r="B1216"/>
  <c r="H609"/>
  <c r="W656"/>
  <c r="I692"/>
  <c r="H733"/>
  <c r="B729"/>
  <c r="H854"/>
  <c r="B893"/>
  <c r="W683"/>
  <c r="W593"/>
  <c r="H593"/>
  <c r="B589"/>
  <c r="I589"/>
  <c r="W589"/>
  <c r="H589"/>
  <c r="B585"/>
  <c r="W585"/>
  <c r="I581"/>
  <c r="W581"/>
  <c r="B560"/>
  <c r="H560"/>
  <c r="B552"/>
  <c r="I552"/>
  <c r="H547"/>
  <c r="I547"/>
  <c r="H543"/>
  <c r="W543"/>
  <c r="W539"/>
  <c r="H539"/>
  <c r="I539"/>
  <c r="B535"/>
  <c r="H535"/>
  <c r="W531"/>
  <c r="H531"/>
  <c r="I531"/>
  <c r="W529"/>
  <c r="I529"/>
  <c r="W521"/>
  <c r="I521"/>
  <c r="W516"/>
  <c r="H516"/>
  <c r="I511"/>
  <c r="W511"/>
  <c r="B504"/>
  <c r="I504"/>
  <c r="W504"/>
  <c r="B500"/>
  <c r="W500"/>
  <c r="H500"/>
  <c r="B496"/>
  <c r="W496"/>
  <c r="B375"/>
  <c r="H375"/>
  <c r="I371"/>
  <c r="W371"/>
  <c r="B1122"/>
  <c r="H1122"/>
  <c r="I362"/>
  <c r="H362"/>
  <c r="W362"/>
  <c r="H585"/>
  <c r="H496"/>
  <c r="I593"/>
  <c r="B521"/>
  <c r="H529"/>
  <c r="B581"/>
  <c r="I535"/>
  <c r="I496"/>
  <c r="I543"/>
  <c r="B516"/>
  <c r="B539"/>
  <c r="B529"/>
  <c r="W552"/>
  <c r="I1489"/>
  <c r="W1456"/>
  <c r="B1468"/>
  <c r="W1477"/>
  <c r="W1489"/>
  <c r="I1417"/>
  <c r="B1444"/>
  <c r="I1456"/>
  <c r="H1477"/>
  <c r="I1481"/>
  <c r="H1468"/>
  <c r="H1489"/>
  <c r="I1444"/>
  <c r="I1485"/>
  <c r="B1452"/>
  <c r="I1460"/>
  <c r="I1473"/>
  <c r="B1485"/>
  <c r="E1419"/>
  <c r="E1420" s="1"/>
  <c r="E1421" s="1"/>
  <c r="E1422" s="1"/>
  <c r="I1483"/>
  <c r="W1479"/>
  <c r="W1487"/>
  <c r="I1479"/>
  <c r="H1351"/>
  <c r="H1318"/>
  <c r="F1305"/>
  <c r="F1306" s="1"/>
  <c r="F1307" s="1"/>
  <c r="F1308" s="1"/>
  <c r="F1309" s="1"/>
  <c r="F1310" s="1"/>
  <c r="F1311" s="1"/>
  <c r="F1312" s="1"/>
  <c r="F1313" s="1"/>
  <c r="F1314" s="1"/>
  <c r="F1315" s="1"/>
  <c r="G1473"/>
  <c r="G1474" s="1"/>
  <c r="G1475" s="1"/>
  <c r="G1476" s="1"/>
  <c r="G1477" s="1"/>
  <c r="G1478" s="1"/>
  <c r="G1479" s="1"/>
  <c r="G1480" s="1"/>
  <c r="G1481" s="1"/>
  <c r="G1482" s="1"/>
  <c r="G1483" s="1"/>
  <c r="F581"/>
  <c r="F582" s="1"/>
  <c r="F583" s="1"/>
  <c r="F584" s="1"/>
  <c r="F585" s="1"/>
  <c r="F586" s="1"/>
  <c r="F587" s="1"/>
  <c r="F588" s="1"/>
  <c r="F589" s="1"/>
  <c r="F590" s="1"/>
  <c r="F591" s="1"/>
  <c r="F592" s="1"/>
  <c r="F593" s="1"/>
  <c r="F594" s="1"/>
  <c r="F595" s="1"/>
  <c r="G651"/>
  <c r="G652" s="1"/>
  <c r="E705"/>
  <c r="E706" s="1"/>
  <c r="Y1146"/>
  <c r="O1146" s="1"/>
  <c r="H1486"/>
  <c r="B1486"/>
  <c r="W1486"/>
  <c r="B1465"/>
  <c r="W1465"/>
  <c r="I1465"/>
  <c r="H1465"/>
  <c r="B1461"/>
  <c r="H1461"/>
  <c r="W1461"/>
  <c r="B1457"/>
  <c r="I1457"/>
  <c r="W1457"/>
  <c r="H1457"/>
  <c r="I1386"/>
  <c r="W1386"/>
  <c r="H1386"/>
  <c r="I1382"/>
  <c r="H1382"/>
  <c r="W1382"/>
  <c r="B1382"/>
  <c r="I1374"/>
  <c r="W1374"/>
  <c r="H1374"/>
  <c r="W1368"/>
  <c r="H1368"/>
  <c r="I1368"/>
  <c r="W1354"/>
  <c r="B1354"/>
  <c r="I1354"/>
  <c r="G1255"/>
  <c r="G1256" s="1"/>
  <c r="B1242"/>
  <c r="I1242"/>
  <c r="W1242"/>
  <c r="H1242"/>
  <c r="I1232"/>
  <c r="B1232"/>
  <c r="E1203"/>
  <c r="E1204" s="1"/>
  <c r="E1205" s="1"/>
  <c r="G1203"/>
  <c r="G1204" s="1"/>
  <c r="G1205" s="1"/>
  <c r="H1199"/>
  <c r="I1199"/>
  <c r="W1199"/>
  <c r="B1187"/>
  <c r="I1187"/>
  <c r="H1187"/>
  <c r="W1187"/>
  <c r="W1134"/>
  <c r="B1134"/>
  <c r="H1134"/>
  <c r="I1131"/>
  <c r="B1131"/>
  <c r="W1131"/>
  <c r="B1161"/>
  <c r="H1161"/>
  <c r="I1075"/>
  <c r="B1075"/>
  <c r="G1075"/>
  <c r="G1076" s="1"/>
  <c r="I1061"/>
  <c r="W1061"/>
  <c r="I1057"/>
  <c r="H1057"/>
  <c r="W1057"/>
  <c r="B992"/>
  <c r="W992"/>
  <c r="B988"/>
  <c r="I988"/>
  <c r="H988"/>
  <c r="H984"/>
  <c r="W984"/>
  <c r="W980"/>
  <c r="H980"/>
  <c r="I969"/>
  <c r="W969"/>
  <c r="H969"/>
  <c r="I953"/>
  <c r="W953"/>
  <c r="H953"/>
  <c r="H900"/>
  <c r="B900"/>
  <c r="I900"/>
  <c r="B816"/>
  <c r="I816"/>
  <c r="B808"/>
  <c r="I808"/>
  <c r="H808"/>
  <c r="Y664"/>
  <c r="L664" s="1"/>
  <c r="W1232"/>
  <c r="B1199"/>
  <c r="I1486"/>
  <c r="P141" i="26"/>
  <c r="O141"/>
  <c r="Y648" i="12"/>
  <c r="P648" s="1"/>
  <c r="Y373"/>
  <c r="R373" s="1"/>
  <c r="T373" s="1"/>
  <c r="U373" s="1"/>
  <c r="R2860"/>
  <c r="P2860"/>
  <c r="L2860"/>
  <c r="I1482"/>
  <c r="B1482"/>
  <c r="W1482"/>
  <c r="H1482"/>
  <c r="I1474"/>
  <c r="B1474"/>
  <c r="W1474"/>
  <c r="H1474"/>
  <c r="I1469"/>
  <c r="H1469"/>
  <c r="B1469"/>
  <c r="H1445"/>
  <c r="I1445"/>
  <c r="W1445"/>
  <c r="H1350"/>
  <c r="I1350"/>
  <c r="W1350"/>
  <c r="B1350"/>
  <c r="H1346"/>
  <c r="B1346"/>
  <c r="I1346"/>
  <c r="H1322"/>
  <c r="W1322"/>
  <c r="B1322"/>
  <c r="I1309"/>
  <c r="B1309"/>
  <c r="H1309"/>
  <c r="B1298"/>
  <c r="W1298"/>
  <c r="H1298"/>
  <c r="H1289"/>
  <c r="I1289"/>
  <c r="W1289"/>
  <c r="B1285"/>
  <c r="W1285"/>
  <c r="H1285"/>
  <c r="I1285"/>
  <c r="W1255"/>
  <c r="I1255"/>
  <c r="B1255"/>
  <c r="W1238"/>
  <c r="B1238"/>
  <c r="H1238"/>
  <c r="F1232"/>
  <c r="F1233" s="1"/>
  <c r="E1232"/>
  <c r="E1233" s="1"/>
  <c r="G1232"/>
  <c r="G1233" s="1"/>
  <c r="I1228"/>
  <c r="B1228"/>
  <c r="H1215"/>
  <c r="W1215"/>
  <c r="I1215"/>
  <c r="B1190"/>
  <c r="H1190"/>
  <c r="I1190"/>
  <c r="W1190"/>
  <c r="I1141"/>
  <c r="H1141"/>
  <c r="W1141"/>
  <c r="W1116"/>
  <c r="H1116"/>
  <c r="B1103"/>
  <c r="I1103"/>
  <c r="H1103"/>
  <c r="F1057"/>
  <c r="F1058" s="1"/>
  <c r="F1059" s="1"/>
  <c r="F1060" s="1"/>
  <c r="F1061" s="1"/>
  <c r="F1062" s="1"/>
  <c r="F1063" s="1"/>
  <c r="F1064" s="1"/>
  <c r="F1065" s="1"/>
  <c r="F1066" s="1"/>
  <c r="G1057"/>
  <c r="G1058" s="1"/>
  <c r="G1059" s="1"/>
  <c r="G1060" s="1"/>
  <c r="G1061" s="1"/>
  <c r="G1062" s="1"/>
  <c r="G1063" s="1"/>
  <c r="G1064" s="1"/>
  <c r="G1065" s="1"/>
  <c r="G1066" s="1"/>
  <c r="I1055"/>
  <c r="W1055"/>
  <c r="I1045"/>
  <c r="W1045"/>
  <c r="I1041"/>
  <c r="W1041"/>
  <c r="I1037"/>
  <c r="W1037"/>
  <c r="I1029"/>
  <c r="W1029"/>
  <c r="I1024"/>
  <c r="H1024"/>
  <c r="B1024"/>
  <c r="W1024"/>
  <c r="B913"/>
  <c r="H913"/>
  <c r="W909"/>
  <c r="I909"/>
  <c r="H904"/>
  <c r="I904"/>
  <c r="I892"/>
  <c r="H892"/>
  <c r="B892"/>
  <c r="I888"/>
  <c r="H888"/>
  <c r="B846"/>
  <c r="H846"/>
  <c r="H842"/>
  <c r="W842"/>
  <c r="B834"/>
  <c r="W834"/>
  <c r="H834"/>
  <c r="I834"/>
  <c r="B820"/>
  <c r="W820"/>
  <c r="H820"/>
  <c r="B812"/>
  <c r="W812"/>
  <c r="W756"/>
  <c r="H756"/>
  <c r="I756"/>
  <c r="B756"/>
  <c r="B745"/>
  <c r="I745"/>
  <c r="H724"/>
  <c r="I724"/>
  <c r="B724"/>
  <c r="W724"/>
  <c r="Y651"/>
  <c r="R651" s="1"/>
  <c r="T651" s="1"/>
  <c r="U651" s="1"/>
  <c r="G1305"/>
  <c r="G1306" s="1"/>
  <c r="G1307" s="1"/>
  <c r="G1308" s="1"/>
  <c r="G1309" s="1"/>
  <c r="G1310" s="1"/>
  <c r="G1311" s="1"/>
  <c r="G1312" s="1"/>
  <c r="G1313" s="1"/>
  <c r="G1314" s="1"/>
  <c r="G1315" s="1"/>
  <c r="H1354"/>
  <c r="B1386"/>
  <c r="H1232"/>
  <c r="E1305"/>
  <c r="E1306" s="1"/>
  <c r="E1307" s="1"/>
  <c r="E1308" s="1"/>
  <c r="E1309" s="1"/>
  <c r="E1310" s="1"/>
  <c r="E1311" s="1"/>
  <c r="E1312" s="1"/>
  <c r="E1313" s="1"/>
  <c r="E1314" s="1"/>
  <c r="E1315" s="1"/>
  <c r="I1298"/>
  <c r="W917"/>
  <c r="W1228"/>
  <c r="I1461"/>
  <c r="H745"/>
  <c r="I1478"/>
  <c r="H1478"/>
  <c r="W1478"/>
  <c r="I1453"/>
  <c r="W1453"/>
  <c r="B1453"/>
  <c r="B1449"/>
  <c r="H1449"/>
  <c r="I1449"/>
  <c r="W1449"/>
  <c r="H1446"/>
  <c r="B1446"/>
  <c r="I1446"/>
  <c r="W1446"/>
  <c r="I1378"/>
  <c r="B1378"/>
  <c r="H1378"/>
  <c r="I1363"/>
  <c r="W1363"/>
  <c r="H1363"/>
  <c r="W1358"/>
  <c r="B1358"/>
  <c r="H1358"/>
  <c r="G1346"/>
  <c r="G1347" s="1"/>
  <c r="G1348" s="1"/>
  <c r="G1349" s="1"/>
  <c r="G1350" s="1"/>
  <c r="G1351" s="1"/>
  <c r="G1352" s="1"/>
  <c r="G1353" s="1"/>
  <c r="G1354" s="1"/>
  <c r="G1355" s="1"/>
  <c r="G1356" s="1"/>
  <c r="G1357" s="1"/>
  <c r="G1358" s="1"/>
  <c r="G1359" s="1"/>
  <c r="G1360" s="1"/>
  <c r="G1361" s="1"/>
  <c r="E1346"/>
  <c r="E1347" s="1"/>
  <c r="E1348" s="1"/>
  <c r="E1349" s="1"/>
  <c r="E1350" s="1"/>
  <c r="E1351" s="1"/>
  <c r="E1352" s="1"/>
  <c r="E1353" s="1"/>
  <c r="E1354" s="1"/>
  <c r="E1355" s="1"/>
  <c r="E1356" s="1"/>
  <c r="E1357" s="1"/>
  <c r="E1358" s="1"/>
  <c r="E1359" s="1"/>
  <c r="E1360" s="1"/>
  <c r="E1361" s="1"/>
  <c r="F1346"/>
  <c r="F1347" s="1"/>
  <c r="F1348" s="1"/>
  <c r="F1349" s="1"/>
  <c r="F1350" s="1"/>
  <c r="F1351" s="1"/>
  <c r="F1352" s="1"/>
  <c r="F1353" s="1"/>
  <c r="F1354" s="1"/>
  <c r="F1355" s="1"/>
  <c r="F1356" s="1"/>
  <c r="F1357" s="1"/>
  <c r="F1358" s="1"/>
  <c r="F1359" s="1"/>
  <c r="F1360" s="1"/>
  <c r="F1361" s="1"/>
  <c r="I1317"/>
  <c r="B1317"/>
  <c r="H1317"/>
  <c r="W1313"/>
  <c r="I1313"/>
  <c r="B1313"/>
  <c r="W1305"/>
  <c r="B1305"/>
  <c r="I1305"/>
  <c r="H1302"/>
  <c r="B1302"/>
  <c r="W1302"/>
  <c r="I1281"/>
  <c r="W1281"/>
  <c r="B1281"/>
  <c r="I1251"/>
  <c r="W1251"/>
  <c r="H1251"/>
  <c r="W1219"/>
  <c r="I1219"/>
  <c r="B1219"/>
  <c r="H1219"/>
  <c r="W1211"/>
  <c r="B1211"/>
  <c r="I1211"/>
  <c r="B1153"/>
  <c r="W1153"/>
  <c r="H1153"/>
  <c r="I1149"/>
  <c r="W1149"/>
  <c r="H1149"/>
  <c r="B1149"/>
  <c r="W1107"/>
  <c r="H1107"/>
  <c r="I1107"/>
  <c r="B1107"/>
  <c r="H1099"/>
  <c r="W1099"/>
  <c r="I1099"/>
  <c r="H1069"/>
  <c r="I1069"/>
  <c r="I1065"/>
  <c r="W1065"/>
  <c r="I1049"/>
  <c r="W1049"/>
  <c r="I1033"/>
  <c r="W1033"/>
  <c r="I1017"/>
  <c r="W1017"/>
  <c r="W976"/>
  <c r="H976"/>
  <c r="I957"/>
  <c r="W957"/>
  <c r="H957"/>
  <c r="I949"/>
  <c r="W949"/>
  <c r="H949"/>
  <c r="H850"/>
  <c r="B850"/>
  <c r="W850"/>
  <c r="B838"/>
  <c r="I838"/>
  <c r="H838"/>
  <c r="W838"/>
  <c r="W827"/>
  <c r="B827"/>
  <c r="B804"/>
  <c r="H804"/>
  <c r="W804"/>
  <c r="I773"/>
  <c r="W773"/>
  <c r="H760"/>
  <c r="W760"/>
  <c r="I760"/>
  <c r="B760"/>
  <c r="H739"/>
  <c r="I739"/>
  <c r="B739"/>
  <c r="W739"/>
  <c r="I732"/>
  <c r="H732"/>
  <c r="B732"/>
  <c r="W732"/>
  <c r="I728"/>
  <c r="W728"/>
  <c r="H728"/>
  <c r="B728"/>
  <c r="Y581"/>
  <c r="L581" s="1"/>
  <c r="Y46"/>
  <c r="P46" s="1"/>
  <c r="P121" i="26"/>
  <c r="T121" s="1"/>
  <c r="O121"/>
  <c r="Y1244" i="12"/>
  <c r="L1244" s="1"/>
  <c r="B1374"/>
  <c r="W1069"/>
  <c r="E1255"/>
  <c r="E1256" s="1"/>
  <c r="H1305"/>
  <c r="I1322"/>
  <c r="B1368"/>
  <c r="H965"/>
  <c r="W1103"/>
  <c r="B1116"/>
  <c r="F1203"/>
  <c r="F1204" s="1"/>
  <c r="F1205" s="1"/>
  <c r="H1281"/>
  <c r="B1445"/>
  <c r="W1469"/>
  <c r="I1161"/>
  <c r="B1099"/>
  <c r="I850"/>
  <c r="P439" i="26"/>
  <c r="O439"/>
  <c r="B695" i="12"/>
  <c r="W695"/>
  <c r="H695"/>
  <c r="I695"/>
  <c r="I670"/>
  <c r="W670"/>
  <c r="B670"/>
  <c r="H670"/>
  <c r="W646"/>
  <c r="B646"/>
  <c r="I646"/>
  <c r="H646"/>
  <c r="H616"/>
  <c r="I616"/>
  <c r="W616"/>
  <c r="B616"/>
  <c r="I608"/>
  <c r="H608"/>
  <c r="W608"/>
  <c r="B608"/>
  <c r="H604"/>
  <c r="G604"/>
  <c r="G605" s="1"/>
  <c r="G606" s="1"/>
  <c r="G607" s="1"/>
  <c r="G608" s="1"/>
  <c r="G609" s="1"/>
  <c r="G610" s="1"/>
  <c r="G611" s="1"/>
  <c r="G612" s="1"/>
  <c r="G613" s="1"/>
  <c r="G614" s="1"/>
  <c r="I604"/>
  <c r="B604"/>
  <c r="W604"/>
  <c r="B584"/>
  <c r="H584"/>
  <c r="I584"/>
  <c r="B559"/>
  <c r="H559"/>
  <c r="W559"/>
  <c r="I559"/>
  <c r="B551"/>
  <c r="W551"/>
  <c r="I551"/>
  <c r="I538"/>
  <c r="H538"/>
  <c r="W538"/>
  <c r="B538"/>
  <c r="H515"/>
  <c r="W515"/>
  <c r="I515"/>
  <c r="B515"/>
  <c r="B499"/>
  <c r="I499"/>
  <c r="W499"/>
  <c r="H499"/>
  <c r="I386"/>
  <c r="W386"/>
  <c r="B386"/>
  <c r="B382"/>
  <c r="W382"/>
  <c r="H382"/>
  <c r="B378"/>
  <c r="I378"/>
  <c r="W378"/>
  <c r="E1121"/>
  <c r="E1122" s="1"/>
  <c r="E1123" s="1"/>
  <c r="G1121"/>
  <c r="G1122" s="1"/>
  <c r="G1123" s="1"/>
  <c r="W357"/>
  <c r="I357"/>
  <c r="B357"/>
  <c r="I353"/>
  <c r="B353"/>
  <c r="W353"/>
  <c r="H353"/>
  <c r="W703"/>
  <c r="H703"/>
  <c r="B703"/>
  <c r="I703"/>
  <c r="B248"/>
  <c r="W248"/>
  <c r="H248"/>
  <c r="I248"/>
  <c r="B240"/>
  <c r="W240"/>
  <c r="B236"/>
  <c r="W236"/>
  <c r="I236"/>
  <c r="H236"/>
  <c r="B232"/>
  <c r="W232"/>
  <c r="H232"/>
  <c r="I232"/>
  <c r="I228"/>
  <c r="W228"/>
  <c r="B228"/>
  <c r="H228"/>
  <c r="H220"/>
  <c r="I220"/>
  <c r="B220"/>
  <c r="I208"/>
  <c r="W208"/>
  <c r="H208"/>
  <c r="I168"/>
  <c r="H168"/>
  <c r="B168"/>
  <c r="I160"/>
  <c r="W160"/>
  <c r="B160"/>
  <c r="I152"/>
  <c r="H152"/>
  <c r="W152"/>
  <c r="I136"/>
  <c r="B136"/>
  <c r="H136"/>
  <c r="I131"/>
  <c r="W131"/>
  <c r="B131"/>
  <c r="H131"/>
  <c r="G113"/>
  <c r="G85" s="1"/>
  <c r="G86" s="1"/>
  <c r="G87" s="1"/>
  <c r="G88" s="1"/>
  <c r="G89" s="1"/>
  <c r="G90" s="1"/>
  <c r="G91" s="1"/>
  <c r="G92" s="1"/>
  <c r="G93" s="1"/>
  <c r="G94" s="1"/>
  <c r="G95" s="1"/>
  <c r="G96" s="1"/>
  <c r="F113"/>
  <c r="F85" s="1"/>
  <c r="F86" s="1"/>
  <c r="F87" s="1"/>
  <c r="F88" s="1"/>
  <c r="F89" s="1"/>
  <c r="F90" s="1"/>
  <c r="F91" s="1"/>
  <c r="F92" s="1"/>
  <c r="F93" s="1"/>
  <c r="F94" s="1"/>
  <c r="F95" s="1"/>
  <c r="F96" s="1"/>
  <c r="D113"/>
  <c r="D114" s="1"/>
  <c r="W67"/>
  <c r="H67"/>
  <c r="I67"/>
  <c r="W59"/>
  <c r="H59"/>
  <c r="B59"/>
  <c r="I59"/>
  <c r="I45"/>
  <c r="B45"/>
  <c r="W45"/>
  <c r="I42"/>
  <c r="H42"/>
  <c r="W42"/>
  <c r="B42"/>
  <c r="B25"/>
  <c r="I25"/>
  <c r="D10"/>
  <c r="G10"/>
  <c r="H10"/>
  <c r="F10"/>
  <c r="I10"/>
  <c r="C10"/>
  <c r="P480" i="26"/>
  <c r="O480"/>
  <c r="O452"/>
  <c r="P452"/>
  <c r="N452" s="1"/>
  <c r="T425"/>
  <c r="N425"/>
  <c r="Q425"/>
  <c r="P417"/>
  <c r="O417"/>
  <c r="O394"/>
  <c r="P394"/>
  <c r="I394" s="1"/>
  <c r="O340"/>
  <c r="P340"/>
  <c r="I340" s="1"/>
  <c r="O326"/>
  <c r="P326"/>
  <c r="Q326" s="1"/>
  <c r="T313"/>
  <c r="N313"/>
  <c r="Q313"/>
  <c r="O304"/>
  <c r="P304"/>
  <c r="T304" s="1"/>
  <c r="O268"/>
  <c r="P268"/>
  <c r="Q268" s="1"/>
  <c r="O217"/>
  <c r="P217"/>
  <c r="Q217" s="1"/>
  <c r="P202"/>
  <c r="O202"/>
  <c r="O174"/>
  <c r="P174"/>
  <c r="N174" s="1"/>
  <c r="O143"/>
  <c r="P143"/>
  <c r="I143" s="1"/>
  <c r="T137"/>
  <c r="Q137"/>
  <c r="N137"/>
  <c r="O122"/>
  <c r="P122"/>
  <c r="I122" s="1"/>
  <c r="O101"/>
  <c r="P101"/>
  <c r="I101" s="1"/>
  <c r="P76"/>
  <c r="O76"/>
  <c r="I63"/>
  <c r="N63"/>
  <c r="Q63"/>
  <c r="P32"/>
  <c r="Q32" s="1"/>
  <c r="O32"/>
  <c r="H1435" i="12"/>
  <c r="B1435"/>
  <c r="W1435"/>
  <c r="I1435"/>
  <c r="B1439"/>
  <c r="I1439"/>
  <c r="W1439"/>
  <c r="G438"/>
  <c r="G439" s="1"/>
  <c r="F438"/>
  <c r="F439" s="1"/>
  <c r="G718"/>
  <c r="G719" s="1"/>
  <c r="H691"/>
  <c r="W691"/>
  <c r="B691"/>
  <c r="W682"/>
  <c r="B682"/>
  <c r="H682"/>
  <c r="I682"/>
  <c r="B620"/>
  <c r="W620"/>
  <c r="I620"/>
  <c r="W612"/>
  <c r="H612"/>
  <c r="I612"/>
  <c r="B612"/>
  <c r="W588"/>
  <c r="H588"/>
  <c r="B588"/>
  <c r="I588"/>
  <c r="I546"/>
  <c r="H546"/>
  <c r="W546"/>
  <c r="B546"/>
  <c r="B534"/>
  <c r="I534"/>
  <c r="H534"/>
  <c r="W534"/>
  <c r="I528"/>
  <c r="W528"/>
  <c r="B528"/>
  <c r="H528"/>
  <c r="I520"/>
  <c r="H520"/>
  <c r="B520"/>
  <c r="W507"/>
  <c r="B507"/>
  <c r="H507"/>
  <c r="H503"/>
  <c r="W503"/>
  <c r="B503"/>
  <c r="L491"/>
  <c r="R491"/>
  <c r="I389"/>
  <c r="B389"/>
  <c r="W389"/>
  <c r="I361"/>
  <c r="B361"/>
  <c r="W361"/>
  <c r="H361"/>
  <c r="B349"/>
  <c r="H349"/>
  <c r="W349"/>
  <c r="I349"/>
  <c r="H345"/>
  <c r="W345"/>
  <c r="I345"/>
  <c r="B341"/>
  <c r="H341"/>
  <c r="W341"/>
  <c r="I341"/>
  <c r="H309"/>
  <c r="W309"/>
  <c r="I309"/>
  <c r="F294"/>
  <c r="F295" s="1"/>
  <c r="E294"/>
  <c r="E295" s="1"/>
  <c r="G294"/>
  <c r="G295" s="1"/>
  <c r="I279"/>
  <c r="B279"/>
  <c r="W279"/>
  <c r="I273"/>
  <c r="B273"/>
  <c r="H273"/>
  <c r="I470"/>
  <c r="H470"/>
  <c r="W470"/>
  <c r="B470"/>
  <c r="B443"/>
  <c r="W443"/>
  <c r="D202"/>
  <c r="G202"/>
  <c r="E202"/>
  <c r="F202"/>
  <c r="G152"/>
  <c r="G153" s="1"/>
  <c r="G154" s="1"/>
  <c r="G155" s="1"/>
  <c r="G156" s="1"/>
  <c r="G157" s="1"/>
  <c r="G158" s="1"/>
  <c r="G159" s="1"/>
  <c r="G160" s="1"/>
  <c r="G161" s="1"/>
  <c r="G162" s="1"/>
  <c r="G163" s="1"/>
  <c r="E152"/>
  <c r="E153" s="1"/>
  <c r="E154" s="1"/>
  <c r="E155" s="1"/>
  <c r="E156" s="1"/>
  <c r="E157" s="1"/>
  <c r="E158" s="1"/>
  <c r="E159" s="1"/>
  <c r="E160" s="1"/>
  <c r="E161" s="1"/>
  <c r="E162" s="1"/>
  <c r="E163" s="1"/>
  <c r="F152"/>
  <c r="F153" s="1"/>
  <c r="F154" s="1"/>
  <c r="F155" s="1"/>
  <c r="F156" s="1"/>
  <c r="F157" s="1"/>
  <c r="F158" s="1"/>
  <c r="F159" s="1"/>
  <c r="F160" s="1"/>
  <c r="F161" s="1"/>
  <c r="F162" s="1"/>
  <c r="F163" s="1"/>
  <c r="I127"/>
  <c r="B127"/>
  <c r="W127"/>
  <c r="H127"/>
  <c r="I123"/>
  <c r="W123"/>
  <c r="H123"/>
  <c r="B123"/>
  <c r="I119"/>
  <c r="B119"/>
  <c r="H119"/>
  <c r="W119"/>
  <c r="G115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E115"/>
  <c r="E116" s="1"/>
  <c r="E117" s="1"/>
  <c r="E118" s="1"/>
  <c r="E119" s="1"/>
  <c r="E120" s="1"/>
  <c r="E121" s="1"/>
  <c r="E122" s="1"/>
  <c r="E123" s="1"/>
  <c r="E124" s="1"/>
  <c r="E125" s="1"/>
  <c r="E126" s="1"/>
  <c r="E127" s="1"/>
  <c r="E128" s="1"/>
  <c r="E129" s="1"/>
  <c r="F115"/>
  <c r="F116" s="1"/>
  <c r="F117" s="1"/>
  <c r="F118" s="1"/>
  <c r="F119" s="1"/>
  <c r="F120" s="1"/>
  <c r="F121" s="1"/>
  <c r="F122" s="1"/>
  <c r="F123" s="1"/>
  <c r="F124" s="1"/>
  <c r="F125" s="1"/>
  <c r="F126" s="1"/>
  <c r="F127" s="1"/>
  <c r="F128" s="1"/>
  <c r="F129" s="1"/>
  <c r="H63"/>
  <c r="B63"/>
  <c r="I63"/>
  <c r="H55"/>
  <c r="B55"/>
  <c r="I55"/>
  <c r="W55"/>
  <c r="W35"/>
  <c r="I35"/>
  <c r="H35"/>
  <c r="W21"/>
  <c r="H21"/>
  <c r="W17"/>
  <c r="B17"/>
  <c r="H17"/>
  <c r="P474" i="26"/>
  <c r="Q474" s="1"/>
  <c r="O474"/>
  <c r="O470"/>
  <c r="P470"/>
  <c r="I470" s="1"/>
  <c r="P444"/>
  <c r="O444"/>
  <c r="O421"/>
  <c r="P421"/>
  <c r="I421" s="1"/>
  <c r="O406"/>
  <c r="P406"/>
  <c r="N406" s="1"/>
  <c r="O402"/>
  <c r="P402"/>
  <c r="T402" s="1"/>
  <c r="P398"/>
  <c r="O398"/>
  <c r="P389"/>
  <c r="O389"/>
  <c r="O346"/>
  <c r="P346"/>
  <c r="Q346" s="1"/>
  <c r="O300"/>
  <c r="P300"/>
  <c r="N300" s="1"/>
  <c r="I296"/>
  <c r="T296"/>
  <c r="N296"/>
  <c r="P274"/>
  <c r="T274" s="1"/>
  <c r="O274"/>
  <c r="I250"/>
  <c r="N250"/>
  <c r="P221"/>
  <c r="O221"/>
  <c r="P165"/>
  <c r="O165"/>
  <c r="O142"/>
  <c r="P142"/>
  <c r="Q142" s="1"/>
  <c r="H438" i="12"/>
  <c r="B438"/>
  <c r="I438"/>
  <c r="P77" i="26"/>
  <c r="N77" s="1"/>
  <c r="N334"/>
  <c r="W438" i="12"/>
  <c r="O36" i="26"/>
  <c r="P262"/>
  <c r="T262" s="1"/>
  <c r="B10" i="12"/>
  <c r="O385" i="26"/>
  <c r="O296"/>
  <c r="H160" i="12"/>
  <c r="H45"/>
  <c r="I1379"/>
  <c r="H1379"/>
  <c r="B1355"/>
  <c r="W1355"/>
  <c r="W1419"/>
  <c r="Y1449"/>
  <c r="P1449" s="1"/>
  <c r="N240" i="26"/>
  <c r="I1475" i="12"/>
  <c r="B1479"/>
  <c r="B1483"/>
  <c r="T161" i="26"/>
  <c r="N350"/>
  <c r="I334"/>
  <c r="A5" i="12"/>
  <c r="P207" i="26"/>
  <c r="I207" s="1"/>
  <c r="E718" i="12"/>
  <c r="E719" s="1"/>
  <c r="T169" i="26"/>
  <c r="Q296"/>
  <c r="Q250"/>
  <c r="O282"/>
  <c r="P147"/>
  <c r="I147" s="1"/>
  <c r="P356"/>
  <c r="N356" s="1"/>
  <c r="O313"/>
  <c r="P208"/>
  <c r="N208" s="1"/>
  <c r="O350"/>
  <c r="O63"/>
  <c r="B35" i="12"/>
  <c r="F205"/>
  <c r="I443"/>
  <c r="B208"/>
  <c r="W273"/>
  <c r="B67"/>
  <c r="H378"/>
  <c r="B309"/>
  <c r="I718"/>
  <c r="W718"/>
  <c r="H718"/>
  <c r="B718"/>
  <c r="B698"/>
  <c r="I698"/>
  <c r="H698"/>
  <c r="G685"/>
  <c r="G686" s="1"/>
  <c r="G687" s="1"/>
  <c r="W674"/>
  <c r="I674"/>
  <c r="H674"/>
  <c r="B674"/>
  <c r="W659"/>
  <c r="B659"/>
  <c r="H659"/>
  <c r="W655"/>
  <c r="H655"/>
  <c r="I655"/>
  <c r="H600"/>
  <c r="W600"/>
  <c r="I600"/>
  <c r="B600"/>
  <c r="H592"/>
  <c r="B592"/>
  <c r="I592"/>
  <c r="W592"/>
  <c r="H495"/>
  <c r="B495"/>
  <c r="W495"/>
  <c r="I495"/>
  <c r="B374"/>
  <c r="H374"/>
  <c r="W374"/>
  <c r="I374"/>
  <c r="B370"/>
  <c r="H370"/>
  <c r="W370"/>
  <c r="I1121"/>
  <c r="W1121"/>
  <c r="B1121"/>
  <c r="H1121"/>
  <c r="B294"/>
  <c r="I294"/>
  <c r="H294"/>
  <c r="W294"/>
  <c r="W285"/>
  <c r="B285"/>
  <c r="H285"/>
  <c r="I285"/>
  <c r="B244"/>
  <c r="I244"/>
  <c r="W244"/>
  <c r="I224"/>
  <c r="H224"/>
  <c r="I216"/>
  <c r="W216"/>
  <c r="B216"/>
  <c r="I212"/>
  <c r="W212"/>
  <c r="B212"/>
  <c r="H212"/>
  <c r="G205"/>
  <c r="I326"/>
  <c r="W326"/>
  <c r="B326"/>
  <c r="H326"/>
  <c r="I156"/>
  <c r="B156"/>
  <c r="H156"/>
  <c r="I115"/>
  <c r="B115"/>
  <c r="W115"/>
  <c r="H80"/>
  <c r="B80"/>
  <c r="W80"/>
  <c r="H71"/>
  <c r="B71"/>
  <c r="I71"/>
  <c r="W71"/>
  <c r="I50"/>
  <c r="B50"/>
  <c r="W50"/>
  <c r="H50"/>
  <c r="I29"/>
  <c r="H29"/>
  <c r="W29"/>
  <c r="B29"/>
  <c r="K13" i="11"/>
  <c r="N11" s="1"/>
  <c r="C13"/>
  <c r="J13" s="1"/>
  <c r="M11"/>
  <c r="O466" i="26"/>
  <c r="P466"/>
  <c r="N466" s="1"/>
  <c r="O429"/>
  <c r="P429"/>
  <c r="I429" s="1"/>
  <c r="O410"/>
  <c r="P410"/>
  <c r="T410" s="1"/>
  <c r="N385"/>
  <c r="Q385"/>
  <c r="O372"/>
  <c r="P372"/>
  <c r="I372" s="1"/>
  <c r="O368"/>
  <c r="P368"/>
  <c r="T368" s="1"/>
  <c r="P322"/>
  <c r="O322"/>
  <c r="O318"/>
  <c r="P318"/>
  <c r="N318" s="1"/>
  <c r="P309"/>
  <c r="O309"/>
  <c r="P278"/>
  <c r="O278"/>
  <c r="P198"/>
  <c r="N198" s="1"/>
  <c r="O198"/>
  <c r="P194"/>
  <c r="O194"/>
  <c r="O151"/>
  <c r="P151"/>
  <c r="N151" s="1"/>
  <c r="O123"/>
  <c r="P123"/>
  <c r="I123" s="1"/>
  <c r="O113"/>
  <c r="P113"/>
  <c r="T113" s="1"/>
  <c r="I96"/>
  <c r="T96"/>
  <c r="N96"/>
  <c r="Q96"/>
  <c r="P92"/>
  <c r="O92"/>
  <c r="O75"/>
  <c r="P75"/>
  <c r="Q75" s="1"/>
  <c r="O71"/>
  <c r="P71"/>
  <c r="N71" s="1"/>
  <c r="P58"/>
  <c r="O58"/>
  <c r="O54"/>
  <c r="P54"/>
  <c r="Q54" s="1"/>
  <c r="P15"/>
  <c r="Q15" s="1"/>
  <c r="O15"/>
  <c r="G1448" i="12"/>
  <c r="G1449" s="1"/>
  <c r="G1450" s="1"/>
  <c r="G1451" s="1"/>
  <c r="G1452" s="1"/>
  <c r="G1453" s="1"/>
  <c r="G1454" s="1"/>
  <c r="G1455" s="1"/>
  <c r="G1456" s="1"/>
  <c r="G1457" s="1"/>
  <c r="G1458" s="1"/>
  <c r="G1459" s="1"/>
  <c r="G1460" s="1"/>
  <c r="G1461" s="1"/>
  <c r="G1462" s="1"/>
  <c r="F1448"/>
  <c r="F1449" s="1"/>
  <c r="F1450" s="1"/>
  <c r="F1451" s="1"/>
  <c r="F1452" s="1"/>
  <c r="F1453" s="1"/>
  <c r="F1454" s="1"/>
  <c r="F1455" s="1"/>
  <c r="F1456" s="1"/>
  <c r="F1457" s="1"/>
  <c r="F1458" s="1"/>
  <c r="F1459" s="1"/>
  <c r="F1460" s="1"/>
  <c r="F1461" s="1"/>
  <c r="F1462" s="1"/>
  <c r="E1448"/>
  <c r="E1449" s="1"/>
  <c r="E1450" s="1"/>
  <c r="E1451" s="1"/>
  <c r="E1452" s="1"/>
  <c r="E1453" s="1"/>
  <c r="E1454" s="1"/>
  <c r="E1455" s="1"/>
  <c r="E1456" s="1"/>
  <c r="E1457" s="1"/>
  <c r="E1458" s="1"/>
  <c r="E1459" s="1"/>
  <c r="E1460" s="1"/>
  <c r="E1461" s="1"/>
  <c r="E1462" s="1"/>
  <c r="P287" i="26"/>
  <c r="N287" s="1"/>
  <c r="P380"/>
  <c r="T380" s="1"/>
  <c r="T385"/>
  <c r="I240"/>
  <c r="Q161"/>
  <c r="T350"/>
  <c r="O67"/>
  <c r="I691" i="12"/>
  <c r="Q169" i="26"/>
  <c r="P87"/>
  <c r="T87" s="1"/>
  <c r="O334"/>
  <c r="H25" i="12"/>
  <c r="W25"/>
  <c r="B224"/>
  <c r="H115"/>
  <c r="W136"/>
  <c r="H386"/>
  <c r="H709"/>
  <c r="W584"/>
  <c r="E1473"/>
  <c r="E1474" s="1"/>
  <c r="E1475" s="1"/>
  <c r="E1476" s="1"/>
  <c r="E1477" s="1"/>
  <c r="E1478" s="1"/>
  <c r="E1479" s="1"/>
  <c r="E1480" s="1"/>
  <c r="E1481" s="1"/>
  <c r="E1482" s="1"/>
  <c r="E1483" s="1"/>
  <c r="I1388"/>
  <c r="W1388"/>
  <c r="I1383"/>
  <c r="B1383"/>
  <c r="H1383"/>
  <c r="B1365"/>
  <c r="H1365"/>
  <c r="G1166"/>
  <c r="G1167" s="1"/>
  <c r="G1168" s="1"/>
  <c r="G1169" s="1"/>
  <c r="G1170" s="1"/>
  <c r="G1171" s="1"/>
  <c r="G1172" s="1"/>
  <c r="G1173" s="1"/>
  <c r="G1174" s="1"/>
  <c r="G1175" s="1"/>
  <c r="G1176" s="1"/>
  <c r="Y497"/>
  <c r="R497" s="1"/>
  <c r="T497" s="1"/>
  <c r="U497" s="1"/>
  <c r="Y1297"/>
  <c r="F1166"/>
  <c r="F1167" s="1"/>
  <c r="F1168" s="1"/>
  <c r="F1169" s="1"/>
  <c r="F1170" s="1"/>
  <c r="F1171" s="1"/>
  <c r="F1172" s="1"/>
  <c r="F1173" s="1"/>
  <c r="F1174" s="1"/>
  <c r="F1175" s="1"/>
  <c r="F1176" s="1"/>
  <c r="Y44"/>
  <c r="P44" s="1"/>
  <c r="B1419"/>
  <c r="T63" i="26"/>
  <c r="I350"/>
  <c r="P16"/>
  <c r="N16" s="1"/>
  <c r="P226"/>
  <c r="I226" s="1"/>
  <c r="P440"/>
  <c r="I440" s="1"/>
  <c r="T250"/>
  <c r="L11" i="11"/>
  <c r="F718" i="12"/>
  <c r="F719" s="1"/>
  <c r="P105" i="26"/>
  <c r="N105" s="1"/>
  <c r="I137"/>
  <c r="O137"/>
  <c r="O96"/>
  <c r="P448"/>
  <c r="T448" s="1"/>
  <c r="O250"/>
  <c r="P230"/>
  <c r="I230" s="1"/>
  <c r="O212"/>
  <c r="O240"/>
  <c r="I313"/>
  <c r="O161"/>
  <c r="W224" i="12"/>
  <c r="I21"/>
  <c r="E205"/>
  <c r="H443"/>
  <c r="I240"/>
  <c r="I503"/>
  <c r="H279"/>
  <c r="B655"/>
  <c r="E113"/>
  <c r="E85" s="1"/>
  <c r="E86" s="1"/>
  <c r="E87" s="1"/>
  <c r="E88" s="1"/>
  <c r="E89" s="1"/>
  <c r="E90" s="1"/>
  <c r="E91" s="1"/>
  <c r="E92" s="1"/>
  <c r="E93" s="1"/>
  <c r="E94" s="1"/>
  <c r="E95" s="1"/>
  <c r="E96" s="1"/>
  <c r="W63"/>
  <c r="B345"/>
  <c r="F1121"/>
  <c r="F1122" s="1"/>
  <c r="F1123" s="1"/>
  <c r="H1439"/>
  <c r="H551"/>
  <c r="B1314"/>
  <c r="I1314"/>
  <c r="B1310"/>
  <c r="I1310"/>
  <c r="B1306"/>
  <c r="H1306"/>
  <c r="H1299"/>
  <c r="W1299"/>
  <c r="H1294"/>
  <c r="I1294"/>
  <c r="W1294"/>
  <c r="H1290"/>
  <c r="I1290"/>
  <c r="W1290"/>
  <c r="H1286"/>
  <c r="B1286"/>
  <c r="I1286"/>
  <c r="W1286"/>
  <c r="H1282"/>
  <c r="W1282"/>
  <c r="I1282"/>
  <c r="H1278"/>
  <c r="B1278"/>
  <c r="E1278"/>
  <c r="E1279" s="1"/>
  <c r="E1280" s="1"/>
  <c r="E1281" s="1"/>
  <c r="E1282" s="1"/>
  <c r="E1283" s="1"/>
  <c r="E1284" s="1"/>
  <c r="E1285" s="1"/>
  <c r="E1286" s="1"/>
  <c r="E1287" s="1"/>
  <c r="E1288" s="1"/>
  <c r="E1289" s="1"/>
  <c r="E1290" s="1"/>
  <c r="E1291" s="1"/>
  <c r="E1292" s="1"/>
  <c r="F1278"/>
  <c r="F1279" s="1"/>
  <c r="F1280" s="1"/>
  <c r="F1281" s="1"/>
  <c r="F1282" s="1"/>
  <c r="F1283" s="1"/>
  <c r="F1284" s="1"/>
  <c r="F1285" s="1"/>
  <c r="F1286" s="1"/>
  <c r="F1287" s="1"/>
  <c r="F1288" s="1"/>
  <c r="F1289" s="1"/>
  <c r="F1290" s="1"/>
  <c r="F1291" s="1"/>
  <c r="F1292" s="1"/>
  <c r="B1256"/>
  <c r="W1256"/>
  <c r="I1256"/>
  <c r="I1247"/>
  <c r="H1247"/>
  <c r="I1243"/>
  <c r="H1243"/>
  <c r="B1243"/>
  <c r="H1239"/>
  <c r="I1239"/>
  <c r="B1235"/>
  <c r="W1235"/>
  <c r="G1235"/>
  <c r="G1236" s="1"/>
  <c r="G1237" s="1"/>
  <c r="G1238" s="1"/>
  <c r="G1239" s="1"/>
  <c r="G1240" s="1"/>
  <c r="G1241" s="1"/>
  <c r="G1242" s="1"/>
  <c r="G1243" s="1"/>
  <c r="G1244" s="1"/>
  <c r="G1245" s="1"/>
  <c r="F1235"/>
  <c r="F1236" s="1"/>
  <c r="F1237" s="1"/>
  <c r="F1238" s="1"/>
  <c r="F1239" s="1"/>
  <c r="F1240" s="1"/>
  <c r="F1241" s="1"/>
  <c r="F1242" s="1"/>
  <c r="F1243" s="1"/>
  <c r="F1244" s="1"/>
  <c r="F1245" s="1"/>
  <c r="I1233"/>
  <c r="H1233"/>
  <c r="B1233"/>
  <c r="I1229"/>
  <c r="H1229"/>
  <c r="W1310"/>
  <c r="I1299"/>
  <c r="I1220"/>
  <c r="B1224"/>
  <c r="B1220"/>
  <c r="H1224"/>
  <c r="H1220"/>
  <c r="F994"/>
  <c r="F995" s="1"/>
  <c r="F829"/>
  <c r="F830" s="1"/>
  <c r="E801"/>
  <c r="E802" s="1"/>
  <c r="E803" s="1"/>
  <c r="E804" s="1"/>
  <c r="E805" s="1"/>
  <c r="E806" s="1"/>
  <c r="E807" s="1"/>
  <c r="E808" s="1"/>
  <c r="E809" s="1"/>
  <c r="E810" s="1"/>
  <c r="E811" s="1"/>
  <c r="E812" s="1"/>
  <c r="E813" s="1"/>
  <c r="E814" s="1"/>
  <c r="E815" s="1"/>
  <c r="E816" s="1"/>
  <c r="E721"/>
  <c r="E722" s="1"/>
  <c r="E723" s="1"/>
  <c r="E724" s="1"/>
  <c r="E725" s="1"/>
  <c r="E726" s="1"/>
  <c r="E727" s="1"/>
  <c r="E728" s="1"/>
  <c r="E729" s="1"/>
  <c r="E730" s="1"/>
  <c r="E731" s="1"/>
  <c r="E732" s="1"/>
  <c r="E733" s="1"/>
  <c r="E734" s="1"/>
  <c r="E735" s="1"/>
  <c r="G714"/>
  <c r="G715" s="1"/>
  <c r="G716" s="1"/>
  <c r="E190"/>
  <c r="E191" s="1"/>
  <c r="E192" s="1"/>
  <c r="G14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E664"/>
  <c r="E665" s="1"/>
  <c r="F1370"/>
  <c r="F1371" s="1"/>
  <c r="G1130"/>
  <c r="G1131" s="1"/>
  <c r="G1132" s="1"/>
  <c r="F832"/>
  <c r="F833" s="1"/>
  <c r="F834" s="1"/>
  <c r="F835" s="1"/>
  <c r="F836" s="1"/>
  <c r="F837" s="1"/>
  <c r="F838" s="1"/>
  <c r="F839" s="1"/>
  <c r="F840" s="1"/>
  <c r="F841" s="1"/>
  <c r="F842" s="1"/>
  <c r="F843" s="1"/>
  <c r="F844" s="1"/>
  <c r="F845" s="1"/>
  <c r="F846" s="1"/>
  <c r="E148"/>
  <c r="E149" s="1"/>
  <c r="E150" s="1"/>
  <c r="E519"/>
  <c r="E520" s="1"/>
  <c r="E521" s="1"/>
  <c r="G581"/>
  <c r="G582" s="1"/>
  <c r="G583" s="1"/>
  <c r="G584" s="1"/>
  <c r="G585" s="1"/>
  <c r="G586" s="1"/>
  <c r="G587" s="1"/>
  <c r="G588" s="1"/>
  <c r="G589" s="1"/>
  <c r="G590" s="1"/>
  <c r="G591" s="1"/>
  <c r="G592" s="1"/>
  <c r="G593" s="1"/>
  <c r="G594" s="1"/>
  <c r="G595" s="1"/>
  <c r="F604"/>
  <c r="F605" s="1"/>
  <c r="F606" s="1"/>
  <c r="F607" s="1"/>
  <c r="F608" s="1"/>
  <c r="F609" s="1"/>
  <c r="F610" s="1"/>
  <c r="F611" s="1"/>
  <c r="F612" s="1"/>
  <c r="F613" s="1"/>
  <c r="F614" s="1"/>
  <c r="F651"/>
  <c r="F652" s="1"/>
  <c r="G664"/>
  <c r="G665" s="1"/>
  <c r="F685"/>
  <c r="F686" s="1"/>
  <c r="F687" s="1"/>
  <c r="G1199"/>
  <c r="G1200" s="1"/>
  <c r="G1201" s="1"/>
  <c r="F772"/>
  <c r="F773" s="1"/>
  <c r="F774" s="1"/>
  <c r="E604"/>
  <c r="E605" s="1"/>
  <c r="E606" s="1"/>
  <c r="E607" s="1"/>
  <c r="E608" s="1"/>
  <c r="E609" s="1"/>
  <c r="E610" s="1"/>
  <c r="E611" s="1"/>
  <c r="E612" s="1"/>
  <c r="E613" s="1"/>
  <c r="E614" s="1"/>
  <c r="E651"/>
  <c r="E652" s="1"/>
  <c r="F664"/>
  <c r="F665" s="1"/>
  <c r="E685"/>
  <c r="E686" s="1"/>
  <c r="E687" s="1"/>
  <c r="Y946"/>
  <c r="P946" s="1"/>
  <c r="Y115"/>
  <c r="R115" s="1"/>
  <c r="T115" s="1"/>
  <c r="U115" s="1"/>
  <c r="Y148"/>
  <c r="R148" s="1"/>
  <c r="T148" s="1"/>
  <c r="U148" s="1"/>
  <c r="P338"/>
  <c r="R338"/>
  <c r="L270"/>
  <c r="P270"/>
  <c r="P475" i="26"/>
  <c r="O475"/>
  <c r="P467"/>
  <c r="O467"/>
  <c r="O459"/>
  <c r="P459"/>
  <c r="Q459" s="1"/>
  <c r="N453"/>
  <c r="I453"/>
  <c r="T453"/>
  <c r="P449"/>
  <c r="O449"/>
  <c r="O430"/>
  <c r="P430"/>
  <c r="I430" s="1"/>
  <c r="O422"/>
  <c r="P422"/>
  <c r="T422" s="1"/>
  <c r="P411"/>
  <c r="O411"/>
  <c r="P395"/>
  <c r="N395" s="1"/>
  <c r="O395"/>
  <c r="O390"/>
  <c r="P390"/>
  <c r="Q390" s="1"/>
  <c r="P386"/>
  <c r="O386"/>
  <c r="P381"/>
  <c r="O381"/>
  <c r="I357"/>
  <c r="Q357"/>
  <c r="N357"/>
  <c r="T357"/>
  <c r="O353"/>
  <c r="P353"/>
  <c r="I353" s="1"/>
  <c r="O352"/>
  <c r="P352"/>
  <c r="N352" s="1"/>
  <c r="P351"/>
  <c r="O351"/>
  <c r="P341"/>
  <c r="O341"/>
  <c r="O336"/>
  <c r="P336"/>
  <c r="P335"/>
  <c r="O335"/>
  <c r="P327"/>
  <c r="N327" s="1"/>
  <c r="O327"/>
  <c r="Q323"/>
  <c r="I323"/>
  <c r="T297"/>
  <c r="Q297"/>
  <c r="N297"/>
  <c r="I297"/>
  <c r="I292"/>
  <c r="Q292"/>
  <c r="O288"/>
  <c r="P288"/>
  <c r="Q288" s="1"/>
  <c r="O283"/>
  <c r="P283"/>
  <c r="I283" s="1"/>
  <c r="P270"/>
  <c r="N270" s="1"/>
  <c r="O270"/>
  <c r="O247"/>
  <c r="P247"/>
  <c r="I247" s="1"/>
  <c r="Q241"/>
  <c r="I241"/>
  <c r="O223"/>
  <c r="P223"/>
  <c r="N223" s="1"/>
  <c r="P222"/>
  <c r="O222"/>
  <c r="O209"/>
  <c r="P209"/>
  <c r="I209" s="1"/>
  <c r="O203"/>
  <c r="P203"/>
  <c r="T203" s="1"/>
  <c r="O183"/>
  <c r="P183"/>
  <c r="I183" s="1"/>
  <c r="O175"/>
  <c r="P175"/>
  <c r="Q175" s="1"/>
  <c r="O162"/>
  <c r="P162"/>
  <c r="Q162" s="1"/>
  <c r="O156"/>
  <c r="P156"/>
  <c r="T156" s="1"/>
  <c r="O148"/>
  <c r="P148"/>
  <c r="Q148" s="1"/>
  <c r="O138"/>
  <c r="P138"/>
  <c r="T138" s="1"/>
  <c r="O133"/>
  <c r="P133"/>
  <c r="N133" s="1"/>
  <c r="O124"/>
  <c r="P124"/>
  <c r="N124" s="1"/>
  <c r="O110"/>
  <c r="P110"/>
  <c r="T110" s="1"/>
  <c r="O97"/>
  <c r="P97"/>
  <c r="T97" s="1"/>
  <c r="P84"/>
  <c r="I84" s="1"/>
  <c r="O84"/>
  <c r="O68"/>
  <c r="P68"/>
  <c r="N68" s="1"/>
  <c r="T64"/>
  <c r="N64"/>
  <c r="O55"/>
  <c r="P55"/>
  <c r="I55" s="1"/>
  <c r="O51"/>
  <c r="P51"/>
  <c r="Q51" s="1"/>
  <c r="P28"/>
  <c r="N28" s="1"/>
  <c r="O28"/>
  <c r="Q23"/>
  <c r="I23"/>
  <c r="N23"/>
  <c r="O18"/>
  <c r="P18"/>
  <c r="T18" s="1"/>
  <c r="Y1439" i="12"/>
  <c r="Y1437"/>
  <c r="R1437" s="1"/>
  <c r="T1437" s="1"/>
  <c r="U1437" s="1"/>
  <c r="Y249"/>
  <c r="R270"/>
  <c r="Q441" i="26"/>
  <c r="P369"/>
  <c r="T369" s="1"/>
  <c r="P337"/>
  <c r="T337" s="1"/>
  <c r="O412"/>
  <c r="Y236" i="12"/>
  <c r="L236" s="1"/>
  <c r="Y1460"/>
  <c r="R1460" s="1"/>
  <c r="T1460" s="1"/>
  <c r="U1460" s="1"/>
  <c r="Y1098"/>
  <c r="O1098" s="1"/>
  <c r="Y1232"/>
  <c r="Y829"/>
  <c r="L829" s="1"/>
  <c r="N441" i="26"/>
  <c r="P319"/>
  <c r="I319" s="1"/>
  <c r="P407"/>
  <c r="Q407" s="1"/>
  <c r="O241"/>
  <c r="O357"/>
  <c r="O441"/>
  <c r="Y234" i="12"/>
  <c r="L234" s="1"/>
  <c r="Y1481"/>
  <c r="R1481" s="1"/>
  <c r="T1481" s="1"/>
  <c r="U1481" s="1"/>
  <c r="Y1390"/>
  <c r="P1390" s="1"/>
  <c r="Y1377"/>
  <c r="L1377" s="1"/>
  <c r="Y1064"/>
  <c r="Y883"/>
  <c r="R883" s="1"/>
  <c r="T883" s="1"/>
  <c r="U883" s="1"/>
  <c r="Y619"/>
  <c r="Y502"/>
  <c r="Y494"/>
  <c r="R494" s="1"/>
  <c r="T494" s="1"/>
  <c r="U494" s="1"/>
  <c r="Y442"/>
  <c r="O442" s="1"/>
  <c r="Y325"/>
  <c r="O325" s="1"/>
  <c r="Y49"/>
  <c r="Y38"/>
  <c r="L38" s="1"/>
  <c r="Y1438"/>
  <c r="O1438" s="1"/>
  <c r="Y1469"/>
  <c r="R1469" s="1"/>
  <c r="T1469" s="1"/>
  <c r="U1469" s="1"/>
  <c r="Y1374"/>
  <c r="L1374" s="1"/>
  <c r="Y1285"/>
  <c r="R1285" s="1"/>
  <c r="T1285" s="1"/>
  <c r="U1285" s="1"/>
  <c r="Y724"/>
  <c r="P724" s="1"/>
  <c r="Y659"/>
  <c r="P659" s="1"/>
  <c r="Y604"/>
  <c r="Q177" i="26"/>
  <c r="I177"/>
  <c r="F2860" i="12"/>
  <c r="G2860"/>
  <c r="W1488"/>
  <c r="H1488"/>
  <c r="H1480"/>
  <c r="I1480"/>
  <c r="W1480"/>
  <c r="B1467"/>
  <c r="I1467"/>
  <c r="I1459"/>
  <c r="H1459"/>
  <c r="I1451"/>
  <c r="H1451"/>
  <c r="W1451"/>
  <c r="W1420"/>
  <c r="I1420"/>
  <c r="G1415"/>
  <c r="G1416" s="1"/>
  <c r="G1417" s="1"/>
  <c r="F1415"/>
  <c r="F1416" s="1"/>
  <c r="F1417" s="1"/>
  <c r="H1389"/>
  <c r="W1389"/>
  <c r="W1380"/>
  <c r="B1380"/>
  <c r="H1380"/>
  <c r="H1352"/>
  <c r="B1352"/>
  <c r="B1307"/>
  <c r="I1307"/>
  <c r="H1307"/>
  <c r="H1248"/>
  <c r="B1248"/>
  <c r="I1248"/>
  <c r="B1136"/>
  <c r="H1136"/>
  <c r="I1163"/>
  <c r="W1163"/>
  <c r="H1163"/>
  <c r="B1163"/>
  <c r="H1114"/>
  <c r="B1114"/>
  <c r="B1047"/>
  <c r="H1047"/>
  <c r="I1047"/>
  <c r="Y1032"/>
  <c r="I995"/>
  <c r="B995"/>
  <c r="H982"/>
  <c r="I982"/>
  <c r="W959"/>
  <c r="B959"/>
  <c r="W947"/>
  <c r="I947"/>
  <c r="B947"/>
  <c r="H947"/>
  <c r="B919"/>
  <c r="H919"/>
  <c r="I919"/>
  <c r="W919"/>
  <c r="B911"/>
  <c r="W911"/>
  <c r="E907"/>
  <c r="E908" s="1"/>
  <c r="E909" s="1"/>
  <c r="E910" s="1"/>
  <c r="E911" s="1"/>
  <c r="E912" s="1"/>
  <c r="E913" s="1"/>
  <c r="E914" s="1"/>
  <c r="E915" s="1"/>
  <c r="E916" s="1"/>
  <c r="E917" s="1"/>
  <c r="H901"/>
  <c r="W901"/>
  <c r="H890"/>
  <c r="I890"/>
  <c r="H856"/>
  <c r="B856"/>
  <c r="W856"/>
  <c r="H852"/>
  <c r="W852"/>
  <c r="H848"/>
  <c r="I848"/>
  <c r="I836"/>
  <c r="W836"/>
  <c r="I822"/>
  <c r="W822"/>
  <c r="B822"/>
  <c r="H822"/>
  <c r="I818"/>
  <c r="B818"/>
  <c r="H818"/>
  <c r="I814"/>
  <c r="W814"/>
  <c r="H814"/>
  <c r="I806"/>
  <c r="W806"/>
  <c r="H806"/>
  <c r="B806"/>
  <c r="I802"/>
  <c r="B802"/>
  <c r="W802"/>
  <c r="H802"/>
  <c r="B770"/>
  <c r="H770"/>
  <c r="W770"/>
  <c r="I770"/>
  <c r="I766"/>
  <c r="H766"/>
  <c r="B766"/>
  <c r="I762"/>
  <c r="H762"/>
  <c r="W762"/>
  <c r="B762"/>
  <c r="W758"/>
  <c r="B758"/>
  <c r="H758"/>
  <c r="I758"/>
  <c r="I754"/>
  <c r="W754"/>
  <c r="B754"/>
  <c r="H754"/>
  <c r="H742"/>
  <c r="W742"/>
  <c r="B742"/>
  <c r="H738"/>
  <c r="I738"/>
  <c r="B738"/>
  <c r="W738"/>
  <c r="H734"/>
  <c r="I734"/>
  <c r="B734"/>
  <c r="W734"/>
  <c r="H730"/>
  <c r="B730"/>
  <c r="I730"/>
  <c r="H726"/>
  <c r="B726"/>
  <c r="W726"/>
  <c r="B710"/>
  <c r="I710"/>
  <c r="H710"/>
  <c r="G708"/>
  <c r="G709" s="1"/>
  <c r="G710" s="1"/>
  <c r="E708"/>
  <c r="E709" s="1"/>
  <c r="E710" s="1"/>
  <c r="B706"/>
  <c r="H706"/>
  <c r="W706"/>
  <c r="I706"/>
  <c r="W701"/>
  <c r="E701"/>
  <c r="E702" s="1"/>
  <c r="H701"/>
  <c r="F701"/>
  <c r="F702" s="1"/>
  <c r="I701"/>
  <c r="H686"/>
  <c r="W686"/>
  <c r="B686"/>
  <c r="I686"/>
  <c r="W680"/>
  <c r="I680"/>
  <c r="B680"/>
  <c r="H680"/>
  <c r="H679"/>
  <c r="W679"/>
  <c r="B679"/>
  <c r="E673"/>
  <c r="E674" s="1"/>
  <c r="E675" s="1"/>
  <c r="G673"/>
  <c r="G674" s="1"/>
  <c r="G675" s="1"/>
  <c r="F673"/>
  <c r="F674" s="1"/>
  <c r="F675" s="1"/>
  <c r="F668"/>
  <c r="E668"/>
  <c r="G668"/>
  <c r="W665"/>
  <c r="I665"/>
  <c r="B665"/>
  <c r="H665"/>
  <c r="W660"/>
  <c r="H660"/>
  <c r="I660"/>
  <c r="E658"/>
  <c r="E659" s="1"/>
  <c r="E660" s="1"/>
  <c r="E661" s="1"/>
  <c r="E662" s="1"/>
  <c r="G658"/>
  <c r="G659" s="1"/>
  <c r="G660" s="1"/>
  <c r="G661" s="1"/>
  <c r="G662" s="1"/>
  <c r="F658"/>
  <c r="F659" s="1"/>
  <c r="F660" s="1"/>
  <c r="F661" s="1"/>
  <c r="F662" s="1"/>
  <c r="F654"/>
  <c r="F655" s="1"/>
  <c r="F656" s="1"/>
  <c r="E654"/>
  <c r="E655" s="1"/>
  <c r="E656" s="1"/>
  <c r="G654"/>
  <c r="G655" s="1"/>
  <c r="G656" s="1"/>
  <c r="I652"/>
  <c r="W652"/>
  <c r="H652"/>
  <c r="B652"/>
  <c r="F644"/>
  <c r="G644"/>
  <c r="B618"/>
  <c r="W618"/>
  <c r="H618"/>
  <c r="I618"/>
  <c r="W614"/>
  <c r="B614"/>
  <c r="H614"/>
  <c r="I614"/>
  <c r="H602"/>
  <c r="W602"/>
  <c r="H590"/>
  <c r="W590"/>
  <c r="B590"/>
  <c r="I590"/>
  <c r="W582"/>
  <c r="B582"/>
  <c r="I582"/>
  <c r="B544"/>
  <c r="W544"/>
  <c r="H544"/>
  <c r="I544"/>
  <c r="B536"/>
  <c r="W536"/>
  <c r="I536"/>
  <c r="I517"/>
  <c r="W517"/>
  <c r="H517"/>
  <c r="B517"/>
  <c r="I509"/>
  <c r="H509"/>
  <c r="B509"/>
  <c r="W509"/>
  <c r="I501"/>
  <c r="W501"/>
  <c r="H501"/>
  <c r="B501"/>
  <c r="H497"/>
  <c r="W497"/>
  <c r="I497"/>
  <c r="B497"/>
  <c r="D491"/>
  <c r="F491"/>
  <c r="G491"/>
  <c r="W1126"/>
  <c r="B1126"/>
  <c r="W372"/>
  <c r="H372"/>
  <c r="B372"/>
  <c r="I372"/>
  <c r="H366"/>
  <c r="B366"/>
  <c r="W366"/>
  <c r="I366"/>
  <c r="W359"/>
  <c r="H359"/>
  <c r="I359"/>
  <c r="B359"/>
  <c r="B351"/>
  <c r="W351"/>
  <c r="H351"/>
  <c r="I351"/>
  <c r="H343"/>
  <c r="I343"/>
  <c r="W343"/>
  <c r="B343"/>
  <c r="E321"/>
  <c r="E322" s="1"/>
  <c r="G321"/>
  <c r="G322" s="1"/>
  <c r="F321"/>
  <c r="F322" s="1"/>
  <c r="I307"/>
  <c r="B307"/>
  <c r="W307"/>
  <c r="H307"/>
  <c r="H469"/>
  <c r="W469"/>
  <c r="B469"/>
  <c r="I469"/>
  <c r="B245"/>
  <c r="W245"/>
  <c r="I245"/>
  <c r="B238"/>
  <c r="I238"/>
  <c r="H238"/>
  <c r="W238"/>
  <c r="B441"/>
  <c r="W441"/>
  <c r="I441"/>
  <c r="H441"/>
  <c r="I226"/>
  <c r="H226"/>
  <c r="W226"/>
  <c r="B226"/>
  <c r="B218"/>
  <c r="W218"/>
  <c r="H218"/>
  <c r="W210"/>
  <c r="B210"/>
  <c r="H210"/>
  <c r="I210"/>
  <c r="H206"/>
  <c r="B206"/>
  <c r="I206"/>
  <c r="W206"/>
  <c r="E199"/>
  <c r="E200" s="1"/>
  <c r="E201" s="1"/>
  <c r="F199"/>
  <c r="F200" s="1"/>
  <c r="F201" s="1"/>
  <c r="G199"/>
  <c r="G200" s="1"/>
  <c r="G201" s="1"/>
  <c r="E324"/>
  <c r="E325" s="1"/>
  <c r="E326" s="1"/>
  <c r="G324"/>
  <c r="G325" s="1"/>
  <c r="G326" s="1"/>
  <c r="F324"/>
  <c r="F325" s="1"/>
  <c r="F326" s="1"/>
  <c r="I162"/>
  <c r="B162"/>
  <c r="H162"/>
  <c r="W162"/>
  <c r="H154"/>
  <c r="B154"/>
  <c r="I154"/>
  <c r="W154"/>
  <c r="G297"/>
  <c r="G298" s="1"/>
  <c r="G299" s="1"/>
  <c r="E297"/>
  <c r="E298" s="1"/>
  <c r="E299" s="1"/>
  <c r="I129"/>
  <c r="B129"/>
  <c r="H129"/>
  <c r="B121"/>
  <c r="W121"/>
  <c r="I121"/>
  <c r="R113"/>
  <c r="P113"/>
  <c r="L113"/>
  <c r="B82"/>
  <c r="I82"/>
  <c r="H82"/>
  <c r="W82"/>
  <c r="I78"/>
  <c r="B78"/>
  <c r="H78"/>
  <c r="W78"/>
  <c r="I69"/>
  <c r="H69"/>
  <c r="W69"/>
  <c r="I61"/>
  <c r="B61"/>
  <c r="H61"/>
  <c r="W61"/>
  <c r="W52"/>
  <c r="I52"/>
  <c r="H52"/>
  <c r="B52"/>
  <c r="I40"/>
  <c r="H40"/>
  <c r="B40"/>
  <c r="I37"/>
  <c r="H37"/>
  <c r="W37"/>
  <c r="B37"/>
  <c r="W31"/>
  <c r="B31"/>
  <c r="H31"/>
  <c r="B27"/>
  <c r="W27"/>
  <c r="H27"/>
  <c r="B23"/>
  <c r="I23"/>
  <c r="H23"/>
  <c r="W23"/>
  <c r="W19"/>
  <c r="I19"/>
  <c r="H19"/>
  <c r="B19"/>
  <c r="H15"/>
  <c r="I15"/>
  <c r="B15"/>
  <c r="W15"/>
  <c r="O460" i="26"/>
  <c r="P460"/>
  <c r="T460" s="1"/>
  <c r="P450"/>
  <c r="Q450" s="1"/>
  <c r="O450"/>
  <c r="T436"/>
  <c r="I436"/>
  <c r="N436"/>
  <c r="Q436"/>
  <c r="O431"/>
  <c r="P431"/>
  <c r="I431" s="1"/>
  <c r="P400"/>
  <c r="O400"/>
  <c r="P396"/>
  <c r="O396"/>
  <c r="O391"/>
  <c r="P391"/>
  <c r="N391" s="1"/>
  <c r="P358"/>
  <c r="O358"/>
  <c r="O354"/>
  <c r="P354"/>
  <c r="N354" s="1"/>
  <c r="O348"/>
  <c r="P348"/>
  <c r="N348" s="1"/>
  <c r="O316"/>
  <c r="P316"/>
  <c r="N316" s="1"/>
  <c r="P302"/>
  <c r="O302"/>
  <c r="P280"/>
  <c r="O280"/>
  <c r="O272"/>
  <c r="P272"/>
  <c r="T272" s="1"/>
  <c r="O264"/>
  <c r="P264"/>
  <c r="I264" s="1"/>
  <c r="P224"/>
  <c r="O224"/>
  <c r="O205"/>
  <c r="P205"/>
  <c r="Q205" s="1"/>
  <c r="O200"/>
  <c r="P200"/>
  <c r="I200" s="1"/>
  <c r="O191"/>
  <c r="P191"/>
  <c r="N191" s="1"/>
  <c r="P185"/>
  <c r="I185" s="1"/>
  <c r="O185"/>
  <c r="O159"/>
  <c r="P159"/>
  <c r="T159" s="1"/>
  <c r="N157"/>
  <c r="I157"/>
  <c r="T157"/>
  <c r="P153"/>
  <c r="O153"/>
  <c r="P125"/>
  <c r="O125"/>
  <c r="O103"/>
  <c r="P103"/>
  <c r="T103" s="1"/>
  <c r="O94"/>
  <c r="P94"/>
  <c r="N94" s="1"/>
  <c r="O79"/>
  <c r="P79"/>
  <c r="N79" s="1"/>
  <c r="O73"/>
  <c r="P73"/>
  <c r="N73" s="1"/>
  <c r="O65"/>
  <c r="P65"/>
  <c r="T65" s="1"/>
  <c r="O30"/>
  <c r="P30"/>
  <c r="Q30" s="1"/>
  <c r="Q24"/>
  <c r="I24"/>
  <c r="N12"/>
  <c r="Q12"/>
  <c r="T12"/>
  <c r="I12"/>
  <c r="H1437" i="12"/>
  <c r="B1437"/>
  <c r="W1437"/>
  <c r="I1437"/>
  <c r="F493"/>
  <c r="F494" s="1"/>
  <c r="F495" s="1"/>
  <c r="F496" s="1"/>
  <c r="F497" s="1"/>
  <c r="F498" s="1"/>
  <c r="F499" s="1"/>
  <c r="F500" s="1"/>
  <c r="F501" s="1"/>
  <c r="F502" s="1"/>
  <c r="F503" s="1"/>
  <c r="F504" s="1"/>
  <c r="F505" s="1"/>
  <c r="F506" s="1"/>
  <c r="F507" s="1"/>
  <c r="E528"/>
  <c r="E529" s="1"/>
  <c r="F528"/>
  <c r="F529" s="1"/>
  <c r="G528"/>
  <c r="G529" s="1"/>
  <c r="E550"/>
  <c r="E551" s="1"/>
  <c r="E552" s="1"/>
  <c r="G550"/>
  <c r="G551" s="1"/>
  <c r="G552" s="1"/>
  <c r="F550"/>
  <c r="F551" s="1"/>
  <c r="F552" s="1"/>
  <c r="Y31"/>
  <c r="L31" s="1"/>
  <c r="Y1302"/>
  <c r="Y511"/>
  <c r="P511" s="1"/>
  <c r="E832"/>
  <c r="E833" s="1"/>
  <c r="E834" s="1"/>
  <c r="E835" s="1"/>
  <c r="E836" s="1"/>
  <c r="E837" s="1"/>
  <c r="E838" s="1"/>
  <c r="E839" s="1"/>
  <c r="E840" s="1"/>
  <c r="E841" s="1"/>
  <c r="E842" s="1"/>
  <c r="E843" s="1"/>
  <c r="E844" s="1"/>
  <c r="E845" s="1"/>
  <c r="E846" s="1"/>
  <c r="B836"/>
  <c r="H1279"/>
  <c r="B1291"/>
  <c r="W1393"/>
  <c r="W1240"/>
  <c r="H1221"/>
  <c r="W1307"/>
  <c r="E1370"/>
  <c r="E1371" s="1"/>
  <c r="F708"/>
  <c r="F709" s="1"/>
  <c r="F710" s="1"/>
  <c r="H1443"/>
  <c r="I1348"/>
  <c r="Q374" i="26"/>
  <c r="O294"/>
  <c r="Q34"/>
  <c r="O210"/>
  <c r="P464"/>
  <c r="I464" s="1"/>
  <c r="P330"/>
  <c r="Q330" s="1"/>
  <c r="P180"/>
  <c r="N180" s="1"/>
  <c r="W1047" i="12"/>
  <c r="B1147"/>
  <c r="W1019"/>
  <c r="F297"/>
  <c r="F298" s="1"/>
  <c r="F299" s="1"/>
  <c r="B814"/>
  <c r="B660"/>
  <c r="Y885"/>
  <c r="L885" s="1"/>
  <c r="Y1256"/>
  <c r="L1256" s="1"/>
  <c r="H1448"/>
  <c r="W1448"/>
  <c r="H1390"/>
  <c r="I1390"/>
  <c r="I1385"/>
  <c r="H1385"/>
  <c r="W1385"/>
  <c r="W1377"/>
  <c r="B1377"/>
  <c r="E1373"/>
  <c r="E1374" s="1"/>
  <c r="E1375" s="1"/>
  <c r="E1376" s="1"/>
  <c r="E1377" s="1"/>
  <c r="E1378" s="1"/>
  <c r="E1379" s="1"/>
  <c r="E1380" s="1"/>
  <c r="E1381" s="1"/>
  <c r="E1382" s="1"/>
  <c r="E1383" s="1"/>
  <c r="F1373"/>
  <c r="F1374" s="1"/>
  <c r="F1375" s="1"/>
  <c r="F1376" s="1"/>
  <c r="F1377" s="1"/>
  <c r="F1378" s="1"/>
  <c r="F1379" s="1"/>
  <c r="F1380" s="1"/>
  <c r="F1381" s="1"/>
  <c r="F1382" s="1"/>
  <c r="F1383" s="1"/>
  <c r="W1357"/>
  <c r="H1357"/>
  <c r="I1357"/>
  <c r="W1349"/>
  <c r="B1349"/>
  <c r="H1349"/>
  <c r="H1308"/>
  <c r="I1308"/>
  <c r="B1308"/>
  <c r="I1301"/>
  <c r="W1301"/>
  <c r="B1292"/>
  <c r="W1292"/>
  <c r="H1280"/>
  <c r="B1280"/>
  <c r="W1253"/>
  <c r="I1253"/>
  <c r="H1245"/>
  <c r="I1245"/>
  <c r="B1245"/>
  <c r="H1237"/>
  <c r="W1237"/>
  <c r="I1237"/>
  <c r="B1237"/>
  <c r="H1230"/>
  <c r="I1230"/>
  <c r="W1222"/>
  <c r="I1222"/>
  <c r="B1214"/>
  <c r="H1214"/>
  <c r="B1197"/>
  <c r="I1197"/>
  <c r="H1140"/>
  <c r="B1140"/>
  <c r="W1140"/>
  <c r="H1148"/>
  <c r="W1148"/>
  <c r="I1148"/>
  <c r="B1148"/>
  <c r="I1106"/>
  <c r="W1106"/>
  <c r="H1068"/>
  <c r="I1068"/>
  <c r="H1060"/>
  <c r="B1060"/>
  <c r="W1060"/>
  <c r="I1060"/>
  <c r="H1054"/>
  <c r="B1054"/>
  <c r="W1054"/>
  <c r="I1054"/>
  <c r="H1048"/>
  <c r="B1048"/>
  <c r="W1048"/>
  <c r="H1040"/>
  <c r="B1040"/>
  <c r="I1040"/>
  <c r="H1036"/>
  <c r="I1036"/>
  <c r="W1036"/>
  <c r="B1023"/>
  <c r="H1023"/>
  <c r="H1016"/>
  <c r="W1016"/>
  <c r="W987"/>
  <c r="B987"/>
  <c r="I987"/>
  <c r="H987"/>
  <c r="W979"/>
  <c r="B979"/>
  <c r="H979"/>
  <c r="I975"/>
  <c r="W975"/>
  <c r="B975"/>
  <c r="B968"/>
  <c r="I968"/>
  <c r="W968"/>
  <c r="H968"/>
  <c r="W960"/>
  <c r="H960"/>
  <c r="I952"/>
  <c r="B952"/>
  <c r="W948"/>
  <c r="H948"/>
  <c r="B948"/>
  <c r="I948"/>
  <c r="B908"/>
  <c r="W908"/>
  <c r="I908"/>
  <c r="H908"/>
  <c r="H903"/>
  <c r="B903"/>
  <c r="I903"/>
  <c r="W903"/>
  <c r="H891"/>
  <c r="W891"/>
  <c r="B891"/>
  <c r="H883"/>
  <c r="I883"/>
  <c r="I853"/>
  <c r="H853"/>
  <c r="B853"/>
  <c r="W853"/>
  <c r="I841"/>
  <c r="B841"/>
  <c r="W841"/>
  <c r="H841"/>
  <c r="I837"/>
  <c r="H837"/>
  <c r="B837"/>
  <c r="W837"/>
  <c r="H826"/>
  <c r="I826"/>
  <c r="H823"/>
  <c r="W823"/>
  <c r="I823"/>
  <c r="B823"/>
  <c r="B803"/>
  <c r="W803"/>
  <c r="B772"/>
  <c r="W772"/>
  <c r="W755"/>
  <c r="I755"/>
  <c r="G744"/>
  <c r="G745" s="1"/>
  <c r="G746" s="1"/>
  <c r="F744"/>
  <c r="F745" s="1"/>
  <c r="F746" s="1"/>
  <c r="E744"/>
  <c r="E745" s="1"/>
  <c r="E746" s="1"/>
  <c r="H735"/>
  <c r="I735"/>
  <c r="W735"/>
  <c r="B735"/>
  <c r="H727"/>
  <c r="W727"/>
  <c r="B727"/>
  <c r="I727"/>
  <c r="I702"/>
  <c r="B702"/>
  <c r="H702"/>
  <c r="I697"/>
  <c r="W697"/>
  <c r="H697"/>
  <c r="B697"/>
  <c r="D694"/>
  <c r="I690"/>
  <c r="W690"/>
  <c r="B690"/>
  <c r="H690"/>
  <c r="I681"/>
  <c r="B681"/>
  <c r="W681"/>
  <c r="H681"/>
  <c r="H654"/>
  <c r="B654"/>
  <c r="I654"/>
  <c r="W654"/>
  <c r="W619"/>
  <c r="I619"/>
  <c r="B619"/>
  <c r="H619"/>
  <c r="H607"/>
  <c r="I607"/>
  <c r="B607"/>
  <c r="W607"/>
  <c r="H599"/>
  <c r="B599"/>
  <c r="I599"/>
  <c r="W591"/>
  <c r="H591"/>
  <c r="I591"/>
  <c r="W583"/>
  <c r="B583"/>
  <c r="I583"/>
  <c r="H583"/>
  <c r="H550"/>
  <c r="W550"/>
  <c r="I550"/>
  <c r="W541"/>
  <c r="H541"/>
  <c r="I541"/>
  <c r="B541"/>
  <c r="H533"/>
  <c r="I533"/>
  <c r="B533"/>
  <c r="W533"/>
  <c r="H523"/>
  <c r="W523"/>
  <c r="I523"/>
  <c r="I514"/>
  <c r="H514"/>
  <c r="W514"/>
  <c r="B514"/>
  <c r="I506"/>
  <c r="W506"/>
  <c r="H506"/>
  <c r="W494"/>
  <c r="B494"/>
  <c r="H494"/>
  <c r="I494"/>
  <c r="F388"/>
  <c r="F389" s="1"/>
  <c r="G388"/>
  <c r="G389" s="1"/>
  <c r="E388"/>
  <c r="E389" s="1"/>
  <c r="I385"/>
  <c r="B385"/>
  <c r="H385"/>
  <c r="W385"/>
  <c r="H373"/>
  <c r="I373"/>
  <c r="B373"/>
  <c r="W373"/>
  <c r="G369"/>
  <c r="G370" s="1"/>
  <c r="G371" s="1"/>
  <c r="G372" s="1"/>
  <c r="G373" s="1"/>
  <c r="G374" s="1"/>
  <c r="G375" s="1"/>
  <c r="G376" s="1"/>
  <c r="G377" s="1"/>
  <c r="G378" s="1"/>
  <c r="G379" s="1"/>
  <c r="F369"/>
  <c r="F370" s="1"/>
  <c r="F371" s="1"/>
  <c r="F372" s="1"/>
  <c r="F373" s="1"/>
  <c r="F374" s="1"/>
  <c r="F375" s="1"/>
  <c r="F376" s="1"/>
  <c r="F377" s="1"/>
  <c r="F378" s="1"/>
  <c r="F379" s="1"/>
  <c r="E369"/>
  <c r="E370" s="1"/>
  <c r="E371" s="1"/>
  <c r="E372" s="1"/>
  <c r="E373" s="1"/>
  <c r="E374" s="1"/>
  <c r="E375" s="1"/>
  <c r="E376" s="1"/>
  <c r="E377" s="1"/>
  <c r="E378" s="1"/>
  <c r="E379" s="1"/>
  <c r="W364"/>
  <c r="B364"/>
  <c r="I364"/>
  <c r="H356"/>
  <c r="W356"/>
  <c r="I356"/>
  <c r="B356"/>
  <c r="H352"/>
  <c r="B352"/>
  <c r="I352"/>
  <c r="W352"/>
  <c r="H344"/>
  <c r="I344"/>
  <c r="B344"/>
  <c r="W344"/>
  <c r="G340"/>
  <c r="G341" s="1"/>
  <c r="G342" s="1"/>
  <c r="G343" s="1"/>
  <c r="G344" s="1"/>
  <c r="G345" s="1"/>
  <c r="G346" s="1"/>
  <c r="G347" s="1"/>
  <c r="G348" s="1"/>
  <c r="G349" s="1"/>
  <c r="G350" s="1"/>
  <c r="G351" s="1"/>
  <c r="G352" s="1"/>
  <c r="G353" s="1"/>
  <c r="G354" s="1"/>
  <c r="F340"/>
  <c r="F341" s="1"/>
  <c r="F342" s="1"/>
  <c r="F343" s="1"/>
  <c r="F344" s="1"/>
  <c r="F345" s="1"/>
  <c r="F346" s="1"/>
  <c r="F347" s="1"/>
  <c r="F348" s="1"/>
  <c r="F349" s="1"/>
  <c r="F350" s="1"/>
  <c r="F351" s="1"/>
  <c r="F352" s="1"/>
  <c r="F353" s="1"/>
  <c r="F354" s="1"/>
  <c r="E340"/>
  <c r="E341" s="1"/>
  <c r="E342" s="1"/>
  <c r="E343" s="1"/>
  <c r="E344" s="1"/>
  <c r="E345" s="1"/>
  <c r="E346" s="1"/>
  <c r="E347" s="1"/>
  <c r="E348" s="1"/>
  <c r="E349" s="1"/>
  <c r="E350" s="1"/>
  <c r="E351" s="1"/>
  <c r="E352" s="1"/>
  <c r="E353" s="1"/>
  <c r="E354" s="1"/>
  <c r="I322"/>
  <c r="H322"/>
  <c r="B322"/>
  <c r="W322"/>
  <c r="W314"/>
  <c r="I314"/>
  <c r="B314"/>
  <c r="H314"/>
  <c r="G284"/>
  <c r="G285" s="1"/>
  <c r="G286" s="1"/>
  <c r="G287" s="1"/>
  <c r="F284"/>
  <c r="F285" s="1"/>
  <c r="F286" s="1"/>
  <c r="F287" s="1"/>
  <c r="E284"/>
  <c r="E285" s="1"/>
  <c r="E286" s="1"/>
  <c r="E287" s="1"/>
  <c r="B272"/>
  <c r="W272"/>
  <c r="I272"/>
  <c r="H272"/>
  <c r="F270"/>
  <c r="G270"/>
  <c r="E270"/>
  <c r="D270"/>
  <c r="B468"/>
  <c r="W468"/>
  <c r="H468"/>
  <c r="I468"/>
  <c r="W243"/>
  <c r="I243"/>
  <c r="B243"/>
  <c r="H243"/>
  <c r="H235"/>
  <c r="W235"/>
  <c r="F231"/>
  <c r="F232" s="1"/>
  <c r="F233" s="1"/>
  <c r="F234" s="1"/>
  <c r="F235" s="1"/>
  <c r="F236" s="1"/>
  <c r="F237" s="1"/>
  <c r="F238" s="1"/>
  <c r="F239" s="1"/>
  <c r="F240" s="1"/>
  <c r="F241" s="1"/>
  <c r="G231"/>
  <c r="G232" s="1"/>
  <c r="G233" s="1"/>
  <c r="G234" s="1"/>
  <c r="G235" s="1"/>
  <c r="G236" s="1"/>
  <c r="G237" s="1"/>
  <c r="G238" s="1"/>
  <c r="G239" s="1"/>
  <c r="G240" s="1"/>
  <c r="G241" s="1"/>
  <c r="E231"/>
  <c r="E232" s="1"/>
  <c r="E233" s="1"/>
  <c r="E234" s="1"/>
  <c r="E235" s="1"/>
  <c r="E236" s="1"/>
  <c r="E237" s="1"/>
  <c r="E238" s="1"/>
  <c r="E239" s="1"/>
  <c r="E240" s="1"/>
  <c r="E241" s="1"/>
  <c r="W442"/>
  <c r="I442"/>
  <c r="B442"/>
  <c r="H442"/>
  <c r="W223"/>
  <c r="B223"/>
  <c r="H223"/>
  <c r="I223"/>
  <c r="B215"/>
  <c r="I215"/>
  <c r="H215"/>
  <c r="B207"/>
  <c r="W207"/>
  <c r="H207"/>
  <c r="I207"/>
  <c r="I200"/>
  <c r="H200"/>
  <c r="W200"/>
  <c r="I192"/>
  <c r="H192"/>
  <c r="B192"/>
  <c r="I325"/>
  <c r="W325"/>
  <c r="H325"/>
  <c r="H163"/>
  <c r="I163"/>
  <c r="B163"/>
  <c r="B155"/>
  <c r="W155"/>
  <c r="I155"/>
  <c r="H155"/>
  <c r="I135"/>
  <c r="B135"/>
  <c r="H135"/>
  <c r="W135"/>
  <c r="B126"/>
  <c r="W126"/>
  <c r="I126"/>
  <c r="H126"/>
  <c r="W118"/>
  <c r="B118"/>
  <c r="H118"/>
  <c r="I118"/>
  <c r="H79"/>
  <c r="W79"/>
  <c r="B79"/>
  <c r="I79"/>
  <c r="H70"/>
  <c r="W70"/>
  <c r="I70"/>
  <c r="B70"/>
  <c r="H62"/>
  <c r="I62"/>
  <c r="W62"/>
  <c r="B62"/>
  <c r="F54"/>
  <c r="F55" s="1"/>
  <c r="F56" s="1"/>
  <c r="F57" s="1"/>
  <c r="F58" s="1"/>
  <c r="F59" s="1"/>
  <c r="F60" s="1"/>
  <c r="F61" s="1"/>
  <c r="F62" s="1"/>
  <c r="F63" s="1"/>
  <c r="F64" s="1"/>
  <c r="F65" s="1"/>
  <c r="G54"/>
  <c r="G55" s="1"/>
  <c r="G56" s="1"/>
  <c r="G57" s="1"/>
  <c r="G58" s="1"/>
  <c r="G59" s="1"/>
  <c r="G60" s="1"/>
  <c r="G61" s="1"/>
  <c r="G62" s="1"/>
  <c r="G63" s="1"/>
  <c r="G64" s="1"/>
  <c r="G65" s="1"/>
  <c r="W44"/>
  <c r="I44"/>
  <c r="H44"/>
  <c r="B44"/>
  <c r="W38"/>
  <c r="H38"/>
  <c r="B38"/>
  <c r="I38"/>
  <c r="W28"/>
  <c r="I28"/>
  <c r="B28"/>
  <c r="H28"/>
  <c r="B20"/>
  <c r="I20"/>
  <c r="H20"/>
  <c r="W20"/>
  <c r="W16"/>
  <c r="B16"/>
  <c r="I16"/>
  <c r="H16"/>
  <c r="L12"/>
  <c r="P12"/>
  <c r="O478" i="26"/>
  <c r="P478"/>
  <c r="I478" s="1"/>
  <c r="P473"/>
  <c r="O473"/>
  <c r="P469"/>
  <c r="O469"/>
  <c r="P465"/>
  <c r="I465" s="1"/>
  <c r="O465"/>
  <c r="O447"/>
  <c r="P447"/>
  <c r="I447" s="1"/>
  <c r="O443"/>
  <c r="P443"/>
  <c r="Q443" s="1"/>
  <c r="O424"/>
  <c r="P424"/>
  <c r="I424" s="1"/>
  <c r="P379"/>
  <c r="O379"/>
  <c r="P339"/>
  <c r="O339"/>
  <c r="O332"/>
  <c r="P332"/>
  <c r="Q332" s="1"/>
  <c r="Q317"/>
  <c r="T317"/>
  <c r="N317"/>
  <c r="I317"/>
  <c r="O299"/>
  <c r="P299"/>
  <c r="Q299" s="1"/>
  <c r="O295"/>
  <c r="P295"/>
  <c r="N295" s="1"/>
  <c r="T281"/>
  <c r="I281"/>
  <c r="N281"/>
  <c r="P277"/>
  <c r="O277"/>
  <c r="P266"/>
  <c r="O266"/>
  <c r="O265"/>
  <c r="P265"/>
  <c r="N265" s="1"/>
  <c r="O249"/>
  <c r="P249"/>
  <c r="N249" s="1"/>
  <c r="O243"/>
  <c r="P243"/>
  <c r="N243" s="1"/>
  <c r="P229"/>
  <c r="O229"/>
  <c r="O225"/>
  <c r="P225"/>
  <c r="Q225" s="1"/>
  <c r="O216"/>
  <c r="P216"/>
  <c r="I216" s="1"/>
  <c r="O201"/>
  <c r="P201"/>
  <c r="T201" s="1"/>
  <c r="O197"/>
  <c r="P197"/>
  <c r="N197" s="1"/>
  <c r="O187"/>
  <c r="P187"/>
  <c r="T187" s="1"/>
  <c r="P160"/>
  <c r="O160"/>
  <c r="P116"/>
  <c r="O116"/>
  <c r="O86"/>
  <c r="P86"/>
  <c r="I86" s="1"/>
  <c r="P80"/>
  <c r="O80"/>
  <c r="P66"/>
  <c r="Q66" s="1"/>
  <c r="O66"/>
  <c r="P62"/>
  <c r="O62"/>
  <c r="E1432" i="12"/>
  <c r="E1433" s="1"/>
  <c r="E1434" s="1"/>
  <c r="E1435" s="1"/>
  <c r="F1432"/>
  <c r="F1433" s="1"/>
  <c r="F1434" s="1"/>
  <c r="F1435" s="1"/>
  <c r="H1440"/>
  <c r="W1440"/>
  <c r="B1440"/>
  <c r="B439"/>
  <c r="W439"/>
  <c r="I439"/>
  <c r="G465"/>
  <c r="G466" s="1"/>
  <c r="E465"/>
  <c r="E466" s="1"/>
  <c r="F465"/>
  <c r="F466" s="1"/>
  <c r="Y1440"/>
  <c r="L1440" s="1"/>
  <c r="Y375"/>
  <c r="P375" s="1"/>
  <c r="Y52"/>
  <c r="L52" s="1"/>
  <c r="B1222"/>
  <c r="B960"/>
  <c r="I830"/>
  <c r="H1460"/>
  <c r="W1481"/>
  <c r="H1452"/>
  <c r="G832"/>
  <c r="G833" s="1"/>
  <c r="G834" s="1"/>
  <c r="G835" s="1"/>
  <c r="G836" s="1"/>
  <c r="G837" s="1"/>
  <c r="G838" s="1"/>
  <c r="G839" s="1"/>
  <c r="G840" s="1"/>
  <c r="G841" s="1"/>
  <c r="G842" s="1"/>
  <c r="G843" s="1"/>
  <c r="G844" s="1"/>
  <c r="G845" s="1"/>
  <c r="G846" s="1"/>
  <c r="B832"/>
  <c r="W840"/>
  <c r="H978"/>
  <c r="E1130"/>
  <c r="E1131" s="1"/>
  <c r="E1132" s="1"/>
  <c r="H1444"/>
  <c r="B1448"/>
  <c r="B1456"/>
  <c r="B1460"/>
  <c r="W1464"/>
  <c r="I1468"/>
  <c r="H1473"/>
  <c r="B1481"/>
  <c r="Y1435"/>
  <c r="L1435" s="1"/>
  <c r="I1201"/>
  <c r="I856"/>
  <c r="W1287"/>
  <c r="H1300"/>
  <c r="W1366"/>
  <c r="H1417"/>
  <c r="I1236"/>
  <c r="I1320"/>
  <c r="B1221"/>
  <c r="B1279"/>
  <c r="I1287"/>
  <c r="H1311"/>
  <c r="W1356"/>
  <c r="H1370"/>
  <c r="B883"/>
  <c r="W710"/>
  <c r="H1420"/>
  <c r="E2860"/>
  <c r="B1459"/>
  <c r="W1467"/>
  <c r="I1488"/>
  <c r="B1240"/>
  <c r="I1315"/>
  <c r="H1366"/>
  <c r="P186" i="26"/>
  <c r="T186" s="1"/>
  <c r="P303"/>
  <c r="I303" s="1"/>
  <c r="O409"/>
  <c r="H439" i="12"/>
  <c r="P20" i="26"/>
  <c r="I20" s="1"/>
  <c r="O242"/>
  <c r="P435"/>
  <c r="T435" s="1"/>
  <c r="W1068" i="12"/>
  <c r="I1140"/>
  <c r="H1367"/>
  <c r="W1280"/>
  <c r="H1292"/>
  <c r="I1349"/>
  <c r="P45" i="26"/>
  <c r="N45" s="1"/>
  <c r="P239"/>
  <c r="N239" s="1"/>
  <c r="P284"/>
  <c r="N284" s="1"/>
  <c r="P69"/>
  <c r="N69" s="1"/>
  <c r="O436"/>
  <c r="P61"/>
  <c r="Q61" s="1"/>
  <c r="I852" i="12"/>
  <c r="W951"/>
  <c r="I894"/>
  <c r="W955"/>
  <c r="P11" i="26"/>
  <c r="Q11" s="1"/>
  <c r="P428"/>
  <c r="T428" s="1"/>
  <c r="O281"/>
  <c r="I979" i="12"/>
  <c r="B811"/>
  <c r="O12" i="26"/>
  <c r="P89"/>
  <c r="Q89" s="1"/>
  <c r="O375"/>
  <c r="I27" i="12"/>
  <c r="I235"/>
  <c r="I602"/>
  <c r="B602"/>
  <c r="I679"/>
  <c r="W40"/>
  <c r="H582"/>
  <c r="W599"/>
  <c r="B550"/>
  <c r="B591"/>
  <c r="I1440"/>
  <c r="I1476"/>
  <c r="W1476"/>
  <c r="W1471"/>
  <c r="I1471"/>
  <c r="H1455"/>
  <c r="W1455"/>
  <c r="W1443"/>
  <c r="B1443"/>
  <c r="I1415"/>
  <c r="W1415"/>
  <c r="B1393"/>
  <c r="I1393"/>
  <c r="B1376"/>
  <c r="H1376"/>
  <c r="W1360"/>
  <c r="B1360"/>
  <c r="W1323"/>
  <c r="I1323"/>
  <c r="H1303"/>
  <c r="I1303"/>
  <c r="W1295"/>
  <c r="I1295"/>
  <c r="B1283"/>
  <c r="I1283"/>
  <c r="B1244"/>
  <c r="I1244"/>
  <c r="B1225"/>
  <c r="H1225"/>
  <c r="W1217"/>
  <c r="I1217"/>
  <c r="B1204"/>
  <c r="H1204"/>
  <c r="W1196"/>
  <c r="I1196"/>
  <c r="H1144"/>
  <c r="B1144"/>
  <c r="H1118"/>
  <c r="B1118"/>
  <c r="I1118"/>
  <c r="H1109"/>
  <c r="W1109"/>
  <c r="I1109"/>
  <c r="B1109"/>
  <c r="H1105"/>
  <c r="W1105"/>
  <c r="B1105"/>
  <c r="H1097"/>
  <c r="I1097"/>
  <c r="W1097"/>
  <c r="B1071"/>
  <c r="W1071"/>
  <c r="W1059"/>
  <c r="H1059"/>
  <c r="B1039"/>
  <c r="H1039"/>
  <c r="I1039"/>
  <c r="W1039"/>
  <c r="B1035"/>
  <c r="H1035"/>
  <c r="W1035"/>
  <c r="B1031"/>
  <c r="I1031"/>
  <c r="H1031"/>
  <c r="W1031"/>
  <c r="H1019"/>
  <c r="B1019"/>
  <c r="W972"/>
  <c r="B972"/>
  <c r="B907"/>
  <c r="W907"/>
  <c r="F856"/>
  <c r="F857" s="1"/>
  <c r="G856"/>
  <c r="G857" s="1"/>
  <c r="E856"/>
  <c r="E857" s="1"/>
  <c r="I825"/>
  <c r="W825"/>
  <c r="H825"/>
  <c r="B825"/>
  <c r="H810"/>
  <c r="I810"/>
  <c r="B810"/>
  <c r="I647"/>
  <c r="H647"/>
  <c r="B647"/>
  <c r="W647"/>
  <c r="B610"/>
  <c r="W610"/>
  <c r="I610"/>
  <c r="W606"/>
  <c r="B606"/>
  <c r="H606"/>
  <c r="H598"/>
  <c r="B598"/>
  <c r="I598"/>
  <c r="W598"/>
  <c r="H594"/>
  <c r="B594"/>
  <c r="H586"/>
  <c r="W586"/>
  <c r="B586"/>
  <c r="I586"/>
  <c r="W548"/>
  <c r="B548"/>
  <c r="H548"/>
  <c r="I540"/>
  <c r="B540"/>
  <c r="H540"/>
  <c r="B532"/>
  <c r="I532"/>
  <c r="H532"/>
  <c r="I513"/>
  <c r="B513"/>
  <c r="H513"/>
  <c r="W513"/>
  <c r="H505"/>
  <c r="B505"/>
  <c r="W505"/>
  <c r="I505"/>
  <c r="H493"/>
  <c r="W493"/>
  <c r="B493"/>
  <c r="I493"/>
  <c r="B384"/>
  <c r="H384"/>
  <c r="W384"/>
  <c r="B376"/>
  <c r="W376"/>
  <c r="I376"/>
  <c r="F366"/>
  <c r="F367" s="1"/>
  <c r="G366"/>
  <c r="G367" s="1"/>
  <c r="E366"/>
  <c r="E367" s="1"/>
  <c r="B363"/>
  <c r="H363"/>
  <c r="W363"/>
  <c r="I363"/>
  <c r="B347"/>
  <c r="H347"/>
  <c r="W347"/>
  <c r="I347"/>
  <c r="B321"/>
  <c r="H321"/>
  <c r="W321"/>
  <c r="I321"/>
  <c r="I313"/>
  <c r="W313"/>
  <c r="B313"/>
  <c r="W302"/>
  <c r="H302"/>
  <c r="I302"/>
  <c r="B302"/>
  <c r="B281"/>
  <c r="H281"/>
  <c r="W281"/>
  <c r="I281"/>
  <c r="B234"/>
  <c r="W234"/>
  <c r="H234"/>
  <c r="I234"/>
  <c r="G441"/>
  <c r="G442" s="1"/>
  <c r="G443" s="1"/>
  <c r="F441"/>
  <c r="F442" s="1"/>
  <c r="F443" s="1"/>
  <c r="E441"/>
  <c r="E442" s="1"/>
  <c r="E443" s="1"/>
  <c r="I214"/>
  <c r="W214"/>
  <c r="H214"/>
  <c r="B214"/>
  <c r="R202"/>
  <c r="L202"/>
  <c r="H199"/>
  <c r="B199"/>
  <c r="I199"/>
  <c r="W199"/>
  <c r="I191"/>
  <c r="B191"/>
  <c r="H191"/>
  <c r="W191"/>
  <c r="H324"/>
  <c r="I324"/>
  <c r="B324"/>
  <c r="W324"/>
  <c r="I166"/>
  <c r="H166"/>
  <c r="W166"/>
  <c r="B166"/>
  <c r="I158"/>
  <c r="W158"/>
  <c r="B158"/>
  <c r="H158"/>
  <c r="B148"/>
  <c r="W148"/>
  <c r="H148"/>
  <c r="I148"/>
  <c r="W140"/>
  <c r="B140"/>
  <c r="H140"/>
  <c r="I140"/>
  <c r="H297"/>
  <c r="W297"/>
  <c r="B297"/>
  <c r="B125"/>
  <c r="W125"/>
  <c r="I125"/>
  <c r="H125"/>
  <c r="B117"/>
  <c r="I117"/>
  <c r="H117"/>
  <c r="W117"/>
  <c r="B75"/>
  <c r="W75"/>
  <c r="H75"/>
  <c r="I75"/>
  <c r="B65"/>
  <c r="W65"/>
  <c r="B57"/>
  <c r="H57"/>
  <c r="I57"/>
  <c r="W57"/>
  <c r="W48"/>
  <c r="H48"/>
  <c r="I48"/>
  <c r="P437" i="26"/>
  <c r="I437" s="1"/>
  <c r="O437"/>
  <c r="O423"/>
  <c r="P423"/>
  <c r="T423" s="1"/>
  <c r="P419"/>
  <c r="O419"/>
  <c r="P415"/>
  <c r="O415"/>
  <c r="P408"/>
  <c r="O408"/>
  <c r="P404"/>
  <c r="N404" s="1"/>
  <c r="O404"/>
  <c r="P382"/>
  <c r="O382"/>
  <c r="O378"/>
  <c r="P378"/>
  <c r="Q378" s="1"/>
  <c r="I374"/>
  <c r="T374"/>
  <c r="P342"/>
  <c r="O342"/>
  <c r="O320"/>
  <c r="P320"/>
  <c r="I320" s="1"/>
  <c r="P298"/>
  <c r="I298" s="1"/>
  <c r="O298"/>
  <c r="P228"/>
  <c r="O228"/>
  <c r="O219"/>
  <c r="P219"/>
  <c r="T219" s="1"/>
  <c r="N214"/>
  <c r="I214"/>
  <c r="Q214"/>
  <c r="O192"/>
  <c r="P192"/>
  <c r="N192" s="1"/>
  <c r="P190"/>
  <c r="O190"/>
  <c r="O158"/>
  <c r="P158"/>
  <c r="N158" s="1"/>
  <c r="P149"/>
  <c r="O149"/>
  <c r="O145"/>
  <c r="P145"/>
  <c r="T145" s="1"/>
  <c r="P126"/>
  <c r="O126"/>
  <c r="O119"/>
  <c r="P119"/>
  <c r="T119" s="1"/>
  <c r="O115"/>
  <c r="P115"/>
  <c r="T115" s="1"/>
  <c r="N99"/>
  <c r="T99"/>
  <c r="Q99"/>
  <c r="I99"/>
  <c r="O90"/>
  <c r="P90"/>
  <c r="Q90" s="1"/>
  <c r="P56"/>
  <c r="O56"/>
  <c r="O52"/>
  <c r="P52"/>
  <c r="T52" s="1"/>
  <c r="N34"/>
  <c r="T34"/>
  <c r="W1416" i="12"/>
  <c r="H1416"/>
  <c r="B1416"/>
  <c r="H1433"/>
  <c r="I1433"/>
  <c r="W1433"/>
  <c r="B1433"/>
  <c r="E1437"/>
  <c r="E1438" s="1"/>
  <c r="E1439" s="1"/>
  <c r="E1440" s="1"/>
  <c r="F1437"/>
  <c r="F1438" s="1"/>
  <c r="F1439" s="1"/>
  <c r="F1440" s="1"/>
  <c r="G1437"/>
  <c r="G1438" s="1"/>
  <c r="G1439" s="1"/>
  <c r="G1440" s="1"/>
  <c r="W466"/>
  <c r="B466"/>
  <c r="I466"/>
  <c r="H466"/>
  <c r="G531"/>
  <c r="G532" s="1"/>
  <c r="G533" s="1"/>
  <c r="G534" s="1"/>
  <c r="G535" s="1"/>
  <c r="G536" s="1"/>
  <c r="G537" s="1"/>
  <c r="G538" s="1"/>
  <c r="G539" s="1"/>
  <c r="G540" s="1"/>
  <c r="G541" s="1"/>
  <c r="E531"/>
  <c r="E532" s="1"/>
  <c r="E533" s="1"/>
  <c r="E534" s="1"/>
  <c r="E535" s="1"/>
  <c r="E536" s="1"/>
  <c r="E537" s="1"/>
  <c r="E538" s="1"/>
  <c r="E539" s="1"/>
  <c r="E540" s="1"/>
  <c r="E541" s="1"/>
  <c r="F531"/>
  <c r="F532" s="1"/>
  <c r="F533" s="1"/>
  <c r="F534" s="1"/>
  <c r="F535" s="1"/>
  <c r="F536" s="1"/>
  <c r="F537" s="1"/>
  <c r="F538" s="1"/>
  <c r="F539" s="1"/>
  <c r="F540" s="1"/>
  <c r="F541" s="1"/>
  <c r="E559"/>
  <c r="E560" s="1"/>
  <c r="F559"/>
  <c r="F560" s="1"/>
  <c r="G559"/>
  <c r="G560" s="1"/>
  <c r="Y35"/>
  <c r="L35" s="1"/>
  <c r="Y1065"/>
  <c r="O1065" s="1"/>
  <c r="Y238"/>
  <c r="L238" s="1"/>
  <c r="Y1162"/>
  <c r="O1162" s="1"/>
  <c r="B1213"/>
  <c r="H830"/>
  <c r="W832"/>
  <c r="H840"/>
  <c r="H995"/>
  <c r="W1022"/>
  <c r="B1300"/>
  <c r="I1352"/>
  <c r="I1225"/>
  <c r="W1221"/>
  <c r="B1295"/>
  <c r="W1352"/>
  <c r="I1376"/>
  <c r="B701"/>
  <c r="I726"/>
  <c r="B1415"/>
  <c r="B1420"/>
  <c r="B1455"/>
  <c r="H1471"/>
  <c r="C2860"/>
  <c r="E644"/>
  <c r="Q157" i="26"/>
  <c r="O214"/>
  <c r="O24"/>
  <c r="P167"/>
  <c r="N167" s="1"/>
  <c r="E493" i="12"/>
  <c r="E494" s="1"/>
  <c r="E495" s="1"/>
  <c r="E496" s="1"/>
  <c r="E497" s="1"/>
  <c r="E498" s="1"/>
  <c r="E499" s="1"/>
  <c r="E500" s="1"/>
  <c r="E501" s="1"/>
  <c r="E502" s="1"/>
  <c r="E503" s="1"/>
  <c r="E504" s="1"/>
  <c r="E505" s="1"/>
  <c r="E506" s="1"/>
  <c r="E507" s="1"/>
  <c r="E1016"/>
  <c r="E1017" s="1"/>
  <c r="E1018" s="1"/>
  <c r="E1019" s="1"/>
  <c r="E1020" s="1"/>
  <c r="O374" i="26"/>
  <c r="I1144" i="12"/>
  <c r="W1118"/>
  <c r="H376"/>
  <c r="H1126"/>
  <c r="G1433"/>
  <c r="G1434" s="1"/>
  <c r="G1435" s="1"/>
  <c r="I218"/>
  <c r="W540"/>
  <c r="G701"/>
  <c r="G702" s="1"/>
  <c r="I1373"/>
  <c r="W1373"/>
  <c r="W1371"/>
  <c r="H1371"/>
  <c r="I1371"/>
  <c r="H1353"/>
  <c r="W1353"/>
  <c r="B1321"/>
  <c r="I1321"/>
  <c r="W1321"/>
  <c r="H1312"/>
  <c r="I1312"/>
  <c r="H1297"/>
  <c r="B1297"/>
  <c r="I1297"/>
  <c r="W1297"/>
  <c r="W1288"/>
  <c r="B1288"/>
  <c r="H1288"/>
  <c r="W1284"/>
  <c r="I1284"/>
  <c r="H1284"/>
  <c r="H1250"/>
  <c r="B1250"/>
  <c r="H1241"/>
  <c r="B1241"/>
  <c r="H1226"/>
  <c r="I1226"/>
  <c r="B1226"/>
  <c r="W1226"/>
  <c r="H1218"/>
  <c r="I1218"/>
  <c r="W1218"/>
  <c r="B1218"/>
  <c r="W1210"/>
  <c r="H1210"/>
  <c r="B1205"/>
  <c r="I1205"/>
  <c r="F1199"/>
  <c r="F1200" s="1"/>
  <c r="F1201" s="1"/>
  <c r="H1130"/>
  <c r="B1130"/>
  <c r="B1164"/>
  <c r="I1164"/>
  <c r="W1164"/>
  <c r="H1164"/>
  <c r="W1152"/>
  <c r="H1152"/>
  <c r="B1152"/>
  <c r="I1119"/>
  <c r="H1119"/>
  <c r="W1119"/>
  <c r="I1110"/>
  <c r="B1110"/>
  <c r="H1110"/>
  <c r="W1110"/>
  <c r="I1102"/>
  <c r="B1102"/>
  <c r="H1102"/>
  <c r="W1102"/>
  <c r="I1098"/>
  <c r="B1098"/>
  <c r="W1098"/>
  <c r="W1072"/>
  <c r="H1072"/>
  <c r="B1072"/>
  <c r="H1064"/>
  <c r="B1064"/>
  <c r="I1064"/>
  <c r="F1054"/>
  <c r="F1055" s="1"/>
  <c r="G1054"/>
  <c r="G1055" s="1"/>
  <c r="E1054"/>
  <c r="E1055" s="1"/>
  <c r="H1044"/>
  <c r="W1044"/>
  <c r="I1044"/>
  <c r="B1044"/>
  <c r="H1032"/>
  <c r="I1032"/>
  <c r="B1032"/>
  <c r="W1032"/>
  <c r="I991"/>
  <c r="W991"/>
  <c r="H983"/>
  <c r="I983"/>
  <c r="E975"/>
  <c r="E976" s="1"/>
  <c r="E977" s="1"/>
  <c r="E978" s="1"/>
  <c r="E979" s="1"/>
  <c r="E980" s="1"/>
  <c r="E981" s="1"/>
  <c r="E982" s="1"/>
  <c r="E983" s="1"/>
  <c r="E984" s="1"/>
  <c r="E985" s="1"/>
  <c r="I973"/>
  <c r="W973"/>
  <c r="W956"/>
  <c r="H956"/>
  <c r="B956"/>
  <c r="I924"/>
  <c r="B924"/>
  <c r="W924"/>
  <c r="H924"/>
  <c r="I920"/>
  <c r="B920"/>
  <c r="W920"/>
  <c r="H912"/>
  <c r="I912"/>
  <c r="B912"/>
  <c r="H899"/>
  <c r="W899"/>
  <c r="B899"/>
  <c r="H895"/>
  <c r="B895"/>
  <c r="W895"/>
  <c r="I895"/>
  <c r="H887"/>
  <c r="I887"/>
  <c r="B887"/>
  <c r="W887"/>
  <c r="G883"/>
  <c r="G884" s="1"/>
  <c r="G885" s="1"/>
  <c r="G886" s="1"/>
  <c r="G887" s="1"/>
  <c r="G888" s="1"/>
  <c r="G889" s="1"/>
  <c r="G890" s="1"/>
  <c r="G891" s="1"/>
  <c r="G892" s="1"/>
  <c r="G893" s="1"/>
  <c r="G894" s="1"/>
  <c r="G895" s="1"/>
  <c r="G896" s="1"/>
  <c r="G897" s="1"/>
  <c r="F883"/>
  <c r="F884" s="1"/>
  <c r="F885" s="1"/>
  <c r="F886" s="1"/>
  <c r="F887" s="1"/>
  <c r="F888" s="1"/>
  <c r="F889" s="1"/>
  <c r="F890" s="1"/>
  <c r="F891" s="1"/>
  <c r="F892" s="1"/>
  <c r="F893" s="1"/>
  <c r="F894" s="1"/>
  <c r="F895" s="1"/>
  <c r="F896" s="1"/>
  <c r="F897" s="1"/>
  <c r="I857"/>
  <c r="W857"/>
  <c r="B857"/>
  <c r="I849"/>
  <c r="H849"/>
  <c r="B849"/>
  <c r="I845"/>
  <c r="H845"/>
  <c r="W845"/>
  <c r="B845"/>
  <c r="I833"/>
  <c r="H833"/>
  <c r="B833"/>
  <c r="I807"/>
  <c r="H807"/>
  <c r="W767"/>
  <c r="H767"/>
  <c r="I744"/>
  <c r="W744"/>
  <c r="H744"/>
  <c r="B744"/>
  <c r="I731"/>
  <c r="B731"/>
  <c r="W731"/>
  <c r="H731"/>
  <c r="W723"/>
  <c r="H723"/>
  <c r="I723"/>
  <c r="B711"/>
  <c r="W711"/>
  <c r="I711"/>
  <c r="H711"/>
  <c r="I708"/>
  <c r="B708"/>
  <c r="W708"/>
  <c r="H708"/>
  <c r="G695"/>
  <c r="G696" s="1"/>
  <c r="G697" s="1"/>
  <c r="E695"/>
  <c r="E696" s="1"/>
  <c r="E697" s="1"/>
  <c r="F695"/>
  <c r="F696" s="1"/>
  <c r="F697" s="1"/>
  <c r="H673"/>
  <c r="W673"/>
  <c r="I673"/>
  <c r="B673"/>
  <c r="H668"/>
  <c r="B668"/>
  <c r="W668"/>
  <c r="I661"/>
  <c r="H661"/>
  <c r="B661"/>
  <c r="I658"/>
  <c r="B658"/>
  <c r="W658"/>
  <c r="I648"/>
  <c r="B648"/>
  <c r="W648"/>
  <c r="W644"/>
  <c r="I644"/>
  <c r="B644"/>
  <c r="H644"/>
  <c r="I611"/>
  <c r="H611"/>
  <c r="W611"/>
  <c r="B611"/>
  <c r="H595"/>
  <c r="B595"/>
  <c r="W595"/>
  <c r="I595"/>
  <c r="I587"/>
  <c r="B587"/>
  <c r="W587"/>
  <c r="I554"/>
  <c r="B554"/>
  <c r="H554"/>
  <c r="H537"/>
  <c r="W537"/>
  <c r="B537"/>
  <c r="I537"/>
  <c r="H519"/>
  <c r="W519"/>
  <c r="B519"/>
  <c r="I519"/>
  <c r="B510"/>
  <c r="W510"/>
  <c r="I510"/>
  <c r="H510"/>
  <c r="B502"/>
  <c r="W502"/>
  <c r="I502"/>
  <c r="H502"/>
  <c r="B498"/>
  <c r="I498"/>
  <c r="W498"/>
  <c r="H498"/>
  <c r="H388"/>
  <c r="W388"/>
  <c r="B388"/>
  <c r="I388"/>
  <c r="H381"/>
  <c r="W381"/>
  <c r="I381"/>
  <c r="B381"/>
  <c r="B377"/>
  <c r="H377"/>
  <c r="I377"/>
  <c r="W377"/>
  <c r="B369"/>
  <c r="H369"/>
  <c r="I369"/>
  <c r="B367"/>
  <c r="W367"/>
  <c r="H367"/>
  <c r="I367"/>
  <c r="H360"/>
  <c r="I360"/>
  <c r="B360"/>
  <c r="W360"/>
  <c r="H348"/>
  <c r="I348"/>
  <c r="B348"/>
  <c r="W348"/>
  <c r="B340"/>
  <c r="I340"/>
  <c r="H340"/>
  <c r="F338"/>
  <c r="D338"/>
  <c r="G338"/>
  <c r="E338"/>
  <c r="H303"/>
  <c r="W303"/>
  <c r="B303"/>
  <c r="I303"/>
  <c r="B289"/>
  <c r="I289"/>
  <c r="H289"/>
  <c r="W289"/>
  <c r="I284"/>
  <c r="B284"/>
  <c r="H284"/>
  <c r="I282"/>
  <c r="H282"/>
  <c r="W282"/>
  <c r="E272"/>
  <c r="E273" s="1"/>
  <c r="E274" s="1"/>
  <c r="F272"/>
  <c r="F273" s="1"/>
  <c r="F274" s="1"/>
  <c r="I247"/>
  <c r="W247"/>
  <c r="B247"/>
  <c r="H247"/>
  <c r="I239"/>
  <c r="H239"/>
  <c r="W239"/>
  <c r="B239"/>
  <c r="I231"/>
  <c r="B231"/>
  <c r="H231"/>
  <c r="W231"/>
  <c r="H227"/>
  <c r="W227"/>
  <c r="B227"/>
  <c r="I227"/>
  <c r="H211"/>
  <c r="W211"/>
  <c r="B211"/>
  <c r="I211"/>
  <c r="I159"/>
  <c r="H159"/>
  <c r="B159"/>
  <c r="W159"/>
  <c r="H149"/>
  <c r="W149"/>
  <c r="B149"/>
  <c r="B141"/>
  <c r="I141"/>
  <c r="H141"/>
  <c r="W141"/>
  <c r="H298"/>
  <c r="B298"/>
  <c r="W298"/>
  <c r="I298"/>
  <c r="I122"/>
  <c r="B122"/>
  <c r="H122"/>
  <c r="W122"/>
  <c r="H83"/>
  <c r="I83"/>
  <c r="W83"/>
  <c r="B83"/>
  <c r="H76"/>
  <c r="I76"/>
  <c r="B76"/>
  <c r="W76"/>
  <c r="H58"/>
  <c r="I58"/>
  <c r="W58"/>
  <c r="H54"/>
  <c r="I54"/>
  <c r="W54"/>
  <c r="B54"/>
  <c r="H49"/>
  <c r="W49"/>
  <c r="I49"/>
  <c r="B49"/>
  <c r="W41"/>
  <c r="B41"/>
  <c r="H41"/>
  <c r="I41"/>
  <c r="I32"/>
  <c r="H32"/>
  <c r="W32"/>
  <c r="B32"/>
  <c r="B24"/>
  <c r="H24"/>
  <c r="I24"/>
  <c r="W24"/>
  <c r="O10"/>
  <c r="L10"/>
  <c r="P10"/>
  <c r="O479" i="26"/>
  <c r="P479"/>
  <c r="N479" s="1"/>
  <c r="P477"/>
  <c r="O477"/>
  <c r="O456"/>
  <c r="P456"/>
  <c r="Q456" s="1"/>
  <c r="O420"/>
  <c r="P420"/>
  <c r="N420" s="1"/>
  <c r="P416"/>
  <c r="O416"/>
  <c r="P392"/>
  <c r="I392" s="1"/>
  <c r="O392"/>
  <c r="O388"/>
  <c r="P388"/>
  <c r="Q388" s="1"/>
  <c r="O383"/>
  <c r="P383"/>
  <c r="T375"/>
  <c r="N375"/>
  <c r="P367"/>
  <c r="T367" s="1"/>
  <c r="O367"/>
  <c r="P343"/>
  <c r="O343"/>
  <c r="P333"/>
  <c r="O333"/>
  <c r="P331"/>
  <c r="O331"/>
  <c r="O325"/>
  <c r="P325"/>
  <c r="I325" s="1"/>
  <c r="O308"/>
  <c r="P308"/>
  <c r="N308" s="1"/>
  <c r="P285"/>
  <c r="O285"/>
  <c r="O257"/>
  <c r="P257"/>
  <c r="T257" s="1"/>
  <c r="O244"/>
  <c r="P244"/>
  <c r="Q244" s="1"/>
  <c r="P234"/>
  <c r="O234"/>
  <c r="P206"/>
  <c r="O206"/>
  <c r="P181"/>
  <c r="T181" s="1"/>
  <c r="O181"/>
  <c r="P173"/>
  <c r="N173" s="1"/>
  <c r="O173"/>
  <c r="O150"/>
  <c r="P150"/>
  <c r="I150" s="1"/>
  <c r="P140"/>
  <c r="O140"/>
  <c r="P136"/>
  <c r="O136"/>
  <c r="O127"/>
  <c r="P127"/>
  <c r="Q127" s="1"/>
  <c r="P120"/>
  <c r="O120"/>
  <c r="P112"/>
  <c r="O112"/>
  <c r="P108"/>
  <c r="O108"/>
  <c r="P100"/>
  <c r="O100"/>
  <c r="O74"/>
  <c r="P74"/>
  <c r="I74" s="1"/>
  <c r="O53"/>
  <c r="P53"/>
  <c r="T53" s="1"/>
  <c r="P40"/>
  <c r="O40"/>
  <c r="P35"/>
  <c r="O35"/>
  <c r="O25"/>
  <c r="P25"/>
  <c r="I25" s="1"/>
  <c r="O14"/>
  <c r="P14"/>
  <c r="I14" s="1"/>
  <c r="H1432" i="12"/>
  <c r="I1432"/>
  <c r="B1432"/>
  <c r="W1432"/>
  <c r="W465"/>
  <c r="H465"/>
  <c r="Y501"/>
  <c r="L501" s="1"/>
  <c r="Y22"/>
  <c r="Y48"/>
  <c r="R48" s="1"/>
  <c r="T48" s="1"/>
  <c r="U48" s="1"/>
  <c r="Y1229"/>
  <c r="P1229" s="1"/>
  <c r="Y1467"/>
  <c r="F1187"/>
  <c r="H1222"/>
  <c r="I960"/>
  <c r="W978"/>
  <c r="W1132"/>
  <c r="I1210"/>
  <c r="I844"/>
  <c r="W1214"/>
  <c r="H1201"/>
  <c r="I1214"/>
  <c r="G1196"/>
  <c r="G1197" s="1"/>
  <c r="B991"/>
  <c r="B1356"/>
  <c r="W1348"/>
  <c r="B1366"/>
  <c r="B1287"/>
  <c r="I1240"/>
  <c r="G1370"/>
  <c r="G1371" s="1"/>
  <c r="H1244"/>
  <c r="W1370"/>
  <c r="B1348"/>
  <c r="I1311"/>
  <c r="I1279"/>
  <c r="H1291"/>
  <c r="W1303"/>
  <c r="W1315"/>
  <c r="H1356"/>
  <c r="I1370"/>
  <c r="W883"/>
  <c r="I742"/>
  <c r="W766"/>
  <c r="I956"/>
  <c r="H920"/>
  <c r="W849"/>
  <c r="B1451"/>
  <c r="W1459"/>
  <c r="H1467"/>
  <c r="B1476"/>
  <c r="B1488"/>
  <c r="B1217"/>
  <c r="W1248"/>
  <c r="B1315"/>
  <c r="I168" i="26"/>
  <c r="P321"/>
  <c r="I321" s="1"/>
  <c r="P10" i="11"/>
  <c r="O442" i="26"/>
  <c r="H952" i="12"/>
  <c r="W1130"/>
  <c r="I1048"/>
  <c r="I1250"/>
  <c r="W1156"/>
  <c r="I1130"/>
  <c r="H1197"/>
  <c r="W1245"/>
  <c r="I1280"/>
  <c r="I1292"/>
  <c r="B1312"/>
  <c r="B1353"/>
  <c r="H1381"/>
  <c r="P307" i="26"/>
  <c r="I307" s="1"/>
  <c r="P311"/>
  <c r="T311" s="1"/>
  <c r="O70"/>
  <c r="E715" i="12"/>
  <c r="E716" s="1"/>
  <c r="P248" i="26"/>
  <c r="T248" s="1"/>
  <c r="T24"/>
  <c r="O432"/>
  <c r="O157"/>
  <c r="P163"/>
  <c r="I163" s="1"/>
  <c r="P134"/>
  <c r="N134" s="1"/>
  <c r="P276"/>
  <c r="N276" s="1"/>
  <c r="G519" i="12"/>
  <c r="G520" s="1"/>
  <c r="G521" s="1"/>
  <c r="W818"/>
  <c r="W1051"/>
  <c r="H1051"/>
  <c r="W923"/>
  <c r="B848"/>
  <c r="W844"/>
  <c r="B1106"/>
  <c r="B1119"/>
  <c r="O293" i="26"/>
  <c r="P312"/>
  <c r="I312" s="1"/>
  <c r="H121" i="12"/>
  <c r="E54"/>
  <c r="E55" s="1"/>
  <c r="E56" s="1"/>
  <c r="E57" s="1"/>
  <c r="E58" s="1"/>
  <c r="E59" s="1"/>
  <c r="E60" s="1"/>
  <c r="E61" s="1"/>
  <c r="E62" s="1"/>
  <c r="E63" s="1"/>
  <c r="E64" s="1"/>
  <c r="E65" s="1"/>
  <c r="I297"/>
  <c r="B282"/>
  <c r="I31"/>
  <c r="G148"/>
  <c r="G149" s="1"/>
  <c r="G150" s="1"/>
  <c r="B235"/>
  <c r="H536"/>
  <c r="I594"/>
  <c r="H610"/>
  <c r="I606"/>
  <c r="H658"/>
  <c r="I668"/>
  <c r="I65"/>
  <c r="B69"/>
  <c r="H313"/>
  <c r="H245"/>
  <c r="W554"/>
  <c r="W702"/>
  <c r="E439"/>
  <c r="E140"/>
  <c r="E141" s="1"/>
  <c r="N177" i="26"/>
  <c r="Q36"/>
  <c r="I36"/>
  <c r="I401"/>
  <c r="N286"/>
  <c r="N36"/>
  <c r="T241"/>
  <c r="T17"/>
  <c r="T177"/>
  <c r="I17"/>
  <c r="Q434"/>
  <c r="T434"/>
  <c r="Q282"/>
  <c r="I282"/>
  <c r="Y1483" i="12"/>
  <c r="Y734"/>
  <c r="L734" s="1"/>
  <c r="Y808"/>
  <c r="O808" s="1"/>
  <c r="Y379"/>
  <c r="R379" s="1"/>
  <c r="T379" s="1"/>
  <c r="U379" s="1"/>
  <c r="Y240"/>
  <c r="Y1379"/>
  <c r="O1379" s="1"/>
  <c r="Y537"/>
  <c r="L537" s="1"/>
  <c r="T282" i="26"/>
  <c r="Y1248" i="12"/>
  <c r="R1248" s="1"/>
  <c r="T1248" s="1"/>
  <c r="U1248" s="1"/>
  <c r="Y1061"/>
  <c r="L1061" s="1"/>
  <c r="Q70" i="26"/>
  <c r="Y284" i="12"/>
  <c r="R284" s="1"/>
  <c r="T284" s="1"/>
  <c r="U284" s="1"/>
  <c r="Y1057"/>
  <c r="L1057" s="1"/>
  <c r="Y1443"/>
  <c r="O1443" s="1"/>
  <c r="Y1419"/>
  <c r="O1419" s="1"/>
  <c r="Y1208"/>
  <c r="L1208" s="1"/>
  <c r="Y294"/>
  <c r="Y705"/>
  <c r="L705" s="1"/>
  <c r="Y1235"/>
  <c r="P1235" s="1"/>
  <c r="Y559"/>
  <c r="Y14"/>
  <c r="R14" s="1"/>
  <c r="T14" s="1"/>
  <c r="U14" s="1"/>
  <c r="Y231"/>
  <c r="O231" s="1"/>
  <c r="Y54"/>
  <c r="Y582"/>
  <c r="P582" s="1"/>
  <c r="Y975"/>
  <c r="L975" s="1"/>
  <c r="Y1448"/>
  <c r="R1448" s="1"/>
  <c r="T1448" s="1"/>
  <c r="U1448" s="1"/>
  <c r="Y1347"/>
  <c r="Y1279"/>
  <c r="R1279" s="1"/>
  <c r="T1279" s="1"/>
  <c r="U1279" s="1"/>
  <c r="Y755"/>
  <c r="P755" s="1"/>
  <c r="Y973"/>
  <c r="L973" s="1"/>
  <c r="Y1349"/>
  <c r="R1349" s="1"/>
  <c r="T1349" s="1"/>
  <c r="U1349" s="1"/>
  <c r="Y1238"/>
  <c r="R1238" s="1"/>
  <c r="T1238" s="1"/>
  <c r="U1238" s="1"/>
  <c r="Y274"/>
  <c r="O274" s="1"/>
  <c r="Y804"/>
  <c r="R804" s="1"/>
  <c r="T804" s="1"/>
  <c r="U804" s="1"/>
  <c r="Y756"/>
  <c r="O756" s="1"/>
  <c r="Y924"/>
  <c r="O924" s="1"/>
  <c r="Y364"/>
  <c r="P364" s="1"/>
  <c r="Y1433"/>
  <c r="L1433" s="1"/>
  <c r="Y548"/>
  <c r="P548" s="1"/>
  <c r="Y854"/>
  <c r="Y904"/>
  <c r="P904" s="1"/>
  <c r="Y505"/>
  <c r="L505" s="1"/>
  <c r="Y979"/>
  <c r="R979" s="1"/>
  <c r="T979" s="1"/>
  <c r="U979" s="1"/>
  <c r="Y1294"/>
  <c r="R1294" s="1"/>
  <c r="T1294" s="1"/>
  <c r="U1294" s="1"/>
  <c r="Y498"/>
  <c r="Y235"/>
  <c r="R235" s="1"/>
  <c r="T235" s="1"/>
  <c r="U235" s="1"/>
  <c r="Y813"/>
  <c r="P813" s="1"/>
  <c r="Y1482"/>
  <c r="L1482" s="1"/>
  <c r="Y1452"/>
  <c r="P1452" s="1"/>
  <c r="Y1288"/>
  <c r="P1288" s="1"/>
  <c r="Y1300"/>
  <c r="L1300" s="1"/>
  <c r="Y1283"/>
  <c r="L1283" s="1"/>
  <c r="Y25"/>
  <c r="P25" s="1"/>
  <c r="Y41"/>
  <c r="O41" s="1"/>
  <c r="Y247"/>
  <c r="O247" s="1"/>
  <c r="Y1196"/>
  <c r="L1196" s="1"/>
  <c r="Y772"/>
  <c r="L772" s="1"/>
  <c r="Y531"/>
  <c r="R531" s="1"/>
  <c r="T531" s="1"/>
  <c r="U531" s="1"/>
  <c r="Y200"/>
  <c r="R200" s="1"/>
  <c r="T200" s="1"/>
  <c r="U200" s="1"/>
  <c r="Y388"/>
  <c r="Y366"/>
  <c r="P366" s="1"/>
  <c r="Y1143"/>
  <c r="P1143" s="1"/>
  <c r="Y1392"/>
  <c r="L1392" s="1"/>
  <c r="Y1346"/>
  <c r="R1346" s="1"/>
  <c r="T1346" s="1"/>
  <c r="U1346" s="1"/>
  <c r="Y744"/>
  <c r="O744" s="1"/>
  <c r="Y493"/>
  <c r="Y994"/>
  <c r="R994" s="1"/>
  <c r="T994" s="1"/>
  <c r="U994" s="1"/>
  <c r="Y714"/>
  <c r="O714" s="1"/>
  <c r="Y312"/>
  <c r="O312" s="1"/>
  <c r="Y1305"/>
  <c r="L1305" s="1"/>
  <c r="Y972"/>
  <c r="Y321"/>
  <c r="P321" s="1"/>
  <c r="Y1370"/>
  <c r="Y298"/>
  <c r="Y1149"/>
  <c r="Y1203"/>
  <c r="Y516"/>
  <c r="Y673"/>
  <c r="Y886"/>
  <c r="Y1237"/>
  <c r="Y1281"/>
  <c r="P1281" s="1"/>
  <c r="Y1416"/>
  <c r="L1416" s="1"/>
  <c r="Y1434"/>
  <c r="Y43"/>
  <c r="R43" s="1"/>
  <c r="T43" s="1"/>
  <c r="U43" s="1"/>
  <c r="Y824"/>
  <c r="Y992"/>
  <c r="O992" s="1"/>
  <c r="Y382"/>
  <c r="P382" s="1"/>
  <c r="Y239"/>
  <c r="Y612"/>
  <c r="O612" s="1"/>
  <c r="Y814"/>
  <c r="L814" s="1"/>
  <c r="Y326"/>
  <c r="R326" s="1"/>
  <c r="T326" s="1"/>
  <c r="U326" s="1"/>
  <c r="Y1461"/>
  <c r="R1461" s="1"/>
  <c r="T1461" s="1"/>
  <c r="U1461" s="1"/>
  <c r="Y506"/>
  <c r="P506" s="1"/>
  <c r="Y1455"/>
  <c r="O1455" s="1"/>
  <c r="Y1106"/>
  <c r="Y19"/>
  <c r="L19" s="1"/>
  <c r="Y1381"/>
  <c r="P1381" s="1"/>
  <c r="Y1103"/>
  <c r="Y50"/>
  <c r="P50" s="1"/>
  <c r="Y385"/>
  <c r="P385" s="1"/>
  <c r="Y272"/>
  <c r="O272" s="1"/>
  <c r="Y301"/>
  <c r="L301" s="1"/>
  <c r="Y701"/>
  <c r="Y1121"/>
  <c r="O1121" s="1"/>
  <c r="Y1278"/>
  <c r="R1278" s="1"/>
  <c r="T1278" s="1"/>
  <c r="U1278" s="1"/>
  <c r="Y190"/>
  <c r="L190" s="1"/>
  <c r="Y907"/>
  <c r="R907" s="1"/>
  <c r="T907" s="1"/>
  <c r="U907" s="1"/>
  <c r="Y1075"/>
  <c r="Y1096"/>
  <c r="Y1029"/>
  <c r="L1029" s="1"/>
  <c r="Y856"/>
  <c r="R856" s="1"/>
  <c r="T856" s="1"/>
  <c r="U856" s="1"/>
  <c r="Y369"/>
  <c r="O369" s="1"/>
  <c r="Y340"/>
  <c r="Y528"/>
  <c r="P528" s="1"/>
  <c r="Y324"/>
  <c r="Y1373"/>
  <c r="R1373" s="1"/>
  <c r="T1373" s="1"/>
  <c r="U1373" s="1"/>
  <c r="Y1445"/>
  <c r="L1445" s="1"/>
  <c r="Y1476"/>
  <c r="P1476" s="1"/>
  <c r="Y233"/>
  <c r="O233" s="1"/>
  <c r="Y773"/>
  <c r="O773" s="1"/>
  <c r="Y723"/>
  <c r="P723" s="1"/>
  <c r="Y1371"/>
  <c r="O1371" s="1"/>
  <c r="Y1376"/>
  <c r="O1376" s="1"/>
  <c r="Y1451"/>
  <c r="R1451" s="1"/>
  <c r="T1451" s="1"/>
  <c r="U1451" s="1"/>
  <c r="Y1118"/>
  <c r="P1118" s="1"/>
  <c r="Y1432"/>
  <c r="L1432" s="1"/>
  <c r="Y386"/>
  <c r="R386" s="1"/>
  <c r="T386" s="1"/>
  <c r="U386" s="1"/>
  <c r="Y731"/>
  <c r="L731" s="1"/>
  <c r="Y1477"/>
  <c r="Y514"/>
  <c r="R514" s="1"/>
  <c r="T514" s="1"/>
  <c r="U514" s="1"/>
  <c r="Y739"/>
  <c r="O739" s="1"/>
  <c r="Y616"/>
  <c r="O616" s="1"/>
  <c r="Y827"/>
  <c r="Y539"/>
  <c r="O539" s="1"/>
  <c r="Y746"/>
  <c r="L746" s="1"/>
  <c r="Y1284"/>
  <c r="Y241"/>
  <c r="O241" s="1"/>
  <c r="Y1462"/>
  <c r="P1462" s="1"/>
  <c r="Y1295"/>
  <c r="O1295" s="1"/>
  <c r="Y18"/>
  <c r="L18" s="1"/>
  <c r="Y499"/>
  <c r="P499" s="1"/>
  <c r="Y1303"/>
  <c r="O1303" s="1"/>
  <c r="Y1102"/>
  <c r="R1102" s="1"/>
  <c r="T1102" s="1"/>
  <c r="U1102" s="1"/>
  <c r="Y1225"/>
  <c r="R1225" s="1"/>
  <c r="T1225" s="1"/>
  <c r="U1225" s="1"/>
  <c r="Y1456"/>
  <c r="O1456" s="1"/>
  <c r="Y1282"/>
  <c r="O1282" s="1"/>
  <c r="Y618"/>
  <c r="P618" s="1"/>
  <c r="Y679"/>
  <c r="L679" s="1"/>
  <c r="Y1224"/>
  <c r="P1224" s="1"/>
  <c r="Y984"/>
  <c r="O984" s="1"/>
  <c r="Y1151"/>
  <c r="O1151" s="1"/>
  <c r="Y729"/>
  <c r="P729" s="1"/>
  <c r="Y26"/>
  <c r="Q184" i="26"/>
  <c r="I184"/>
  <c r="Y1240" i="12"/>
  <c r="P1240" s="1"/>
  <c r="Y767"/>
  <c r="Y1158"/>
  <c r="Y374"/>
  <c r="Q393" i="26"/>
  <c r="N81"/>
  <c r="Y1069" i="12"/>
  <c r="P1069" s="1"/>
  <c r="Y543"/>
  <c r="Y541"/>
  <c r="R541" s="1"/>
  <c r="T541" s="1"/>
  <c r="U541" s="1"/>
  <c r="Y243"/>
  <c r="P243" s="1"/>
  <c r="Y1386"/>
  <c r="Y1322"/>
  <c r="O1322" s="1"/>
  <c r="Y1071"/>
  <c r="P1071" s="1"/>
  <c r="Y621"/>
  <c r="O621" s="1"/>
  <c r="Y1465"/>
  <c r="O1465" s="1"/>
  <c r="Y245"/>
  <c r="O245" s="1"/>
  <c r="Y517"/>
  <c r="Y991"/>
  <c r="Y851"/>
  <c r="O851" s="1"/>
  <c r="Y903"/>
  <c r="Y1049"/>
  <c r="L1049" s="1"/>
  <c r="Y21"/>
  <c r="L21" s="1"/>
  <c r="Y248"/>
  <c r="L248" s="1"/>
  <c r="Y730"/>
  <c r="Y900"/>
  <c r="O900" s="1"/>
  <c r="Y546"/>
  <c r="Y40"/>
  <c r="P40" s="1"/>
  <c r="Y384"/>
  <c r="Y547"/>
  <c r="Y1382"/>
  <c r="L1382" s="1"/>
  <c r="Y27"/>
  <c r="L27" s="1"/>
  <c r="Y608"/>
  <c r="Y1479"/>
  <c r="R1479" s="1"/>
  <c r="T1479" s="1"/>
  <c r="U1479" s="1"/>
  <c r="Y376"/>
  <c r="R376" s="1"/>
  <c r="T376" s="1"/>
  <c r="U376" s="1"/>
  <c r="Y535"/>
  <c r="Y614"/>
  <c r="Y985"/>
  <c r="O985" s="1"/>
  <c r="Y809"/>
  <c r="O809" s="1"/>
  <c r="Y1292"/>
  <c r="P1292" s="1"/>
  <c r="Y1116"/>
  <c r="P1116" s="1"/>
  <c r="Y51"/>
  <c r="Y1459"/>
  <c r="R1459" s="1"/>
  <c r="T1459" s="1"/>
  <c r="U1459" s="1"/>
  <c r="Y1388"/>
  <c r="L1388" s="1"/>
  <c r="Y1454"/>
  <c r="Y1385"/>
  <c r="R1385" s="1"/>
  <c r="T1385" s="1"/>
  <c r="U1385" s="1"/>
  <c r="Y1287"/>
  <c r="L1287" s="1"/>
  <c r="Y1072"/>
  <c r="L1072" s="1"/>
  <c r="Y45"/>
  <c r="R45" s="1"/>
  <c r="T45" s="1"/>
  <c r="U45" s="1"/>
  <c r="Y23"/>
  <c r="Y282"/>
  <c r="Y381"/>
  <c r="R381" s="1"/>
  <c r="T381" s="1"/>
  <c r="U381" s="1"/>
  <c r="Y1466"/>
  <c r="R1466" s="1"/>
  <c r="T1466" s="1"/>
  <c r="U1466" s="1"/>
  <c r="Y1299"/>
  <c r="Y1464"/>
  <c r="L1464" s="1"/>
  <c r="Y1383"/>
  <c r="P1383" s="1"/>
  <c r="Y1289"/>
  <c r="P1289" s="1"/>
  <c r="Y1119"/>
  <c r="L1119" s="1"/>
  <c r="Y39"/>
  <c r="P39" s="1"/>
  <c r="Y20"/>
  <c r="Y244"/>
  <c r="R244" s="1"/>
  <c r="T244" s="1"/>
  <c r="U244" s="1"/>
  <c r="Y1424"/>
  <c r="O1424" s="1"/>
  <c r="Y970"/>
  <c r="Y1163"/>
  <c r="P1163" s="1"/>
  <c r="Y1489"/>
  <c r="Y1252"/>
  <c r="Y742"/>
  <c r="O742" s="1"/>
  <c r="Y1368"/>
  <c r="Y1050"/>
  <c r="L1050" s="1"/>
  <c r="Y602"/>
  <c r="L602" s="1"/>
  <c r="Y1298"/>
  <c r="L1298" s="1"/>
  <c r="Y513"/>
  <c r="R513" s="1"/>
  <c r="T513" s="1"/>
  <c r="U513" s="1"/>
  <c r="Y980"/>
  <c r="O980" s="1"/>
  <c r="Y770"/>
  <c r="P770" s="1"/>
  <c r="Y899"/>
  <c r="O899" s="1"/>
  <c r="Y1033"/>
  <c r="P1033" s="1"/>
  <c r="Y1389"/>
  <c r="O1389" s="1"/>
  <c r="Y620"/>
  <c r="L620" s="1"/>
  <c r="Y816"/>
  <c r="O816" s="1"/>
  <c r="Y733"/>
  <c r="P733" s="1"/>
  <c r="Y1471"/>
  <c r="Y538"/>
  <c r="Y281"/>
  <c r="P281" s="1"/>
  <c r="Y540"/>
  <c r="L540" s="1"/>
  <c r="Y990"/>
  <c r="Y819"/>
  <c r="Y1453"/>
  <c r="P1453" s="1"/>
  <c r="Y24"/>
  <c r="L24" s="1"/>
  <c r="Y279"/>
  <c r="L279" s="1"/>
  <c r="Y504"/>
  <c r="R504" s="1"/>
  <c r="T504" s="1"/>
  <c r="U504" s="1"/>
  <c r="Y1286"/>
  <c r="P1286" s="1"/>
  <c r="Y510"/>
  <c r="P510" s="1"/>
  <c r="Y610"/>
  <c r="Y981"/>
  <c r="P981" s="1"/>
  <c r="Y805"/>
  <c r="Y821"/>
  <c r="P821" s="1"/>
  <c r="Y29"/>
  <c r="R29" s="1"/>
  <c r="T29" s="1"/>
  <c r="U29" s="1"/>
  <c r="Y1380"/>
  <c r="Y1068"/>
  <c r="Y237"/>
  <c r="L237" s="1"/>
  <c r="Y1468"/>
  <c r="P1468" s="1"/>
  <c r="Y1458"/>
  <c r="P1458" s="1"/>
  <c r="Y1291"/>
  <c r="Y1478"/>
  <c r="O1478" s="1"/>
  <c r="Y1110"/>
  <c r="L1110" s="1"/>
  <c r="Y42"/>
  <c r="P42" s="1"/>
  <c r="Y28"/>
  <c r="Y377"/>
  <c r="O377" s="1"/>
  <c r="N33" i="26"/>
  <c r="T33"/>
  <c r="I33"/>
  <c r="Q33"/>
  <c r="Q314"/>
  <c r="F1473" i="12"/>
  <c r="F1474" s="1"/>
  <c r="F1475" s="1"/>
  <c r="F1476" s="1"/>
  <c r="F1477" s="1"/>
  <c r="F1478" s="1"/>
  <c r="F1479" s="1"/>
  <c r="F1480" s="1"/>
  <c r="F1481" s="1"/>
  <c r="F1482" s="1"/>
  <c r="F1483" s="1"/>
  <c r="Y1473"/>
  <c r="L1473" s="1"/>
  <c r="N434" i="26"/>
  <c r="I393"/>
  <c r="T81"/>
  <c r="T184"/>
  <c r="T393"/>
  <c r="Q81"/>
  <c r="T67"/>
  <c r="I67"/>
  <c r="N184"/>
  <c r="N426"/>
  <c r="Y515" i="12"/>
  <c r="O515" s="1"/>
  <c r="Y682"/>
  <c r="I1188"/>
  <c r="W1144"/>
  <c r="W1136"/>
  <c r="W1155"/>
  <c r="W1236"/>
  <c r="H1192"/>
  <c r="H907"/>
  <c r="H923"/>
  <c r="H951"/>
  <c r="B886"/>
  <c r="B890"/>
  <c r="I907"/>
  <c r="I923"/>
  <c r="I951"/>
  <c r="W982"/>
  <c r="H963"/>
  <c r="B982"/>
  <c r="H967"/>
  <c r="H1147"/>
  <c r="B844"/>
  <c r="B852"/>
  <c r="G1187"/>
  <c r="I1204"/>
  <c r="W1147"/>
  <c r="I1114"/>
  <c r="I1209"/>
  <c r="W1139"/>
  <c r="H1196"/>
  <c r="H1209"/>
  <c r="I1101"/>
  <c r="H1155"/>
  <c r="B1097"/>
  <c r="I1071"/>
  <c r="W1188"/>
  <c r="I1139"/>
  <c r="B1188"/>
  <c r="B1159"/>
  <c r="H1151"/>
  <c r="H911"/>
  <c r="H955"/>
  <c r="W886"/>
  <c r="W890"/>
  <c r="B894"/>
  <c r="I911"/>
  <c r="I955"/>
  <c r="G1016"/>
  <c r="G1017" s="1"/>
  <c r="G1018" s="1"/>
  <c r="G1019" s="1"/>
  <c r="G1020" s="1"/>
  <c r="G972"/>
  <c r="G973" s="1"/>
  <c r="I972"/>
  <c r="I978"/>
  <c r="H990"/>
  <c r="F1016"/>
  <c r="F1017" s="1"/>
  <c r="F1018" s="1"/>
  <c r="F1019" s="1"/>
  <c r="F1020" s="1"/>
  <c r="B1022"/>
  <c r="W848"/>
  <c r="I886"/>
  <c r="Y803"/>
  <c r="I1136"/>
  <c r="H1159"/>
  <c r="B1151"/>
  <c r="W1101"/>
  <c r="W1159"/>
  <c r="I1105"/>
  <c r="W1204"/>
  <c r="B1059"/>
  <c r="W1114"/>
  <c r="B1209"/>
  <c r="W1213"/>
  <c r="E1187"/>
  <c r="W1192"/>
  <c r="I1051"/>
  <c r="B1155"/>
  <c r="H915"/>
  <c r="W894"/>
  <c r="B901"/>
  <c r="I915"/>
  <c r="W990"/>
  <c r="E972"/>
  <c r="E973" s="1"/>
  <c r="H972"/>
  <c r="B990"/>
  <c r="I959"/>
  <c r="H1075"/>
  <c r="B1037"/>
  <c r="B1061"/>
  <c r="H1017"/>
  <c r="N263" i="26"/>
  <c r="Q409"/>
  <c r="T409"/>
  <c r="N409"/>
  <c r="I70"/>
  <c r="T461"/>
  <c r="E1443" i="12"/>
  <c r="E1444" s="1"/>
  <c r="E1445" s="1"/>
  <c r="I461" i="26"/>
  <c r="I306"/>
  <c r="T306"/>
  <c r="Q306"/>
  <c r="N306"/>
  <c r="Q347"/>
  <c r="N347"/>
  <c r="T347"/>
  <c r="N314"/>
  <c r="T314"/>
  <c r="Y519" i="12"/>
  <c r="Y1415"/>
  <c r="Y1255"/>
  <c r="Y832"/>
  <c r="Y801"/>
  <c r="Y199"/>
  <c r="Y1125"/>
  <c r="R1125" s="1"/>
  <c r="T1125" s="1"/>
  <c r="U1125" s="1"/>
  <c r="Y753"/>
  <c r="Y721"/>
  <c r="L721" s="1"/>
  <c r="Y469"/>
  <c r="R469" s="1"/>
  <c r="T469" s="1"/>
  <c r="U469" s="1"/>
  <c r="Y152"/>
  <c r="R152" s="1"/>
  <c r="T152" s="1"/>
  <c r="U152" s="1"/>
  <c r="Y1054"/>
  <c r="Y665"/>
  <c r="O665" s="1"/>
  <c r="Y441"/>
  <c r="Y550"/>
  <c r="Y139"/>
  <c r="Y718"/>
  <c r="L718" s="1"/>
  <c r="Y297"/>
  <c r="L297" s="1"/>
  <c r="B1487"/>
  <c r="H1487"/>
  <c r="H1475"/>
  <c r="W1475"/>
  <c r="B1470"/>
  <c r="H1470"/>
  <c r="I1470"/>
  <c r="W1470"/>
  <c r="B1466"/>
  <c r="H1466"/>
  <c r="I1466"/>
  <c r="W1466"/>
  <c r="B1462"/>
  <c r="I1462"/>
  <c r="W1462"/>
  <c r="B1458"/>
  <c r="W1458"/>
  <c r="H1458"/>
  <c r="I1458"/>
  <c r="B1454"/>
  <c r="H1454"/>
  <c r="I1454"/>
  <c r="W1454"/>
  <c r="B1450"/>
  <c r="W1450"/>
  <c r="H1450"/>
  <c r="W1424"/>
  <c r="I1424"/>
  <c r="F1419"/>
  <c r="F1420" s="1"/>
  <c r="F1421" s="1"/>
  <c r="F1422" s="1"/>
  <c r="G1419"/>
  <c r="G1420" s="1"/>
  <c r="G1421" s="1"/>
  <c r="G1422" s="1"/>
  <c r="I1392"/>
  <c r="H1392"/>
  <c r="W1392"/>
  <c r="B1392"/>
  <c r="G1392"/>
  <c r="G1393" s="1"/>
  <c r="E1392"/>
  <c r="E1393" s="1"/>
  <c r="F1392"/>
  <c r="F1393" s="1"/>
  <c r="W1379"/>
  <c r="H1388"/>
  <c r="W1318"/>
  <c r="I1355"/>
  <c r="W1365"/>
  <c r="B1379"/>
  <c r="W1375"/>
  <c r="W892"/>
  <c r="W900"/>
  <c r="B909"/>
  <c r="B953"/>
  <c r="B965"/>
  <c r="B976"/>
  <c r="W988"/>
  <c r="E1029"/>
  <c r="E1030" s="1"/>
  <c r="E1031" s="1"/>
  <c r="E1032" s="1"/>
  <c r="E1033" s="1"/>
  <c r="E1034" s="1"/>
  <c r="E1035" s="1"/>
  <c r="E1036" s="1"/>
  <c r="E1037" s="1"/>
  <c r="E1038" s="1"/>
  <c r="E1039" s="1"/>
  <c r="E1040" s="1"/>
  <c r="E1041" s="1"/>
  <c r="E1042" s="1"/>
  <c r="B1041"/>
  <c r="B1065"/>
  <c r="B980"/>
  <c r="H1045"/>
  <c r="H1061"/>
  <c r="W816"/>
  <c r="W764"/>
  <c r="W965"/>
  <c r="H896"/>
  <c r="I1318"/>
  <c r="W1351"/>
  <c r="I1359"/>
  <c r="H812"/>
  <c r="H827"/>
  <c r="B773"/>
  <c r="I804"/>
  <c r="I812"/>
  <c r="I820"/>
  <c r="I827"/>
  <c r="B888"/>
  <c r="B896"/>
  <c r="B904"/>
  <c r="B969"/>
  <c r="I976"/>
  <c r="B984"/>
  <c r="B1029"/>
  <c r="B1045"/>
  <c r="B1069"/>
  <c r="I980"/>
  <c r="H992"/>
  <c r="F1029"/>
  <c r="F1030" s="1"/>
  <c r="F1031" s="1"/>
  <c r="F1032" s="1"/>
  <c r="F1033" s="1"/>
  <c r="F1034" s="1"/>
  <c r="F1035" s="1"/>
  <c r="F1036" s="1"/>
  <c r="F1037" s="1"/>
  <c r="F1038" s="1"/>
  <c r="F1039" s="1"/>
  <c r="F1040" s="1"/>
  <c r="F1041" s="1"/>
  <c r="F1042" s="1"/>
  <c r="H1037"/>
  <c r="H1065"/>
  <c r="H764"/>
  <c r="Y947"/>
  <c r="H1375"/>
  <c r="H1359"/>
  <c r="B1375"/>
  <c r="W1359"/>
  <c r="I1351"/>
  <c r="H1355"/>
  <c r="B1388"/>
  <c r="I1365"/>
  <c r="W1383"/>
  <c r="H816"/>
  <c r="H884"/>
  <c r="I764"/>
  <c r="I884"/>
  <c r="W888"/>
  <c r="W896"/>
  <c r="W904"/>
  <c r="B949"/>
  <c r="B957"/>
  <c r="I992"/>
  <c r="I984"/>
  <c r="B1017"/>
  <c r="B1033"/>
  <c r="B1057"/>
  <c r="E1075"/>
  <c r="E1076" s="1"/>
  <c r="B1141"/>
  <c r="H1029"/>
  <c r="H1041"/>
  <c r="E1057"/>
  <c r="E1058" s="1"/>
  <c r="E1059" s="1"/>
  <c r="E1060" s="1"/>
  <c r="E1061" s="1"/>
  <c r="E1062" s="1"/>
  <c r="E1063" s="1"/>
  <c r="E1064" s="1"/>
  <c r="E1065" s="1"/>
  <c r="E1066" s="1"/>
  <c r="F1075"/>
  <c r="F1076" s="1"/>
  <c r="W808"/>
  <c r="I1134"/>
  <c r="Q286" i="26"/>
  <c r="I41"/>
  <c r="N41"/>
  <c r="T286"/>
  <c r="I2860" i="12"/>
  <c r="B2860" s="1"/>
  <c r="U2860" s="1"/>
  <c r="I432" i="26"/>
  <c r="N432"/>
  <c r="Q67"/>
  <c r="N461"/>
  <c r="N70"/>
  <c r="T212"/>
  <c r="I212"/>
  <c r="N212"/>
  <c r="N67"/>
  <c r="Q17"/>
  <c r="H1373" i="12"/>
  <c r="I1353"/>
  <c r="W1367"/>
  <c r="B1371"/>
  <c r="H1377"/>
  <c r="B1381"/>
  <c r="B1385"/>
  <c r="H1252"/>
  <c r="Y690"/>
  <c r="O690" s="1"/>
  <c r="B1357"/>
  <c r="I1367"/>
  <c r="I1377"/>
  <c r="W1390"/>
  <c r="G1373"/>
  <c r="G1374" s="1"/>
  <c r="G1375" s="1"/>
  <c r="G1376" s="1"/>
  <c r="G1377" s="1"/>
  <c r="G1378" s="1"/>
  <c r="G1379" s="1"/>
  <c r="G1380" s="1"/>
  <c r="G1381" s="1"/>
  <c r="G1382" s="1"/>
  <c r="G1383" s="1"/>
  <c r="W1381"/>
  <c r="W1252"/>
  <c r="F1255"/>
  <c r="F1256" s="1"/>
  <c r="T263" i="26"/>
  <c r="I263"/>
  <c r="Q426"/>
  <c r="T426"/>
  <c r="T294"/>
  <c r="N294"/>
  <c r="I294"/>
  <c r="R9" i="11"/>
  <c r="Q10"/>
  <c r="Q27" i="26"/>
  <c r="N27"/>
  <c r="T27"/>
  <c r="I27"/>
  <c r="N102"/>
  <c r="I102"/>
  <c r="T102"/>
  <c r="N227"/>
  <c r="I227"/>
  <c r="Q102"/>
  <c r="I210"/>
  <c r="N210"/>
  <c r="Q210"/>
  <c r="I242"/>
  <c r="N242"/>
  <c r="T41"/>
  <c r="Q212"/>
  <c r="B1247" i="12"/>
  <c r="F1443"/>
  <c r="F1444" s="1"/>
  <c r="F1445" s="1"/>
  <c r="Y207"/>
  <c r="Y223"/>
  <c r="Y153"/>
  <c r="O153" s="1"/>
  <c r="Y1126"/>
  <c r="R1126" s="1"/>
  <c r="T1126" s="1"/>
  <c r="U1126" s="1"/>
  <c r="Y57"/>
  <c r="Y342"/>
  <c r="Y909"/>
  <c r="Y16"/>
  <c r="Y745"/>
  <c r="Y702"/>
  <c r="Y1139"/>
  <c r="Y995"/>
  <c r="Y655"/>
  <c r="Y372"/>
  <c r="Y1148"/>
  <c r="Y1048"/>
  <c r="Y646"/>
  <c r="Y1233"/>
  <c r="Y117"/>
  <c r="Y140"/>
  <c r="Y1122"/>
  <c r="Y658"/>
  <c r="Y1420"/>
  <c r="Y154"/>
  <c r="Y520"/>
  <c r="Y708"/>
  <c r="Y1136"/>
  <c r="Y1147"/>
  <c r="Y495"/>
  <c r="Y644"/>
  <c r="Y835"/>
  <c r="Y1197"/>
  <c r="Y496"/>
  <c r="Y754"/>
  <c r="Y1446"/>
  <c r="Y532"/>
  <c r="Y1470"/>
  <c r="Y32"/>
  <c r="Y273"/>
  <c r="Y606"/>
  <c r="Y313"/>
  <c r="Y584"/>
  <c r="Y654"/>
  <c r="Y583"/>
  <c r="Y966"/>
  <c r="Y68"/>
  <c r="Y118"/>
  <c r="Y908"/>
  <c r="Y674"/>
  <c r="Y948"/>
  <c r="Y910"/>
  <c r="Y55"/>
  <c r="Y468"/>
  <c r="Y686"/>
  <c r="Y1016"/>
  <c r="Y830"/>
  <c r="Y681"/>
  <c r="Y303"/>
  <c r="Y1393"/>
  <c r="Y802"/>
  <c r="Y1060"/>
  <c r="Y1209"/>
  <c r="Y37"/>
  <c r="Y826"/>
  <c r="Y884"/>
  <c r="Y1030"/>
  <c r="Y466"/>
  <c r="Y439"/>
  <c r="Y719"/>
  <c r="Y343"/>
  <c r="Y696"/>
  <c r="Y302"/>
  <c r="Y322"/>
  <c r="Y976"/>
  <c r="Y1192"/>
  <c r="Y695"/>
  <c r="Y1055"/>
  <c r="Y1199"/>
  <c r="Y1187"/>
  <c r="Y551"/>
  <c r="Y71"/>
  <c r="Y116"/>
  <c r="Y74"/>
  <c r="Y341"/>
  <c r="Y668"/>
  <c r="Y949"/>
  <c r="Y1059"/>
  <c r="Y706"/>
  <c r="Y967"/>
  <c r="Y285"/>
  <c r="Y362"/>
  <c r="Y1474"/>
  <c r="O1474" s="1"/>
  <c r="Y1236"/>
  <c r="R1236" s="1"/>
  <c r="T1236" s="1"/>
  <c r="U1236" s="1"/>
  <c r="Y1144"/>
  <c r="Y17"/>
  <c r="R17" s="1"/>
  <c r="T17" s="1"/>
  <c r="U17" s="1"/>
  <c r="Y367"/>
  <c r="R367" s="1"/>
  <c r="T367" s="1"/>
  <c r="U367" s="1"/>
  <c r="Y1130"/>
  <c r="R1130" s="1"/>
  <c r="T1130" s="1"/>
  <c r="U1130" s="1"/>
  <c r="Y1076"/>
  <c r="R1076" s="1"/>
  <c r="T1076" s="1"/>
  <c r="U1076" s="1"/>
  <c r="Y371"/>
  <c r="Y1047"/>
  <c r="Y1308"/>
  <c r="Y1280"/>
  <c r="Y560"/>
  <c r="R560" s="1"/>
  <c r="T560" s="1"/>
  <c r="U560" s="1"/>
  <c r="Y56"/>
  <c r="Y1444"/>
  <c r="Y1306"/>
  <c r="Y1211"/>
  <c r="Y1023"/>
  <c r="Y652"/>
  <c r="Y607"/>
  <c r="Y370"/>
  <c r="Y15"/>
  <c r="Y1450"/>
  <c r="Y1031"/>
  <c r="Y1140"/>
  <c r="Y529"/>
  <c r="Y722"/>
  <c r="Y977"/>
  <c r="Y389"/>
  <c r="Y205"/>
  <c r="Y1099"/>
  <c r="Y1017"/>
  <c r="Y709"/>
  <c r="Y224"/>
  <c r="Y155"/>
  <c r="Y670"/>
  <c r="Y191"/>
  <c r="O191" s="1"/>
  <c r="T442" i="26"/>
  <c r="Q442"/>
  <c r="Y1348" i="12"/>
  <c r="Y1204"/>
  <c r="Y834"/>
  <c r="Y685"/>
  <c r="Y857"/>
  <c r="Y978"/>
  <c r="Y534"/>
  <c r="Y295"/>
  <c r="Y149"/>
  <c r="Y1375"/>
  <c r="Y1307"/>
  <c r="Y1210"/>
  <c r="Y1022"/>
  <c r="Y1131"/>
  <c r="Y833"/>
  <c r="Y533"/>
  <c r="Y232"/>
  <c r="Y36"/>
  <c r="Y1301"/>
  <c r="Y715"/>
  <c r="R715" s="1"/>
  <c r="T715" s="1"/>
  <c r="U715" s="1"/>
  <c r="Y605"/>
  <c r="Y1200"/>
  <c r="Y1058"/>
  <c r="Y206"/>
  <c r="Y1097"/>
  <c r="Y825"/>
  <c r="Y1475"/>
  <c r="Y361"/>
  <c r="W709"/>
  <c r="B709"/>
  <c r="N442" i="26"/>
  <c r="H1424" i="12"/>
  <c r="B1424"/>
  <c r="H917"/>
  <c r="I917"/>
  <c r="I913"/>
  <c r="W913"/>
  <c r="I846"/>
  <c r="W846"/>
  <c r="I842"/>
  <c r="B842"/>
  <c r="H819"/>
  <c r="W819"/>
  <c r="I819"/>
  <c r="I815"/>
  <c r="W815"/>
  <c r="B815"/>
  <c r="H811"/>
  <c r="I811"/>
  <c r="H803"/>
  <c r="I803"/>
  <c r="B776"/>
  <c r="W776"/>
  <c r="H776"/>
  <c r="H772"/>
  <c r="I772"/>
  <c r="G772"/>
  <c r="G773" s="1"/>
  <c r="G774" s="1"/>
  <c r="E772"/>
  <c r="E773" s="1"/>
  <c r="E774" s="1"/>
  <c r="I767"/>
  <c r="B767"/>
  <c r="H763"/>
  <c r="I763"/>
  <c r="W763"/>
  <c r="I759"/>
  <c r="H759"/>
  <c r="W759"/>
  <c r="B759"/>
  <c r="B755"/>
  <c r="H755"/>
  <c r="I748"/>
  <c r="H748"/>
  <c r="W748"/>
  <c r="H722"/>
  <c r="I722"/>
  <c r="B722"/>
  <c r="H715"/>
  <c r="I715"/>
  <c r="B715"/>
  <c r="I442" i="26"/>
  <c r="H909" i="12"/>
  <c r="G975"/>
  <c r="G976" s="1"/>
  <c r="G977" s="1"/>
  <c r="G978" s="1"/>
  <c r="G979" s="1"/>
  <c r="G980" s="1"/>
  <c r="G981" s="1"/>
  <c r="G982" s="1"/>
  <c r="G983" s="1"/>
  <c r="G984" s="1"/>
  <c r="G985" s="1"/>
  <c r="F972"/>
  <c r="F973" s="1"/>
  <c r="N384" i="26"/>
  <c r="Q384"/>
  <c r="T384"/>
  <c r="Q401"/>
  <c r="N401"/>
  <c r="O26"/>
  <c r="P26"/>
  <c r="O128"/>
  <c r="P128"/>
  <c r="F1196" i="12"/>
  <c r="F1197" s="1"/>
  <c r="T227" i="26"/>
  <c r="I1347" i="12"/>
  <c r="W1347"/>
  <c r="B963"/>
  <c r="B1049"/>
  <c r="B1192"/>
  <c r="I967"/>
  <c r="H1049"/>
  <c r="I1151"/>
  <c r="H1063"/>
  <c r="E1199"/>
  <c r="E1200" s="1"/>
  <c r="E1201" s="1"/>
  <c r="G1029"/>
  <c r="G1030" s="1"/>
  <c r="G1031" s="1"/>
  <c r="G1032" s="1"/>
  <c r="G1033" s="1"/>
  <c r="G1034" s="1"/>
  <c r="G1035" s="1"/>
  <c r="G1036" s="1"/>
  <c r="G1037" s="1"/>
  <c r="G1038" s="1"/>
  <c r="G1039" s="1"/>
  <c r="G1040" s="1"/>
  <c r="G1041" s="1"/>
  <c r="G1042" s="1"/>
  <c r="F907"/>
  <c r="F908" s="1"/>
  <c r="F909" s="1"/>
  <c r="F910" s="1"/>
  <c r="F911" s="1"/>
  <c r="F912" s="1"/>
  <c r="F913" s="1"/>
  <c r="F914" s="1"/>
  <c r="F915" s="1"/>
  <c r="F916" s="1"/>
  <c r="F917" s="1"/>
  <c r="Q144" i="26"/>
  <c r="T144"/>
  <c r="Y438" i="12"/>
  <c r="Y465"/>
  <c r="B1055"/>
  <c r="I1059"/>
  <c r="I1063"/>
  <c r="E883"/>
  <c r="E884" s="1"/>
  <c r="E885" s="1"/>
  <c r="E886" s="1"/>
  <c r="E887" s="1"/>
  <c r="E888" s="1"/>
  <c r="E889" s="1"/>
  <c r="E890" s="1"/>
  <c r="E891" s="1"/>
  <c r="E892" s="1"/>
  <c r="E893" s="1"/>
  <c r="E894" s="1"/>
  <c r="E895" s="1"/>
  <c r="E896" s="1"/>
  <c r="E897" s="1"/>
  <c r="Q227" i="26"/>
  <c r="I1306" i="12"/>
  <c r="B1230"/>
  <c r="W1230"/>
  <c r="I1241"/>
  <c r="I963"/>
  <c r="H959"/>
  <c r="B967"/>
  <c r="H1055"/>
  <c r="B1101"/>
  <c r="H1347"/>
  <c r="H1139"/>
  <c r="G1146"/>
  <c r="G1147" s="1"/>
  <c r="G1148" s="1"/>
  <c r="G1149" s="1"/>
  <c r="G1150" s="1"/>
  <c r="G1151" s="1"/>
  <c r="G1152" s="1"/>
  <c r="G1153" s="1"/>
  <c r="G1154" s="1"/>
  <c r="G1155" s="1"/>
  <c r="G1156" s="1"/>
  <c r="P359" i="26"/>
  <c r="Q359" s="1"/>
  <c r="O359"/>
  <c r="O259"/>
  <c r="P259"/>
  <c r="P189"/>
  <c r="O189"/>
  <c r="O260"/>
  <c r="P260"/>
  <c r="T260" s="1"/>
  <c r="O154"/>
  <c r="P154"/>
  <c r="P258"/>
  <c r="O258"/>
  <c r="O188"/>
  <c r="P188"/>
  <c r="Q242"/>
  <c r="I64"/>
  <c r="Q64"/>
  <c r="N60"/>
  <c r="P455"/>
  <c r="O455"/>
  <c r="O371"/>
  <c r="P371"/>
  <c r="O252"/>
  <c r="P252"/>
  <c r="T252" s="1"/>
  <c r="O171"/>
  <c r="P171"/>
  <c r="O91"/>
  <c r="P91"/>
  <c r="P48"/>
  <c r="O48"/>
  <c r="P349"/>
  <c r="O349"/>
  <c r="O291"/>
  <c r="P291"/>
  <c r="O253"/>
  <c r="P253"/>
  <c r="N253" s="1"/>
  <c r="O176"/>
  <c r="P176"/>
  <c r="O131"/>
  <c r="P131"/>
  <c r="O49"/>
  <c r="P49"/>
  <c r="O377"/>
  <c r="P377"/>
  <c r="N377" s="1"/>
  <c r="P254"/>
  <c r="O254"/>
  <c r="O236"/>
  <c r="P236"/>
  <c r="O88"/>
  <c r="P88"/>
  <c r="N88" s="1"/>
  <c r="O46"/>
  <c r="M7"/>
  <c r="N7" s="1"/>
  <c r="P46"/>
  <c r="O454"/>
  <c r="P454"/>
  <c r="O366"/>
  <c r="P366"/>
  <c r="O255"/>
  <c r="P255"/>
  <c r="O251"/>
  <c r="P251"/>
  <c r="O155"/>
  <c r="P155"/>
  <c r="P47"/>
  <c r="O47"/>
  <c r="D9"/>
  <c r="O481"/>
  <c r="P481"/>
  <c r="O462"/>
  <c r="P462"/>
  <c r="O376"/>
  <c r="P376"/>
  <c r="N376" s="1"/>
  <c r="O370"/>
  <c r="P370"/>
  <c r="O364"/>
  <c r="P364"/>
  <c r="O324"/>
  <c r="P324"/>
  <c r="O290"/>
  <c r="P290"/>
  <c r="P218"/>
  <c r="O218"/>
  <c r="P146"/>
  <c r="O146"/>
  <c r="O135"/>
  <c r="P135"/>
  <c r="P44"/>
  <c r="O44"/>
  <c r="P22"/>
  <c r="O22"/>
  <c r="O471"/>
  <c r="P471"/>
  <c r="P445"/>
  <c r="O445"/>
  <c r="O387"/>
  <c r="P387"/>
  <c r="O365"/>
  <c r="P365"/>
  <c r="O360"/>
  <c r="P360"/>
  <c r="P355"/>
  <c r="O355"/>
  <c r="O256"/>
  <c r="P256"/>
  <c r="Q256" s="1"/>
  <c r="P237"/>
  <c r="Q237" s="1"/>
  <c r="O237"/>
  <c r="O182"/>
  <c r="P182"/>
  <c r="N182" s="1"/>
  <c r="O172"/>
  <c r="P172"/>
  <c r="P129"/>
  <c r="O129"/>
  <c r="O106"/>
  <c r="P106"/>
  <c r="O95"/>
  <c r="P95"/>
  <c r="P57"/>
  <c r="O57"/>
  <c r="P31"/>
  <c r="O31"/>
  <c r="P476"/>
  <c r="O476"/>
  <c r="P468"/>
  <c r="O468"/>
  <c r="P458"/>
  <c r="O458"/>
  <c r="P427"/>
  <c r="O427"/>
  <c r="O373"/>
  <c r="P373"/>
  <c r="Q373" s="1"/>
  <c r="O345"/>
  <c r="P345"/>
  <c r="Q293"/>
  <c r="I293"/>
  <c r="T293"/>
  <c r="N293"/>
  <c r="P273"/>
  <c r="Q273" s="1"/>
  <c r="O273"/>
  <c r="O238"/>
  <c r="P238"/>
  <c r="O232"/>
  <c r="P232"/>
  <c r="O220"/>
  <c r="P220"/>
  <c r="O193"/>
  <c r="P193"/>
  <c r="O178"/>
  <c r="P178"/>
  <c r="N178" s="1"/>
  <c r="O130"/>
  <c r="P130"/>
  <c r="I130" s="1"/>
  <c r="P107"/>
  <c r="O107"/>
  <c r="P50"/>
  <c r="O50"/>
  <c r="O42"/>
  <c r="P42"/>
  <c r="O37"/>
  <c r="P37"/>
  <c r="Q37" s="1"/>
  <c r="P19"/>
  <c r="O19"/>
  <c r="O13"/>
  <c r="P13"/>
  <c r="O451"/>
  <c r="P451"/>
  <c r="O363"/>
  <c r="P363"/>
  <c r="I301"/>
  <c r="Q301"/>
  <c r="P289"/>
  <c r="O289"/>
  <c r="O261"/>
  <c r="P261"/>
  <c r="O233"/>
  <c r="P233"/>
  <c r="P196"/>
  <c r="O196"/>
  <c r="O139"/>
  <c r="P139"/>
  <c r="O117"/>
  <c r="P117"/>
  <c r="P104"/>
  <c r="O104"/>
  <c r="O43"/>
  <c r="P43"/>
  <c r="Y727" i="12"/>
  <c r="Y1040"/>
  <c r="Y1351"/>
  <c r="Y1113"/>
  <c r="Y954"/>
  <c r="Y953"/>
  <c r="Y1134"/>
  <c r="Y1025"/>
  <c r="Y1109"/>
  <c r="Y1222"/>
  <c r="Y958"/>
  <c r="Y1135"/>
  <c r="Y1217"/>
  <c r="Y1105"/>
  <c r="Y1104"/>
  <c r="Y588"/>
  <c r="Y849"/>
  <c r="Y1159"/>
  <c r="Y1034"/>
  <c r="Y1213"/>
  <c r="Y1360"/>
  <c r="Y1315"/>
  <c r="Y1101"/>
  <c r="Y950"/>
  <c r="Y913"/>
  <c r="Y594"/>
  <c r="Y348"/>
  <c r="Y347"/>
  <c r="Y1290"/>
  <c r="Y507"/>
  <c r="Y815"/>
  <c r="Y726"/>
  <c r="Y762"/>
  <c r="Y843"/>
  <c r="Y891"/>
  <c r="Y1150"/>
  <c r="Y1041"/>
  <c r="Y1215"/>
  <c r="Y1457"/>
  <c r="Y500"/>
  <c r="Y544"/>
  <c r="Y982"/>
  <c r="Y806"/>
  <c r="Y759"/>
  <c r="Y840"/>
  <c r="Y892"/>
  <c r="Y1214"/>
  <c r="Y1318"/>
  <c r="Y915"/>
  <c r="Y354"/>
  <c r="Y983"/>
  <c r="Y837"/>
  <c r="Y725"/>
  <c r="Y1042"/>
  <c r="Y1363"/>
  <c r="Y1313"/>
  <c r="Y1108"/>
  <c r="Y988"/>
  <c r="Y838"/>
  <c r="Y1152"/>
  <c r="Y1038"/>
  <c r="Y1312"/>
  <c r="Y1062"/>
  <c r="Y962"/>
  <c r="R962" s="1"/>
  <c r="T962" s="1"/>
  <c r="U962" s="1"/>
  <c r="Y661"/>
  <c r="R661" s="1"/>
  <c r="T661" s="1"/>
  <c r="U661" s="1"/>
  <c r="Y760"/>
  <c r="O760" s="1"/>
  <c r="Y728"/>
  <c r="Y1164"/>
  <c r="R1164" s="1"/>
  <c r="T1164" s="1"/>
  <c r="U1164" s="1"/>
  <c r="Y1039"/>
  <c r="O1039" s="1"/>
  <c r="Y1218"/>
  <c r="P1218" s="1"/>
  <c r="Y1356"/>
  <c r="Y1311"/>
  <c r="P1311" s="1"/>
  <c r="Y1063"/>
  <c r="O1063" s="1"/>
  <c r="Y1230"/>
  <c r="P1230" s="1"/>
  <c r="Y916"/>
  <c r="P916" s="1"/>
  <c r="Y586"/>
  <c r="R586" s="1"/>
  <c r="T586" s="1"/>
  <c r="U586" s="1"/>
  <c r="Y595"/>
  <c r="Y613"/>
  <c r="Y680"/>
  <c r="Y820"/>
  <c r="Y766"/>
  <c r="Y895"/>
  <c r="Y1154"/>
  <c r="Y1018"/>
  <c r="Y1045"/>
  <c r="Y1219"/>
  <c r="Y509"/>
  <c r="Y609"/>
  <c r="Y987"/>
  <c r="Y811"/>
  <c r="Y763"/>
  <c r="Y844"/>
  <c r="Y896"/>
  <c r="Y503"/>
  <c r="Y611"/>
  <c r="Y1241"/>
  <c r="Y617"/>
  <c r="Y732"/>
  <c r="Y1310"/>
  <c r="Y1191"/>
  <c r="Y911"/>
  <c r="Y697"/>
  <c r="Y346"/>
  <c r="Y807"/>
  <c r="Y845"/>
  <c r="Y890"/>
  <c r="Y1216"/>
  <c r="Y1354"/>
  <c r="Y1309"/>
  <c r="Y1245"/>
  <c r="Y1066"/>
  <c r="Y951"/>
  <c r="Y812"/>
  <c r="Y737"/>
  <c r="Y1357"/>
  <c r="Y1243"/>
  <c r="Y1485"/>
  <c r="Y955"/>
  <c r="Y956"/>
  <c r="Y314"/>
  <c r="Y894"/>
  <c r="Y1044"/>
  <c r="Y1352"/>
  <c r="Y1239"/>
  <c r="Y1188"/>
  <c r="Y1100"/>
  <c r="Y959"/>
  <c r="Y656"/>
  <c r="Y587"/>
  <c r="Y309"/>
  <c r="Y774"/>
  <c r="Y897"/>
  <c r="Y1024"/>
  <c r="Y1201"/>
  <c r="Y1359"/>
  <c r="Y1480"/>
  <c r="Y647"/>
  <c r="Y592"/>
  <c r="Y585"/>
  <c r="Y853"/>
  <c r="Y1156"/>
  <c r="Y1221"/>
  <c r="Y1350"/>
  <c r="Y1247"/>
  <c r="Y1190"/>
  <c r="Y1242"/>
  <c r="Y912"/>
  <c r="Y960"/>
  <c r="Y757"/>
  <c r="Y893"/>
  <c r="Y1212"/>
  <c r="Y1353"/>
  <c r="Y919"/>
  <c r="Y917"/>
  <c r="Y711"/>
  <c r="Y841"/>
  <c r="Y1153"/>
  <c r="Y1323"/>
  <c r="Y920"/>
  <c r="Y952"/>
  <c r="Y957"/>
  <c r="Y356"/>
  <c r="Y1378"/>
  <c r="Y810"/>
  <c r="Y678"/>
  <c r="Y758"/>
  <c r="Y839"/>
  <c r="Y887"/>
  <c r="Y1037"/>
  <c r="Y1205"/>
  <c r="Y1417"/>
  <c r="Y378"/>
  <c r="Y536"/>
  <c r="Y691"/>
  <c r="Y822"/>
  <c r="Y735"/>
  <c r="Y836"/>
  <c r="Y852"/>
  <c r="Y888"/>
  <c r="Y1107"/>
  <c r="N199" i="26"/>
  <c r="Q199"/>
  <c r="I199"/>
  <c r="Y710" i="12"/>
  <c r="Y823"/>
  <c r="Y761"/>
  <c r="Y1155"/>
  <c r="Y1035"/>
  <c r="Y1220"/>
  <c r="Y1355"/>
  <c r="Y1314"/>
  <c r="Y1114"/>
  <c r="Y1070"/>
  <c r="Y698"/>
  <c r="Y593"/>
  <c r="Y764"/>
  <c r="Y660"/>
  <c r="Y1036"/>
  <c r="Y1358"/>
  <c r="Y1317"/>
  <c r="Y1486"/>
  <c r="Y738"/>
  <c r="Y842"/>
  <c r="Y692"/>
  <c r="Y850"/>
  <c r="Y889"/>
  <c r="Y1132"/>
  <c r="Y1019"/>
  <c r="Y1046"/>
  <c r="Y1253"/>
  <c r="Y1365"/>
  <c r="Y963"/>
  <c r="I144" i="26"/>
  <c r="I60"/>
  <c r="Q60"/>
  <c r="Y226" i="12"/>
  <c r="Y122"/>
  <c r="Y67"/>
  <c r="Y156"/>
  <c r="Y135"/>
  <c r="Y218"/>
  <c r="Y75"/>
  <c r="Y228"/>
  <c r="Y59"/>
  <c r="Y215"/>
  <c r="Y590"/>
  <c r="Y344"/>
  <c r="Y78"/>
  <c r="Y165"/>
  <c r="Y158"/>
  <c r="Y703"/>
  <c r="Y443"/>
  <c r="Y129"/>
  <c r="Y159"/>
  <c r="Y128"/>
  <c r="Y229"/>
  <c r="Y470"/>
  <c r="Y349"/>
  <c r="Y220"/>
  <c r="Y597"/>
  <c r="Y350"/>
  <c r="Y357"/>
  <c r="L357" s="1"/>
  <c r="Y82"/>
  <c r="Y77"/>
  <c r="Y123"/>
  <c r="Y161"/>
  <c r="Y58"/>
  <c r="Y157"/>
  <c r="Y65"/>
  <c r="Y353"/>
  <c r="Y923"/>
  <c r="Y62"/>
  <c r="Y211"/>
  <c r="Y119"/>
  <c r="Y208"/>
  <c r="Y63"/>
  <c r="Y163"/>
  <c r="Y192"/>
  <c r="Y137"/>
  <c r="Y363"/>
  <c r="Y310"/>
  <c r="Y671"/>
  <c r="Y345"/>
  <c r="Y1226"/>
  <c r="Y846"/>
  <c r="Y741"/>
  <c r="Y1141"/>
  <c r="Y168"/>
  <c r="Y225"/>
  <c r="Y307"/>
  <c r="Y141"/>
  <c r="Y126"/>
  <c r="Y209"/>
  <c r="Y1488"/>
  <c r="Y965"/>
  <c r="Y591"/>
  <c r="Y79"/>
  <c r="Y124"/>
  <c r="Y221"/>
  <c r="Y227"/>
  <c r="Y600"/>
  <c r="Y64"/>
  <c r="Y360"/>
  <c r="Y80"/>
  <c r="Y69"/>
  <c r="Y81"/>
  <c r="Y60"/>
  <c r="Y162"/>
  <c r="Y212"/>
  <c r="Y601"/>
  <c r="Y1251"/>
  <c r="Y1320"/>
  <c r="Y599"/>
  <c r="Y598"/>
  <c r="Y1250"/>
  <c r="Y351"/>
  <c r="Y1367"/>
  <c r="Y286"/>
  <c r="Y552"/>
  <c r="Y1051"/>
  <c r="Y217"/>
  <c r="Y131"/>
  <c r="Y216"/>
  <c r="Y76"/>
  <c r="Y169"/>
  <c r="Y83"/>
  <c r="Y166"/>
  <c r="Y136"/>
  <c r="Y521"/>
  <c r="Y210"/>
  <c r="Y127"/>
  <c r="Y1366"/>
  <c r="Y1117"/>
  <c r="Y125"/>
  <c r="Y61"/>
  <c r="Y132"/>
  <c r="Y359"/>
  <c r="Y352"/>
  <c r="Y968"/>
  <c r="Y160"/>
  <c r="Y969"/>
  <c r="Y121"/>
  <c r="Y70"/>
  <c r="Y120"/>
  <c r="Y213"/>
  <c r="Y214"/>
  <c r="Y922"/>
  <c r="Y589"/>
  <c r="Y914"/>
  <c r="Y769"/>
  <c r="Y1487"/>
  <c r="R1487" s="1"/>
  <c r="T1487" s="1"/>
  <c r="U1487" s="1"/>
  <c r="Y901"/>
  <c r="Y683"/>
  <c r="Y1161"/>
  <c r="Y1321"/>
  <c r="Y1228"/>
  <c r="G9" i="26"/>
  <c r="C9"/>
  <c r="A92" i="11"/>
  <c r="F9" i="26"/>
  <c r="M9"/>
  <c r="K9"/>
  <c r="P299" i="12" l="1"/>
  <c r="L299"/>
  <c r="R299"/>
  <c r="T299" s="1"/>
  <c r="U299" s="1"/>
  <c r="O299"/>
  <c r="P287"/>
  <c r="L287"/>
  <c r="R287"/>
  <c r="T287" s="1"/>
  <c r="U287" s="1"/>
  <c r="O287"/>
  <c r="P1127"/>
  <c r="L1127"/>
  <c r="R1127"/>
  <c r="T1127" s="1"/>
  <c r="U1127" s="1"/>
  <c r="O1127"/>
  <c r="P1123"/>
  <c r="L1123"/>
  <c r="R1123"/>
  <c r="T1123" s="1"/>
  <c r="U1123" s="1"/>
  <c r="O1123"/>
  <c r="P201"/>
  <c r="L201"/>
  <c r="R201"/>
  <c r="T201" s="1"/>
  <c r="U201" s="1"/>
  <c r="O201"/>
  <c r="P150"/>
  <c r="L150"/>
  <c r="R150"/>
  <c r="T150" s="1"/>
  <c r="U150" s="1"/>
  <c r="O150"/>
  <c r="P716"/>
  <c r="L716"/>
  <c r="R716"/>
  <c r="T716" s="1"/>
  <c r="U716" s="1"/>
  <c r="O716"/>
  <c r="G1443"/>
  <c r="G1444" s="1"/>
  <c r="G1445" s="1"/>
  <c r="G1446" s="1"/>
  <c r="F1446"/>
  <c r="E1446"/>
  <c r="D13"/>
  <c r="C13"/>
  <c r="D642"/>
  <c r="G669"/>
  <c r="G670" s="1"/>
  <c r="G671" s="1"/>
  <c r="F669"/>
  <c r="F670" s="1"/>
  <c r="F671" s="1"/>
  <c r="P669"/>
  <c r="L669"/>
  <c r="R669"/>
  <c r="T669" s="1"/>
  <c r="U669" s="1"/>
  <c r="O669"/>
  <c r="E669"/>
  <c r="E670" s="1"/>
  <c r="E671" s="1"/>
  <c r="P667"/>
  <c r="L667"/>
  <c r="R667"/>
  <c r="T667" s="1"/>
  <c r="U667" s="1"/>
  <c r="O667"/>
  <c r="F645"/>
  <c r="F646" s="1"/>
  <c r="F647" s="1"/>
  <c r="F648" s="1"/>
  <c r="F649" s="1"/>
  <c r="P645"/>
  <c r="L645"/>
  <c r="R645"/>
  <c r="T645" s="1"/>
  <c r="U645" s="1"/>
  <c r="O645"/>
  <c r="E645"/>
  <c r="E646" s="1"/>
  <c r="E647" s="1"/>
  <c r="E648" s="1"/>
  <c r="E649" s="1"/>
  <c r="G645"/>
  <c r="G646" s="1"/>
  <c r="G647" s="1"/>
  <c r="G648" s="1"/>
  <c r="G649" s="1"/>
  <c r="P643"/>
  <c r="L643"/>
  <c r="R643"/>
  <c r="T643" s="1"/>
  <c r="U643" s="1"/>
  <c r="O643"/>
  <c r="F275"/>
  <c r="F276" s="1"/>
  <c r="F277" s="1"/>
  <c r="P275"/>
  <c r="L275"/>
  <c r="R275"/>
  <c r="T275" s="1"/>
  <c r="U275" s="1"/>
  <c r="O275"/>
  <c r="E275"/>
  <c r="E276" s="1"/>
  <c r="E277" s="1"/>
  <c r="G275"/>
  <c r="G276" s="1"/>
  <c r="G277" s="1"/>
  <c r="L740"/>
  <c r="R740"/>
  <c r="T740" s="1"/>
  <c r="U740" s="1"/>
  <c r="P740"/>
  <c r="O740"/>
  <c r="L768"/>
  <c r="R768"/>
  <c r="T768" s="1"/>
  <c r="U768" s="1"/>
  <c r="O768"/>
  <c r="P768"/>
  <c r="L797"/>
  <c r="R797"/>
  <c r="T797" s="1"/>
  <c r="U797" s="1"/>
  <c r="P797"/>
  <c r="O797"/>
  <c r="L73"/>
  <c r="R73"/>
  <c r="T73" s="1"/>
  <c r="U73" s="1"/>
  <c r="O73"/>
  <c r="P73"/>
  <c r="L34"/>
  <c r="R34"/>
  <c r="T34" s="1"/>
  <c r="U34" s="1"/>
  <c r="O34"/>
  <c r="P34"/>
  <c r="O750"/>
  <c r="L750"/>
  <c r="P750"/>
  <c r="R750"/>
  <c r="T750" s="1"/>
  <c r="U750" s="1"/>
  <c r="E747"/>
  <c r="E748" s="1"/>
  <c r="E749" s="1"/>
  <c r="F747"/>
  <c r="F748" s="1"/>
  <c r="F749" s="1"/>
  <c r="G747"/>
  <c r="G748" s="1"/>
  <c r="G749" s="1"/>
  <c r="O747"/>
  <c r="L747"/>
  <c r="R747"/>
  <c r="T747" s="1"/>
  <c r="U747" s="1"/>
  <c r="P747"/>
  <c r="O1502"/>
  <c r="L1502"/>
  <c r="R1502"/>
  <c r="T1502" s="1"/>
  <c r="U1502" s="1"/>
  <c r="P1502"/>
  <c r="G1484"/>
  <c r="G1485" s="1"/>
  <c r="G1486" s="1"/>
  <c r="G1487" s="1"/>
  <c r="G1488" s="1"/>
  <c r="G1489" s="1"/>
  <c r="G1491" s="1"/>
  <c r="G1492" s="1"/>
  <c r="G1493" s="1"/>
  <c r="G1494" s="1"/>
  <c r="G1495" s="1"/>
  <c r="G1496" s="1"/>
  <c r="G1497" s="1"/>
  <c r="G1498" s="1"/>
  <c r="G1499" s="1"/>
  <c r="G1500" s="1"/>
  <c r="G1501" s="1"/>
  <c r="F1484"/>
  <c r="F1485" s="1"/>
  <c r="F1486" s="1"/>
  <c r="F1487" s="1"/>
  <c r="F1488" s="1"/>
  <c r="F1489" s="1"/>
  <c r="F1491" s="1"/>
  <c r="F1492" s="1"/>
  <c r="F1493" s="1"/>
  <c r="F1494" s="1"/>
  <c r="F1495" s="1"/>
  <c r="F1496" s="1"/>
  <c r="F1497" s="1"/>
  <c r="F1498" s="1"/>
  <c r="F1499" s="1"/>
  <c r="F1500" s="1"/>
  <c r="F1501" s="1"/>
  <c r="E1484"/>
  <c r="E1485" s="1"/>
  <c r="E1486" s="1"/>
  <c r="E1487" s="1"/>
  <c r="E1488" s="1"/>
  <c r="E1489" s="1"/>
  <c r="E1491" s="1"/>
  <c r="E1492" s="1"/>
  <c r="E1493" s="1"/>
  <c r="E1494" s="1"/>
  <c r="E1495" s="1"/>
  <c r="E1496" s="1"/>
  <c r="E1497" s="1"/>
  <c r="E1498" s="1"/>
  <c r="E1499" s="1"/>
  <c r="E1500" s="1"/>
  <c r="E1501" s="1"/>
  <c r="O1484"/>
  <c r="L1484"/>
  <c r="R1484"/>
  <c r="T1484" s="1"/>
  <c r="U1484" s="1"/>
  <c r="P1484"/>
  <c r="E1463"/>
  <c r="E1464" s="1"/>
  <c r="E1465" s="1"/>
  <c r="E1466" s="1"/>
  <c r="E1467" s="1"/>
  <c r="E1468" s="1"/>
  <c r="E1469" s="1"/>
  <c r="E1470" s="1"/>
  <c r="E1471" s="1"/>
  <c r="F1463"/>
  <c r="F1464" s="1"/>
  <c r="F1465" s="1"/>
  <c r="F1466" s="1"/>
  <c r="F1467" s="1"/>
  <c r="F1468" s="1"/>
  <c r="F1469" s="1"/>
  <c r="F1470" s="1"/>
  <c r="F1471" s="1"/>
  <c r="G1463"/>
  <c r="G1464" s="1"/>
  <c r="G1465" s="1"/>
  <c r="G1466" s="1"/>
  <c r="G1467" s="1"/>
  <c r="G1468" s="1"/>
  <c r="G1469" s="1"/>
  <c r="G1470" s="1"/>
  <c r="G1471" s="1"/>
  <c r="O1463"/>
  <c r="P1463"/>
  <c r="L1463"/>
  <c r="R1463"/>
  <c r="T1463" s="1"/>
  <c r="U1463" s="1"/>
  <c r="O1406"/>
  <c r="L1406"/>
  <c r="R1406"/>
  <c r="T1406" s="1"/>
  <c r="U1406" s="1"/>
  <c r="P1406"/>
  <c r="G1384"/>
  <c r="G1385" s="1"/>
  <c r="G1386" s="1"/>
  <c r="G1387" s="1"/>
  <c r="G1388" s="1"/>
  <c r="G1389" s="1"/>
  <c r="G1390" s="1"/>
  <c r="F1384"/>
  <c r="F1385" s="1"/>
  <c r="F1386" s="1"/>
  <c r="F1387" s="1"/>
  <c r="F1388" s="1"/>
  <c r="F1389" s="1"/>
  <c r="F1390" s="1"/>
  <c r="E1384"/>
  <c r="E1385" s="1"/>
  <c r="E1386" s="1"/>
  <c r="E1387" s="1"/>
  <c r="E1388" s="1"/>
  <c r="E1389" s="1"/>
  <c r="E1390" s="1"/>
  <c r="O1384"/>
  <c r="L1384"/>
  <c r="R1384"/>
  <c r="T1384" s="1"/>
  <c r="U1384" s="1"/>
  <c r="P1384"/>
  <c r="O1361"/>
  <c r="L1361"/>
  <c r="R1361"/>
  <c r="T1361" s="1"/>
  <c r="U1361" s="1"/>
  <c r="P1361"/>
  <c r="O1336"/>
  <c r="L1336"/>
  <c r="R1336"/>
  <c r="T1336" s="1"/>
  <c r="U1336" s="1"/>
  <c r="P1336"/>
  <c r="E1316"/>
  <c r="E1317" s="1"/>
  <c r="E1318" s="1"/>
  <c r="E1319" s="1"/>
  <c r="E1320" s="1"/>
  <c r="E1321" s="1"/>
  <c r="E1322" s="1"/>
  <c r="E1323" s="1"/>
  <c r="F1316"/>
  <c r="F1317" s="1"/>
  <c r="F1318" s="1"/>
  <c r="F1319" s="1"/>
  <c r="F1320" s="1"/>
  <c r="F1321" s="1"/>
  <c r="F1322" s="1"/>
  <c r="F1323" s="1"/>
  <c r="G1316"/>
  <c r="G1317" s="1"/>
  <c r="G1318" s="1"/>
  <c r="G1319" s="1"/>
  <c r="G1320" s="1"/>
  <c r="G1321" s="1"/>
  <c r="G1322" s="1"/>
  <c r="G1323" s="1"/>
  <c r="O1316"/>
  <c r="L1316"/>
  <c r="R1316"/>
  <c r="T1316" s="1"/>
  <c r="U1316" s="1"/>
  <c r="P1316"/>
  <c r="F1293"/>
  <c r="F1294" s="1"/>
  <c r="F1295" s="1"/>
  <c r="F1296" s="1"/>
  <c r="F1297" s="1"/>
  <c r="F1298" s="1"/>
  <c r="F1299" s="1"/>
  <c r="F1300" s="1"/>
  <c r="F1301" s="1"/>
  <c r="F1302" s="1"/>
  <c r="F1303" s="1"/>
  <c r="G1293"/>
  <c r="G1294" s="1"/>
  <c r="G1295" s="1"/>
  <c r="G1296" s="1"/>
  <c r="G1297" s="1"/>
  <c r="G1298" s="1"/>
  <c r="G1299" s="1"/>
  <c r="G1300" s="1"/>
  <c r="G1301" s="1"/>
  <c r="G1302" s="1"/>
  <c r="G1303" s="1"/>
  <c r="E1293"/>
  <c r="E1294" s="1"/>
  <c r="E1295" s="1"/>
  <c r="E1296" s="1"/>
  <c r="E1297" s="1"/>
  <c r="E1298" s="1"/>
  <c r="E1299" s="1"/>
  <c r="E1300" s="1"/>
  <c r="E1301" s="1"/>
  <c r="E1302" s="1"/>
  <c r="E1303" s="1"/>
  <c r="O1293"/>
  <c r="L1293"/>
  <c r="R1293"/>
  <c r="T1293" s="1"/>
  <c r="U1293" s="1"/>
  <c r="P1293"/>
  <c r="O1269"/>
  <c r="L1269"/>
  <c r="R1269"/>
  <c r="T1269" s="1"/>
  <c r="U1269" s="1"/>
  <c r="P1269"/>
  <c r="G1246"/>
  <c r="G1247" s="1"/>
  <c r="G1248" s="1"/>
  <c r="E1246"/>
  <c r="E1247" s="1"/>
  <c r="E1248" s="1"/>
  <c r="F1246"/>
  <c r="F1247" s="1"/>
  <c r="F1248" s="1"/>
  <c r="O1246"/>
  <c r="L1246"/>
  <c r="R1246"/>
  <c r="T1246" s="1"/>
  <c r="U1246" s="1"/>
  <c r="P1246"/>
  <c r="E1223"/>
  <c r="E1224" s="1"/>
  <c r="E1225" s="1"/>
  <c r="E1226" s="1"/>
  <c r="G1223"/>
  <c r="G1224" s="1"/>
  <c r="G1225" s="1"/>
  <c r="G1226" s="1"/>
  <c r="F1223"/>
  <c r="F1224" s="1"/>
  <c r="F1225" s="1"/>
  <c r="F1226" s="1"/>
  <c r="O1223"/>
  <c r="L1223"/>
  <c r="R1223"/>
  <c r="T1223" s="1"/>
  <c r="U1223" s="1"/>
  <c r="P1223"/>
  <c r="O1189"/>
  <c r="L1189"/>
  <c r="R1189"/>
  <c r="T1189" s="1"/>
  <c r="U1189" s="1"/>
  <c r="P1189"/>
  <c r="F1133"/>
  <c r="F1134" s="1"/>
  <c r="F1135" s="1"/>
  <c r="F1136" s="1"/>
  <c r="F1137" s="1"/>
  <c r="G1133"/>
  <c r="G1134" s="1"/>
  <c r="G1135" s="1"/>
  <c r="G1136" s="1"/>
  <c r="G1137" s="1"/>
  <c r="E1133"/>
  <c r="E1134" s="1"/>
  <c r="E1135" s="1"/>
  <c r="E1136" s="1"/>
  <c r="E1137" s="1"/>
  <c r="O1133"/>
  <c r="L1133"/>
  <c r="R1133"/>
  <c r="T1133" s="1"/>
  <c r="U1133" s="1"/>
  <c r="P1133"/>
  <c r="G1177"/>
  <c r="G1178" s="1"/>
  <c r="G1179" s="1"/>
  <c r="G1180" s="1"/>
  <c r="G1181" s="1"/>
  <c r="G1182" s="1"/>
  <c r="G1183" s="1"/>
  <c r="G1184" s="1"/>
  <c r="F1177"/>
  <c r="F1178" s="1"/>
  <c r="F1179" s="1"/>
  <c r="F1180" s="1"/>
  <c r="F1181" s="1"/>
  <c r="F1182" s="1"/>
  <c r="F1183" s="1"/>
  <c r="F1184" s="1"/>
  <c r="O1177"/>
  <c r="L1177"/>
  <c r="R1177"/>
  <c r="T1177" s="1"/>
  <c r="U1177" s="1"/>
  <c r="P1177"/>
  <c r="G1157"/>
  <c r="G1158" s="1"/>
  <c r="G1159" s="1"/>
  <c r="G1160" s="1"/>
  <c r="G1161" s="1"/>
  <c r="G1162" s="1"/>
  <c r="G1163" s="1"/>
  <c r="G1164" s="1"/>
  <c r="F1157"/>
  <c r="F1158" s="1"/>
  <c r="F1159" s="1"/>
  <c r="F1160" s="1"/>
  <c r="F1161" s="1"/>
  <c r="F1162" s="1"/>
  <c r="F1163" s="1"/>
  <c r="F1164" s="1"/>
  <c r="E1157"/>
  <c r="E1158" s="1"/>
  <c r="E1159" s="1"/>
  <c r="E1160" s="1"/>
  <c r="E1161" s="1"/>
  <c r="E1162" s="1"/>
  <c r="E1163" s="1"/>
  <c r="E1164" s="1"/>
  <c r="O1157"/>
  <c r="L1157"/>
  <c r="R1157"/>
  <c r="T1157" s="1"/>
  <c r="U1157" s="1"/>
  <c r="P1157"/>
  <c r="O1111"/>
  <c r="L1111"/>
  <c r="R1111"/>
  <c r="T1111" s="1"/>
  <c r="U1111" s="1"/>
  <c r="P1111"/>
  <c r="G1088"/>
  <c r="G1089" s="1"/>
  <c r="G1090" s="1"/>
  <c r="G1091" s="1"/>
  <c r="G1092" s="1"/>
  <c r="G1093" s="1"/>
  <c r="G1094" s="1"/>
  <c r="E1088"/>
  <c r="E1089" s="1"/>
  <c r="E1090" s="1"/>
  <c r="E1091" s="1"/>
  <c r="E1092" s="1"/>
  <c r="E1093" s="1"/>
  <c r="E1094" s="1"/>
  <c r="O1088"/>
  <c r="L1088"/>
  <c r="R1088"/>
  <c r="T1088" s="1"/>
  <c r="U1088" s="1"/>
  <c r="P1088"/>
  <c r="E1067"/>
  <c r="E1068" s="1"/>
  <c r="E1069" s="1"/>
  <c r="E1070" s="1"/>
  <c r="E1071" s="1"/>
  <c r="E1072" s="1"/>
  <c r="E1073" s="1"/>
  <c r="F1067"/>
  <c r="F1068" s="1"/>
  <c r="F1069" s="1"/>
  <c r="F1070" s="1"/>
  <c r="F1071" s="1"/>
  <c r="F1072" s="1"/>
  <c r="F1073" s="1"/>
  <c r="G1067"/>
  <c r="G1068" s="1"/>
  <c r="G1069" s="1"/>
  <c r="G1070" s="1"/>
  <c r="G1071" s="1"/>
  <c r="G1072" s="1"/>
  <c r="G1073" s="1"/>
  <c r="O1067"/>
  <c r="L1067"/>
  <c r="R1067"/>
  <c r="T1067" s="1"/>
  <c r="U1067" s="1"/>
  <c r="P1067"/>
  <c r="F1043"/>
  <c r="F1044" s="1"/>
  <c r="F1045" s="1"/>
  <c r="F1046" s="1"/>
  <c r="F1047" s="1"/>
  <c r="F1048" s="1"/>
  <c r="F1049" s="1"/>
  <c r="F1050" s="1"/>
  <c r="F1051" s="1"/>
  <c r="F1052" s="1"/>
  <c r="E1043"/>
  <c r="E1044" s="1"/>
  <c r="E1045" s="1"/>
  <c r="E1046" s="1"/>
  <c r="E1047" s="1"/>
  <c r="E1048" s="1"/>
  <c r="E1049" s="1"/>
  <c r="E1050" s="1"/>
  <c r="E1051" s="1"/>
  <c r="E1052" s="1"/>
  <c r="G1043"/>
  <c r="G1044" s="1"/>
  <c r="G1045" s="1"/>
  <c r="G1046" s="1"/>
  <c r="G1047" s="1"/>
  <c r="G1048" s="1"/>
  <c r="G1049" s="1"/>
  <c r="G1050" s="1"/>
  <c r="G1051" s="1"/>
  <c r="G1052" s="1"/>
  <c r="O1043"/>
  <c r="L1043"/>
  <c r="R1043"/>
  <c r="T1043" s="1"/>
  <c r="U1043" s="1"/>
  <c r="P1043"/>
  <c r="O1026"/>
  <c r="L1026"/>
  <c r="P1026"/>
  <c r="R1026"/>
  <c r="T1026" s="1"/>
  <c r="U1026" s="1"/>
  <c r="O1020"/>
  <c r="L1020"/>
  <c r="R1020"/>
  <c r="T1020" s="1"/>
  <c r="U1020" s="1"/>
  <c r="P1020"/>
  <c r="O1008"/>
  <c r="L1008"/>
  <c r="R1008"/>
  <c r="T1008" s="1"/>
  <c r="U1008" s="1"/>
  <c r="P1008"/>
  <c r="E986"/>
  <c r="E987" s="1"/>
  <c r="E988" s="1"/>
  <c r="E989" s="1"/>
  <c r="E990" s="1"/>
  <c r="E991" s="1"/>
  <c r="E992" s="1"/>
  <c r="G986"/>
  <c r="G987" s="1"/>
  <c r="G988" s="1"/>
  <c r="G989" s="1"/>
  <c r="G990" s="1"/>
  <c r="G991" s="1"/>
  <c r="G992" s="1"/>
  <c r="F986"/>
  <c r="F987" s="1"/>
  <c r="F988" s="1"/>
  <c r="F989" s="1"/>
  <c r="F990" s="1"/>
  <c r="F991" s="1"/>
  <c r="F992" s="1"/>
  <c r="O986"/>
  <c r="L986"/>
  <c r="R986"/>
  <c r="T986" s="1"/>
  <c r="U986" s="1"/>
  <c r="P986"/>
  <c r="G961"/>
  <c r="G962" s="1"/>
  <c r="G963" s="1"/>
  <c r="G964" s="1"/>
  <c r="G965" s="1"/>
  <c r="G966" s="1"/>
  <c r="G967" s="1"/>
  <c r="G968" s="1"/>
  <c r="G969" s="1"/>
  <c r="G970" s="1"/>
  <c r="F961"/>
  <c r="F962" s="1"/>
  <c r="F963" s="1"/>
  <c r="F964" s="1"/>
  <c r="F965" s="1"/>
  <c r="F966" s="1"/>
  <c r="F967" s="1"/>
  <c r="F968" s="1"/>
  <c r="F969" s="1"/>
  <c r="F970" s="1"/>
  <c r="E961"/>
  <c r="E962" s="1"/>
  <c r="E963" s="1"/>
  <c r="E964" s="1"/>
  <c r="E965" s="1"/>
  <c r="E966" s="1"/>
  <c r="E967" s="1"/>
  <c r="E968" s="1"/>
  <c r="E969" s="1"/>
  <c r="E970" s="1"/>
  <c r="O961"/>
  <c r="L961"/>
  <c r="R961"/>
  <c r="T961" s="1"/>
  <c r="U961" s="1"/>
  <c r="P961"/>
  <c r="L937"/>
  <c r="O937"/>
  <c r="R937"/>
  <c r="T937" s="1"/>
  <c r="U937" s="1"/>
  <c r="P937"/>
  <c r="F918"/>
  <c r="F919" s="1"/>
  <c r="F920" s="1"/>
  <c r="F921" s="1"/>
  <c r="F922" s="1"/>
  <c r="F923" s="1"/>
  <c r="F924" s="1"/>
  <c r="E918"/>
  <c r="E919" s="1"/>
  <c r="E920" s="1"/>
  <c r="E921" s="1"/>
  <c r="E922" s="1"/>
  <c r="E923" s="1"/>
  <c r="E924" s="1"/>
  <c r="G918"/>
  <c r="G919" s="1"/>
  <c r="G920" s="1"/>
  <c r="G921" s="1"/>
  <c r="G922" s="1"/>
  <c r="G923" s="1"/>
  <c r="G924" s="1"/>
  <c r="O918"/>
  <c r="L918"/>
  <c r="P918"/>
  <c r="R918"/>
  <c r="T918" s="1"/>
  <c r="U918" s="1"/>
  <c r="F898"/>
  <c r="F899" s="1"/>
  <c r="F900" s="1"/>
  <c r="F901" s="1"/>
  <c r="F902" s="1"/>
  <c r="F903" s="1"/>
  <c r="F904" s="1"/>
  <c r="F905" s="1"/>
  <c r="G898"/>
  <c r="G899" s="1"/>
  <c r="G900" s="1"/>
  <c r="G901" s="1"/>
  <c r="G902" s="1"/>
  <c r="G903" s="1"/>
  <c r="G904" s="1"/>
  <c r="G905" s="1"/>
  <c r="E898"/>
  <c r="E899" s="1"/>
  <c r="E900" s="1"/>
  <c r="E901" s="1"/>
  <c r="E902" s="1"/>
  <c r="E903" s="1"/>
  <c r="E904" s="1"/>
  <c r="E905" s="1"/>
  <c r="O898"/>
  <c r="L898"/>
  <c r="R898"/>
  <c r="T898" s="1"/>
  <c r="U898" s="1"/>
  <c r="P898"/>
  <c r="O874"/>
  <c r="L874"/>
  <c r="R874"/>
  <c r="T874" s="1"/>
  <c r="U874" s="1"/>
  <c r="P874"/>
  <c r="O817"/>
  <c r="L817"/>
  <c r="R817"/>
  <c r="T817" s="1"/>
  <c r="U817" s="1"/>
  <c r="P817"/>
  <c r="G847"/>
  <c r="G848" s="1"/>
  <c r="G849" s="1"/>
  <c r="G850" s="1"/>
  <c r="G851" s="1"/>
  <c r="G852" s="1"/>
  <c r="G853" s="1"/>
  <c r="G854" s="1"/>
  <c r="F847"/>
  <c r="F848" s="1"/>
  <c r="F849" s="1"/>
  <c r="F850" s="1"/>
  <c r="F851" s="1"/>
  <c r="F852" s="1"/>
  <c r="F853" s="1"/>
  <c r="F854" s="1"/>
  <c r="E847"/>
  <c r="E848" s="1"/>
  <c r="E849" s="1"/>
  <c r="E850" s="1"/>
  <c r="E851" s="1"/>
  <c r="E852" s="1"/>
  <c r="E853" s="1"/>
  <c r="E854" s="1"/>
  <c r="O847"/>
  <c r="L847"/>
  <c r="R847"/>
  <c r="T847" s="1"/>
  <c r="U847" s="1"/>
  <c r="P847"/>
  <c r="O793"/>
  <c r="L793"/>
  <c r="P793"/>
  <c r="R793"/>
  <c r="T793" s="1"/>
  <c r="U793" s="1"/>
  <c r="O778"/>
  <c r="L778"/>
  <c r="R778"/>
  <c r="T778" s="1"/>
  <c r="U778" s="1"/>
  <c r="P778"/>
  <c r="G775"/>
  <c r="G776" s="1"/>
  <c r="G777" s="1"/>
  <c r="E775"/>
  <c r="E776" s="1"/>
  <c r="E777" s="1"/>
  <c r="F775"/>
  <c r="F776" s="1"/>
  <c r="F777" s="1"/>
  <c r="O775"/>
  <c r="L775"/>
  <c r="R775"/>
  <c r="T775" s="1"/>
  <c r="U775" s="1"/>
  <c r="P775"/>
  <c r="G765"/>
  <c r="G766" s="1"/>
  <c r="G767" s="1"/>
  <c r="E765"/>
  <c r="E766" s="1"/>
  <c r="E767" s="1"/>
  <c r="F765"/>
  <c r="F766" s="1"/>
  <c r="F767" s="1"/>
  <c r="O765"/>
  <c r="L765"/>
  <c r="R765"/>
  <c r="T765" s="1"/>
  <c r="U765" s="1"/>
  <c r="P765"/>
  <c r="E736"/>
  <c r="E737" s="1"/>
  <c r="E738" s="1"/>
  <c r="E739" s="1"/>
  <c r="G736"/>
  <c r="G737" s="1"/>
  <c r="G738" s="1"/>
  <c r="G739" s="1"/>
  <c r="F736"/>
  <c r="F737" s="1"/>
  <c r="F738" s="1"/>
  <c r="F739" s="1"/>
  <c r="O736"/>
  <c r="L736"/>
  <c r="R736"/>
  <c r="T736" s="1"/>
  <c r="U736" s="1"/>
  <c r="P736"/>
  <c r="O712"/>
  <c r="L712"/>
  <c r="R712"/>
  <c r="T712" s="1"/>
  <c r="U712" s="1"/>
  <c r="P712"/>
  <c r="O699"/>
  <c r="L699"/>
  <c r="R699"/>
  <c r="T699" s="1"/>
  <c r="U699" s="1"/>
  <c r="P699"/>
  <c r="O687"/>
  <c r="L687"/>
  <c r="R687"/>
  <c r="T687" s="1"/>
  <c r="U687" s="1"/>
  <c r="P687"/>
  <c r="O675"/>
  <c r="L675"/>
  <c r="R675"/>
  <c r="T675" s="1"/>
  <c r="U675" s="1"/>
  <c r="P675"/>
  <c r="O662"/>
  <c r="L662"/>
  <c r="R662"/>
  <c r="T662" s="1"/>
  <c r="U662" s="1"/>
  <c r="P662"/>
  <c r="O649"/>
  <c r="L649"/>
  <c r="R649"/>
  <c r="T649" s="1"/>
  <c r="U649" s="1"/>
  <c r="P649"/>
  <c r="O634"/>
  <c r="L634"/>
  <c r="R634"/>
  <c r="T634" s="1"/>
  <c r="U634" s="1"/>
  <c r="P634"/>
  <c r="G615"/>
  <c r="G616" s="1"/>
  <c r="G617" s="1"/>
  <c r="G618" s="1"/>
  <c r="G619" s="1"/>
  <c r="G620" s="1"/>
  <c r="G621" s="1"/>
  <c r="E615"/>
  <c r="E616" s="1"/>
  <c r="E617" s="1"/>
  <c r="E618" s="1"/>
  <c r="E619" s="1"/>
  <c r="E620" s="1"/>
  <c r="E621" s="1"/>
  <c r="F615"/>
  <c r="F616" s="1"/>
  <c r="F617" s="1"/>
  <c r="F618" s="1"/>
  <c r="F619" s="1"/>
  <c r="F620" s="1"/>
  <c r="F621" s="1"/>
  <c r="O615"/>
  <c r="L615"/>
  <c r="R615"/>
  <c r="T615" s="1"/>
  <c r="U615" s="1"/>
  <c r="P615"/>
  <c r="F596"/>
  <c r="F597" s="1"/>
  <c r="F598" s="1"/>
  <c r="F599" s="1"/>
  <c r="F600" s="1"/>
  <c r="F601" s="1"/>
  <c r="F602" s="1"/>
  <c r="E596"/>
  <c r="E597" s="1"/>
  <c r="E598" s="1"/>
  <c r="E599" s="1"/>
  <c r="E600" s="1"/>
  <c r="E601" s="1"/>
  <c r="E602" s="1"/>
  <c r="G596"/>
  <c r="G597" s="1"/>
  <c r="G598" s="1"/>
  <c r="G599" s="1"/>
  <c r="G600" s="1"/>
  <c r="G601" s="1"/>
  <c r="G602" s="1"/>
  <c r="O596"/>
  <c r="L596"/>
  <c r="R596"/>
  <c r="T596" s="1"/>
  <c r="U596" s="1"/>
  <c r="P596"/>
  <c r="O573"/>
  <c r="L573"/>
  <c r="R573"/>
  <c r="T573" s="1"/>
  <c r="U573" s="1"/>
  <c r="P573"/>
  <c r="O555"/>
  <c r="L555"/>
  <c r="R555"/>
  <c r="T555" s="1"/>
  <c r="U555" s="1"/>
  <c r="P555"/>
  <c r="E553"/>
  <c r="E554" s="1"/>
  <c r="F553"/>
  <c r="F554" s="1"/>
  <c r="G553"/>
  <c r="G554" s="1"/>
  <c r="O553"/>
  <c r="L553"/>
  <c r="R553"/>
  <c r="T553" s="1"/>
  <c r="U553" s="1"/>
  <c r="P553"/>
  <c r="E542"/>
  <c r="E543" s="1"/>
  <c r="E544" s="1"/>
  <c r="E545" s="1"/>
  <c r="E546" s="1"/>
  <c r="E547" s="1"/>
  <c r="E548" s="1"/>
  <c r="G542"/>
  <c r="G543" s="1"/>
  <c r="G544" s="1"/>
  <c r="G545" s="1"/>
  <c r="G546" s="1"/>
  <c r="G547" s="1"/>
  <c r="G548" s="1"/>
  <c r="F542"/>
  <c r="F543" s="1"/>
  <c r="F544" s="1"/>
  <c r="F545" s="1"/>
  <c r="F546" s="1"/>
  <c r="F547" s="1"/>
  <c r="F548" s="1"/>
  <c r="O542"/>
  <c r="L542"/>
  <c r="R542"/>
  <c r="T542" s="1"/>
  <c r="U542" s="1"/>
  <c r="P542"/>
  <c r="O525"/>
  <c r="P525"/>
  <c r="L525"/>
  <c r="R525"/>
  <c r="T525" s="1"/>
  <c r="U525" s="1"/>
  <c r="E522"/>
  <c r="E523" s="1"/>
  <c r="E524" s="1"/>
  <c r="F522"/>
  <c r="F523" s="1"/>
  <c r="F524" s="1"/>
  <c r="G522"/>
  <c r="G523" s="1"/>
  <c r="G524" s="1"/>
  <c r="O522"/>
  <c r="L522"/>
  <c r="R522"/>
  <c r="T522" s="1"/>
  <c r="U522" s="1"/>
  <c r="P522"/>
  <c r="F508"/>
  <c r="F509" s="1"/>
  <c r="F510" s="1"/>
  <c r="F511" s="1"/>
  <c r="F512" s="1"/>
  <c r="F513" s="1"/>
  <c r="F514" s="1"/>
  <c r="F515" s="1"/>
  <c r="F516" s="1"/>
  <c r="F517" s="1"/>
  <c r="E508"/>
  <c r="E509" s="1"/>
  <c r="E510" s="1"/>
  <c r="E511" s="1"/>
  <c r="E512" s="1"/>
  <c r="E513" s="1"/>
  <c r="E514" s="1"/>
  <c r="E515" s="1"/>
  <c r="E516" s="1"/>
  <c r="E517" s="1"/>
  <c r="O508"/>
  <c r="L508"/>
  <c r="R508"/>
  <c r="T508" s="1"/>
  <c r="U508" s="1"/>
  <c r="P508"/>
  <c r="O483"/>
  <c r="L483"/>
  <c r="R483"/>
  <c r="T483" s="1"/>
  <c r="U483" s="1"/>
  <c r="P483"/>
  <c r="O456"/>
  <c r="L456"/>
  <c r="R456"/>
  <c r="T456" s="1"/>
  <c r="U456" s="1"/>
  <c r="P456"/>
  <c r="O425"/>
  <c r="L425"/>
  <c r="R425"/>
  <c r="T425" s="1"/>
  <c r="U425" s="1"/>
  <c r="P425"/>
  <c r="O402"/>
  <c r="L402"/>
  <c r="R402"/>
  <c r="T402" s="1"/>
  <c r="U402" s="1"/>
  <c r="P402"/>
  <c r="F380"/>
  <c r="F381" s="1"/>
  <c r="F382" s="1"/>
  <c r="F383" s="1"/>
  <c r="F384" s="1"/>
  <c r="F385" s="1"/>
  <c r="F386" s="1"/>
  <c r="G380"/>
  <c r="G381" s="1"/>
  <c r="G382" s="1"/>
  <c r="G383" s="1"/>
  <c r="G384" s="1"/>
  <c r="G385" s="1"/>
  <c r="G386" s="1"/>
  <c r="E380"/>
  <c r="E381" s="1"/>
  <c r="E382" s="1"/>
  <c r="E383" s="1"/>
  <c r="E384" s="1"/>
  <c r="E385" s="1"/>
  <c r="E386" s="1"/>
  <c r="O380"/>
  <c r="L380"/>
  <c r="R380"/>
  <c r="T380" s="1"/>
  <c r="U380" s="1"/>
  <c r="P380"/>
  <c r="G355"/>
  <c r="G356" s="1"/>
  <c r="G357" s="1"/>
  <c r="G358" s="1"/>
  <c r="G359" s="1"/>
  <c r="G360" s="1"/>
  <c r="G361" s="1"/>
  <c r="G362" s="1"/>
  <c r="G363" s="1"/>
  <c r="G364" s="1"/>
  <c r="E355"/>
  <c r="E356" s="1"/>
  <c r="E357" s="1"/>
  <c r="E358" s="1"/>
  <c r="E359" s="1"/>
  <c r="E360" s="1"/>
  <c r="E361" s="1"/>
  <c r="E362" s="1"/>
  <c r="E363" s="1"/>
  <c r="E364" s="1"/>
  <c r="F355"/>
  <c r="F356" s="1"/>
  <c r="F357" s="1"/>
  <c r="F358" s="1"/>
  <c r="F359" s="1"/>
  <c r="F360" s="1"/>
  <c r="F361" s="1"/>
  <c r="F362" s="1"/>
  <c r="F363" s="1"/>
  <c r="F364" s="1"/>
  <c r="O355"/>
  <c r="R355"/>
  <c r="T355" s="1"/>
  <c r="U355" s="1"/>
  <c r="P355"/>
  <c r="L355"/>
  <c r="O335"/>
  <c r="L335"/>
  <c r="P335"/>
  <c r="R335"/>
  <c r="T335" s="1"/>
  <c r="U335" s="1"/>
  <c r="O318"/>
  <c r="L318"/>
  <c r="R318"/>
  <c r="T318" s="1"/>
  <c r="U318" s="1"/>
  <c r="P318"/>
  <c r="E315"/>
  <c r="E316" s="1"/>
  <c r="E317" s="1"/>
  <c r="G315"/>
  <c r="G316" s="1"/>
  <c r="G317" s="1"/>
  <c r="F315"/>
  <c r="F316" s="1"/>
  <c r="F317" s="1"/>
  <c r="O315"/>
  <c r="L315"/>
  <c r="R315"/>
  <c r="T315" s="1"/>
  <c r="U315" s="1"/>
  <c r="P315"/>
  <c r="O308"/>
  <c r="L308"/>
  <c r="R308"/>
  <c r="T308" s="1"/>
  <c r="U308" s="1"/>
  <c r="P308"/>
  <c r="O291"/>
  <c r="L291"/>
  <c r="R291"/>
  <c r="T291" s="1"/>
  <c r="U291" s="1"/>
  <c r="P291"/>
  <c r="G288"/>
  <c r="G289" s="1"/>
  <c r="G290" s="1"/>
  <c r="E288"/>
  <c r="E289" s="1"/>
  <c r="E290" s="1"/>
  <c r="F288"/>
  <c r="F289" s="1"/>
  <c r="F290" s="1"/>
  <c r="O288"/>
  <c r="L288"/>
  <c r="R288"/>
  <c r="T288" s="1"/>
  <c r="U288" s="1"/>
  <c r="P288"/>
  <c r="O280"/>
  <c r="L280"/>
  <c r="R280"/>
  <c r="T280" s="1"/>
  <c r="U280" s="1"/>
  <c r="P280"/>
  <c r="O262"/>
  <c r="L262"/>
  <c r="R262"/>
  <c r="T262" s="1"/>
  <c r="U262" s="1"/>
  <c r="P262"/>
  <c r="E242"/>
  <c r="E243" s="1"/>
  <c r="E244" s="1"/>
  <c r="E245" s="1"/>
  <c r="E246" s="1"/>
  <c r="E247" s="1"/>
  <c r="E248" s="1"/>
  <c r="E249" s="1"/>
  <c r="G242"/>
  <c r="G243" s="1"/>
  <c r="G244" s="1"/>
  <c r="G245" s="1"/>
  <c r="G246" s="1"/>
  <c r="G247" s="1"/>
  <c r="G248" s="1"/>
  <c r="G249" s="1"/>
  <c r="F242"/>
  <c r="F243" s="1"/>
  <c r="F244" s="1"/>
  <c r="F245" s="1"/>
  <c r="F246" s="1"/>
  <c r="F247" s="1"/>
  <c r="F248" s="1"/>
  <c r="F249" s="1"/>
  <c r="O242"/>
  <c r="L242"/>
  <c r="R242"/>
  <c r="T242" s="1"/>
  <c r="U242" s="1"/>
  <c r="P242"/>
  <c r="O219"/>
  <c r="L219"/>
  <c r="R219"/>
  <c r="T219" s="1"/>
  <c r="U219" s="1"/>
  <c r="P219"/>
  <c r="O196"/>
  <c r="L196"/>
  <c r="R196"/>
  <c r="T196" s="1"/>
  <c r="U196" s="1"/>
  <c r="P196"/>
  <c r="F193"/>
  <c r="F194" s="1"/>
  <c r="F195" s="1"/>
  <c r="G193"/>
  <c r="G194" s="1"/>
  <c r="G195" s="1"/>
  <c r="E193"/>
  <c r="E194" s="1"/>
  <c r="E195" s="1"/>
  <c r="O193"/>
  <c r="L193"/>
  <c r="R193"/>
  <c r="T193" s="1"/>
  <c r="U193" s="1"/>
  <c r="P193"/>
  <c r="O183"/>
  <c r="L183"/>
  <c r="P183"/>
  <c r="R183"/>
  <c r="T183" s="1"/>
  <c r="U183" s="1"/>
  <c r="G164"/>
  <c r="G165" s="1"/>
  <c r="G166" s="1"/>
  <c r="G167" s="1"/>
  <c r="G168" s="1"/>
  <c r="G169" s="1"/>
  <c r="F164"/>
  <c r="F165" s="1"/>
  <c r="F166" s="1"/>
  <c r="F167" s="1"/>
  <c r="F168" s="1"/>
  <c r="F169" s="1"/>
  <c r="E164"/>
  <c r="E165" s="1"/>
  <c r="E166" s="1"/>
  <c r="E167" s="1"/>
  <c r="E168" s="1"/>
  <c r="E169" s="1"/>
  <c r="O164"/>
  <c r="L164"/>
  <c r="R164"/>
  <c r="T164" s="1"/>
  <c r="U164" s="1"/>
  <c r="P164"/>
  <c r="L145"/>
  <c r="O145"/>
  <c r="R145"/>
  <c r="T145" s="1"/>
  <c r="U145" s="1"/>
  <c r="P145"/>
  <c r="E142"/>
  <c r="E143" s="1"/>
  <c r="E144" s="1"/>
  <c r="G142"/>
  <c r="G143" s="1"/>
  <c r="G144" s="1"/>
  <c r="F142"/>
  <c r="F143" s="1"/>
  <c r="F144" s="1"/>
  <c r="L142"/>
  <c r="R142"/>
  <c r="T142" s="1"/>
  <c r="U142" s="1"/>
  <c r="P142"/>
  <c r="O142"/>
  <c r="G130"/>
  <c r="G131" s="1"/>
  <c r="G132" s="1"/>
  <c r="G133" s="1"/>
  <c r="F130"/>
  <c r="F131" s="1"/>
  <c r="F132" s="1"/>
  <c r="F133" s="1"/>
  <c r="E130"/>
  <c r="E131" s="1"/>
  <c r="E132" s="1"/>
  <c r="E133" s="1"/>
  <c r="L130"/>
  <c r="R130"/>
  <c r="T130" s="1"/>
  <c r="U130" s="1"/>
  <c r="P130"/>
  <c r="O130"/>
  <c r="E97"/>
  <c r="E98" s="1"/>
  <c r="E99" s="1"/>
  <c r="E100" s="1"/>
  <c r="E101" s="1"/>
  <c r="E102" s="1"/>
  <c r="E103" s="1"/>
  <c r="E104" s="1"/>
  <c r="E105" s="1"/>
  <c r="E106" s="1"/>
  <c r="E107" s="1"/>
  <c r="E108" s="1"/>
  <c r="E109" s="1"/>
  <c r="E110" s="1"/>
  <c r="E111" s="1"/>
  <c r="E112" s="1"/>
  <c r="F97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F111" s="1"/>
  <c r="F112" s="1"/>
  <c r="G97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L97"/>
  <c r="R97"/>
  <c r="T97" s="1"/>
  <c r="U97" s="1"/>
  <c r="O97"/>
  <c r="P97"/>
  <c r="G66"/>
  <c r="G67" s="1"/>
  <c r="G68" s="1"/>
  <c r="G69" s="1"/>
  <c r="G70" s="1"/>
  <c r="G71" s="1"/>
  <c r="G72" s="1"/>
  <c r="E66"/>
  <c r="E67" s="1"/>
  <c r="E68" s="1"/>
  <c r="E69" s="1"/>
  <c r="E70" s="1"/>
  <c r="E71" s="1"/>
  <c r="E72" s="1"/>
  <c r="F66"/>
  <c r="F67" s="1"/>
  <c r="F68" s="1"/>
  <c r="F69" s="1"/>
  <c r="F70" s="1"/>
  <c r="F71" s="1"/>
  <c r="F72" s="1"/>
  <c r="L66"/>
  <c r="R66"/>
  <c r="T66" s="1"/>
  <c r="U66" s="1"/>
  <c r="O66"/>
  <c r="P66"/>
  <c r="F30"/>
  <c r="F31" s="1"/>
  <c r="F32" s="1"/>
  <c r="F33" s="1"/>
  <c r="G30"/>
  <c r="G31" s="1"/>
  <c r="G32" s="1"/>
  <c r="G33" s="1"/>
  <c r="E30"/>
  <c r="E31" s="1"/>
  <c r="E32" s="1"/>
  <c r="E33" s="1"/>
  <c r="L30"/>
  <c r="R30"/>
  <c r="T30" s="1"/>
  <c r="U30" s="1"/>
  <c r="O30"/>
  <c r="P30"/>
  <c r="L1194"/>
  <c r="R1194"/>
  <c r="T1194" s="1"/>
  <c r="U1194" s="1"/>
  <c r="P1194"/>
  <c r="O1194"/>
  <c r="L1193"/>
  <c r="R1193"/>
  <c r="T1193" s="1"/>
  <c r="U1193" s="1"/>
  <c r="P1193"/>
  <c r="O1193"/>
  <c r="O1138"/>
  <c r="L1138"/>
  <c r="P1138"/>
  <c r="R1138"/>
  <c r="T1138" s="1"/>
  <c r="U1138" s="1"/>
  <c r="O1137"/>
  <c r="L1137"/>
  <c r="R1137"/>
  <c r="T1137" s="1"/>
  <c r="U1137" s="1"/>
  <c r="P1137"/>
  <c r="O689"/>
  <c r="L689"/>
  <c r="R689"/>
  <c r="T689" s="1"/>
  <c r="U689" s="1"/>
  <c r="P689"/>
  <c r="F688"/>
  <c r="G688"/>
  <c r="E688"/>
  <c r="L688"/>
  <c r="O688"/>
  <c r="R688"/>
  <c r="T688" s="1"/>
  <c r="U688" s="1"/>
  <c r="P688"/>
  <c r="O677"/>
  <c r="L677"/>
  <c r="R677"/>
  <c r="T677" s="1"/>
  <c r="U677" s="1"/>
  <c r="P677"/>
  <c r="E676"/>
  <c r="F676"/>
  <c r="G676"/>
  <c r="L676"/>
  <c r="R676"/>
  <c r="T676" s="1"/>
  <c r="U676" s="1"/>
  <c r="O676"/>
  <c r="P676"/>
  <c r="O186"/>
  <c r="L186"/>
  <c r="P186"/>
  <c r="R186"/>
  <c r="T186" s="1"/>
  <c r="U186" s="1"/>
  <c r="L167"/>
  <c r="R167"/>
  <c r="T167" s="1"/>
  <c r="U167" s="1"/>
  <c r="O167"/>
  <c r="P167"/>
  <c r="L134"/>
  <c r="R134"/>
  <c r="T134" s="1"/>
  <c r="U134" s="1"/>
  <c r="O134"/>
  <c r="P134"/>
  <c r="L1423"/>
  <c r="R1423"/>
  <c r="T1423" s="1"/>
  <c r="U1423" s="1"/>
  <c r="O1423"/>
  <c r="P1423"/>
  <c r="L1249"/>
  <c r="R1249"/>
  <c r="T1249" s="1"/>
  <c r="U1249" s="1"/>
  <c r="O1249"/>
  <c r="P1249"/>
  <c r="L72"/>
  <c r="R72"/>
  <c r="T72" s="1"/>
  <c r="U72" s="1"/>
  <c r="O72"/>
  <c r="P72"/>
  <c r="L33"/>
  <c r="R33"/>
  <c r="T33" s="1"/>
  <c r="U33" s="1"/>
  <c r="O33"/>
  <c r="P33"/>
  <c r="L1273"/>
  <c r="R1273"/>
  <c r="T1273" s="1"/>
  <c r="U1273" s="1"/>
  <c r="O1273"/>
  <c r="P1273"/>
  <c r="L1227"/>
  <c r="R1227"/>
  <c r="T1227" s="1"/>
  <c r="U1227" s="1"/>
  <c r="O1227"/>
  <c r="P1227"/>
  <c r="G1362"/>
  <c r="G1363" s="1"/>
  <c r="G1364" s="1"/>
  <c r="G1365" s="1"/>
  <c r="G1366" s="1"/>
  <c r="G1367" s="1"/>
  <c r="G1368" s="1"/>
  <c r="F1362"/>
  <c r="F1363" s="1"/>
  <c r="F1364" s="1"/>
  <c r="F1365" s="1"/>
  <c r="F1366" s="1"/>
  <c r="F1367" s="1"/>
  <c r="F1368" s="1"/>
  <c r="E1362"/>
  <c r="E1363" s="1"/>
  <c r="E1364" s="1"/>
  <c r="E1365" s="1"/>
  <c r="E1366" s="1"/>
  <c r="E1367" s="1"/>
  <c r="E1368" s="1"/>
  <c r="O1362"/>
  <c r="L1362"/>
  <c r="R1362"/>
  <c r="T1362" s="1"/>
  <c r="U1362" s="1"/>
  <c r="P1362"/>
  <c r="F1112"/>
  <c r="F1113" s="1"/>
  <c r="F1114" s="1"/>
  <c r="F1115" s="1"/>
  <c r="F1116" s="1"/>
  <c r="F1117" s="1"/>
  <c r="F1118" s="1"/>
  <c r="F1119" s="1"/>
  <c r="G1112"/>
  <c r="G1113" s="1"/>
  <c r="G1114" s="1"/>
  <c r="G1115" s="1"/>
  <c r="G1116" s="1"/>
  <c r="G1117" s="1"/>
  <c r="G1118" s="1"/>
  <c r="G1119" s="1"/>
  <c r="E1112"/>
  <c r="E1113" s="1"/>
  <c r="E1114" s="1"/>
  <c r="E1115" s="1"/>
  <c r="E1116" s="1"/>
  <c r="E1117" s="1"/>
  <c r="E1118" s="1"/>
  <c r="E1119" s="1"/>
  <c r="O1112"/>
  <c r="L1112"/>
  <c r="R1112"/>
  <c r="T1112" s="1"/>
  <c r="U1112" s="1"/>
  <c r="P1112"/>
  <c r="L905"/>
  <c r="R905"/>
  <c r="T905" s="1"/>
  <c r="U905" s="1"/>
  <c r="P905"/>
  <c r="O905"/>
  <c r="L133"/>
  <c r="R133"/>
  <c r="T133" s="1"/>
  <c r="U133" s="1"/>
  <c r="O133"/>
  <c r="P133"/>
  <c r="L47"/>
  <c r="R47"/>
  <c r="T47" s="1"/>
  <c r="U47" s="1"/>
  <c r="O47"/>
  <c r="P47"/>
  <c r="L332"/>
  <c r="R332"/>
  <c r="T332" s="1"/>
  <c r="U332" s="1"/>
  <c r="O332"/>
  <c r="P332"/>
  <c r="O476"/>
  <c r="L476"/>
  <c r="R476"/>
  <c r="T476" s="1"/>
  <c r="U476" s="1"/>
  <c r="P476"/>
  <c r="O449"/>
  <c r="L449"/>
  <c r="R449"/>
  <c r="T449" s="1"/>
  <c r="U449" s="1"/>
  <c r="P449"/>
  <c r="L1429"/>
  <c r="R1429"/>
  <c r="T1429" s="1"/>
  <c r="U1429" s="1"/>
  <c r="P1429"/>
  <c r="O1429"/>
  <c r="R1426"/>
  <c r="T1426" s="1"/>
  <c r="U1426" s="1"/>
  <c r="Y289"/>
  <c r="O289" s="1"/>
  <c r="P1426"/>
  <c r="O1428"/>
  <c r="L1428"/>
  <c r="R1428"/>
  <c r="T1428" s="1"/>
  <c r="U1428" s="1"/>
  <c r="P1428"/>
  <c r="L1426"/>
  <c r="O1427"/>
  <c r="L1427"/>
  <c r="R1427"/>
  <c r="T1427" s="1"/>
  <c r="U1427" s="1"/>
  <c r="P1427"/>
  <c r="L1422"/>
  <c r="R1422"/>
  <c r="T1422" s="1"/>
  <c r="U1422" s="1"/>
  <c r="O1422"/>
  <c r="P1422"/>
  <c r="L1421"/>
  <c r="P1421"/>
  <c r="R1421"/>
  <c r="T1421" s="1"/>
  <c r="U1421" s="1"/>
  <c r="O1421"/>
  <c r="L1186"/>
  <c r="R1186"/>
  <c r="T1186" s="1"/>
  <c r="U1186" s="1"/>
  <c r="O1186"/>
  <c r="P1186"/>
  <c r="G1188"/>
  <c r="F1188"/>
  <c r="E1188"/>
  <c r="L1094"/>
  <c r="O1094"/>
  <c r="R1094"/>
  <c r="T1094" s="1"/>
  <c r="U1094" s="1"/>
  <c r="P1094"/>
  <c r="L1073"/>
  <c r="R1073"/>
  <c r="T1073" s="1"/>
  <c r="U1073" s="1"/>
  <c r="O1073"/>
  <c r="P1073"/>
  <c r="L1052"/>
  <c r="R1052"/>
  <c r="T1052" s="1"/>
  <c r="U1052" s="1"/>
  <c r="P1052"/>
  <c r="O1052"/>
  <c r="O779"/>
  <c r="L779"/>
  <c r="R779"/>
  <c r="T779" s="1"/>
  <c r="U779" s="1"/>
  <c r="P779"/>
  <c r="O751"/>
  <c r="L751"/>
  <c r="R751"/>
  <c r="T751" s="1"/>
  <c r="U751" s="1"/>
  <c r="P751"/>
  <c r="O557"/>
  <c r="L557"/>
  <c r="R557"/>
  <c r="T557" s="1"/>
  <c r="U557" s="1"/>
  <c r="P557"/>
  <c r="O526"/>
  <c r="L526"/>
  <c r="R526"/>
  <c r="T526" s="1"/>
  <c r="U526" s="1"/>
  <c r="P526"/>
  <c r="Y848"/>
  <c r="R848" s="1"/>
  <c r="T848" s="1"/>
  <c r="U848" s="1"/>
  <c r="Y194"/>
  <c r="R194" s="1"/>
  <c r="T194" s="1"/>
  <c r="U194" s="1"/>
  <c r="Y818"/>
  <c r="O818" s="1"/>
  <c r="Y316"/>
  <c r="O316" s="1"/>
  <c r="Y143"/>
  <c r="L143" s="1"/>
  <c r="Y554"/>
  <c r="R554" s="1"/>
  <c r="T554" s="1"/>
  <c r="U554" s="1"/>
  <c r="Y748"/>
  <c r="R748" s="1"/>
  <c r="T748" s="1"/>
  <c r="U748" s="1"/>
  <c r="Y776"/>
  <c r="O776" s="1"/>
  <c r="Y195"/>
  <c r="R195" s="1"/>
  <c r="T195" s="1"/>
  <c r="U195" s="1"/>
  <c r="N114" i="26"/>
  <c r="Y523" i="12"/>
  <c r="L523" s="1"/>
  <c r="Y777"/>
  <c r="P777" s="1"/>
  <c r="Y317"/>
  <c r="R317" s="1"/>
  <c r="T317" s="1"/>
  <c r="U317" s="1"/>
  <c r="Y358"/>
  <c r="R358" s="1"/>
  <c r="T358" s="1"/>
  <c r="U358" s="1"/>
  <c r="Y383"/>
  <c r="P383" s="1"/>
  <c r="Y144"/>
  <c r="P144" s="1"/>
  <c r="Y556"/>
  <c r="R556" s="1"/>
  <c r="T556" s="1"/>
  <c r="U556" s="1"/>
  <c r="Y405"/>
  <c r="L405" s="1"/>
  <c r="Y875"/>
  <c r="O875" s="1"/>
  <c r="Y524"/>
  <c r="P524" s="1"/>
  <c r="Y749"/>
  <c r="R749" s="1"/>
  <c r="T749" s="1"/>
  <c r="U749" s="1"/>
  <c r="L319"/>
  <c r="R319"/>
  <c r="T319" s="1"/>
  <c r="U319" s="1"/>
  <c r="P319"/>
  <c r="O319"/>
  <c r="O305"/>
  <c r="P305"/>
  <c r="L305"/>
  <c r="R305"/>
  <c r="T305" s="1"/>
  <c r="U305" s="1"/>
  <c r="L292"/>
  <c r="R292"/>
  <c r="T292" s="1"/>
  <c r="U292" s="1"/>
  <c r="P292"/>
  <c r="O292"/>
  <c r="L278"/>
  <c r="R278"/>
  <c r="T278" s="1"/>
  <c r="U278" s="1"/>
  <c r="P278"/>
  <c r="O278"/>
  <c r="L197"/>
  <c r="R197"/>
  <c r="T197" s="1"/>
  <c r="U197" s="1"/>
  <c r="O197"/>
  <c r="P197"/>
  <c r="L146"/>
  <c r="R146"/>
  <c r="T146" s="1"/>
  <c r="U146" s="1"/>
  <c r="O146"/>
  <c r="P146"/>
  <c r="L1408"/>
  <c r="O1408"/>
  <c r="R1408"/>
  <c r="T1408" s="1"/>
  <c r="U1408" s="1"/>
  <c r="P1408"/>
  <c r="L1387"/>
  <c r="R1387"/>
  <c r="T1387" s="1"/>
  <c r="U1387" s="1"/>
  <c r="P1387"/>
  <c r="O1387"/>
  <c r="L1364"/>
  <c r="R1364"/>
  <c r="T1364" s="1"/>
  <c r="U1364" s="1"/>
  <c r="O1364"/>
  <c r="P1364"/>
  <c r="L1339"/>
  <c r="R1339"/>
  <c r="T1339" s="1"/>
  <c r="U1339" s="1"/>
  <c r="P1339"/>
  <c r="O1339"/>
  <c r="L1319"/>
  <c r="R1319"/>
  <c r="T1319" s="1"/>
  <c r="U1319" s="1"/>
  <c r="O1319"/>
  <c r="P1319"/>
  <c r="L1296"/>
  <c r="R1296"/>
  <c r="T1296" s="1"/>
  <c r="U1296" s="1"/>
  <c r="O1296"/>
  <c r="P1296"/>
  <c r="N132" i="26"/>
  <c r="I132"/>
  <c r="Q21"/>
  <c r="O1115" i="12"/>
  <c r="L1115"/>
  <c r="R1115"/>
  <c r="T1115" s="1"/>
  <c r="U1115" s="1"/>
  <c r="P1115"/>
  <c r="O1160"/>
  <c r="P1160"/>
  <c r="L1160"/>
  <c r="R1160"/>
  <c r="T1160" s="1"/>
  <c r="U1160" s="1"/>
  <c r="O1180"/>
  <c r="L1180"/>
  <c r="R1180"/>
  <c r="T1180" s="1"/>
  <c r="U1180" s="1"/>
  <c r="P1180"/>
  <c r="N109" i="26"/>
  <c r="I109"/>
  <c r="T109"/>
  <c r="O1011" i="12"/>
  <c r="L1011"/>
  <c r="R1011"/>
  <c r="T1011" s="1"/>
  <c r="U1011" s="1"/>
  <c r="P1011"/>
  <c r="O989"/>
  <c r="L989"/>
  <c r="R989"/>
  <c r="T989" s="1"/>
  <c r="U989" s="1"/>
  <c r="P989"/>
  <c r="I118" i="26"/>
  <c r="O964" i="12"/>
  <c r="L964"/>
  <c r="R964"/>
  <c r="T964" s="1"/>
  <c r="U964" s="1"/>
  <c r="P964"/>
  <c r="N152" i="26"/>
  <c r="O940" i="12"/>
  <c r="L940"/>
  <c r="P940"/>
  <c r="R940"/>
  <c r="T940" s="1"/>
  <c r="U940" s="1"/>
  <c r="O921"/>
  <c r="R921"/>
  <c r="T921" s="1"/>
  <c r="U921" s="1"/>
  <c r="P921"/>
  <c r="L921"/>
  <c r="I98" i="26"/>
  <c r="Q98"/>
  <c r="T118"/>
  <c r="N98"/>
  <c r="N118"/>
  <c r="O902" i="12"/>
  <c r="L902"/>
  <c r="R902"/>
  <c r="T902" s="1"/>
  <c r="U902" s="1"/>
  <c r="P902"/>
  <c r="I114" i="26"/>
  <c r="Q132"/>
  <c r="Q114"/>
  <c r="T21"/>
  <c r="T152"/>
  <c r="I152"/>
  <c r="O577" i="12"/>
  <c r="L577"/>
  <c r="R577"/>
  <c r="T577" s="1"/>
  <c r="U577" s="1"/>
  <c r="P577"/>
  <c r="O545"/>
  <c r="L545"/>
  <c r="R545"/>
  <c r="T545" s="1"/>
  <c r="U545" s="1"/>
  <c r="P545"/>
  <c r="I21" i="26"/>
  <c r="O512" i="12"/>
  <c r="L512"/>
  <c r="P512"/>
  <c r="R512"/>
  <c r="T512" s="1"/>
  <c r="U512" s="1"/>
  <c r="Q82" i="26"/>
  <c r="I82"/>
  <c r="Q211"/>
  <c r="N82"/>
  <c r="Q170"/>
  <c r="O333" i="12"/>
  <c r="R333"/>
  <c r="T333" s="1"/>
  <c r="U333" s="1"/>
  <c r="L333"/>
  <c r="P333"/>
  <c r="O306"/>
  <c r="L306"/>
  <c r="R306"/>
  <c r="T306" s="1"/>
  <c r="U306" s="1"/>
  <c r="P306"/>
  <c r="Q463" i="26"/>
  <c r="N463"/>
  <c r="O276" i="12"/>
  <c r="L276"/>
  <c r="R276"/>
  <c r="T276" s="1"/>
  <c r="U276" s="1"/>
  <c r="P276"/>
  <c r="O266"/>
  <c r="P266"/>
  <c r="L266"/>
  <c r="R266"/>
  <c r="T266" s="1"/>
  <c r="U266" s="1"/>
  <c r="N397" i="26"/>
  <c r="Q397"/>
  <c r="I397"/>
  <c r="O246" i="12"/>
  <c r="L246"/>
  <c r="R246"/>
  <c r="T246" s="1"/>
  <c r="U246" s="1"/>
  <c r="P246"/>
  <c r="I235" i="26"/>
  <c r="O222" i="12"/>
  <c r="L222"/>
  <c r="R222"/>
  <c r="T222" s="1"/>
  <c r="U222" s="1"/>
  <c r="P222"/>
  <c r="T235" i="26"/>
  <c r="N235"/>
  <c r="O290" i="12"/>
  <c r="L290"/>
  <c r="R290"/>
  <c r="T290" s="1"/>
  <c r="U290" s="1"/>
  <c r="P290"/>
  <c r="Q215" i="26"/>
  <c r="I179"/>
  <c r="Q179"/>
  <c r="T179"/>
  <c r="T211"/>
  <c r="O478" i="12"/>
  <c r="R478"/>
  <c r="T478" s="1"/>
  <c r="U478" s="1"/>
  <c r="P478"/>
  <c r="L478"/>
  <c r="O477"/>
  <c r="R477"/>
  <c r="T477" s="1"/>
  <c r="U477" s="1"/>
  <c r="P477"/>
  <c r="L477"/>
  <c r="O479"/>
  <c r="R479"/>
  <c r="T479" s="1"/>
  <c r="U479" s="1"/>
  <c r="P479"/>
  <c r="L479"/>
  <c r="O484"/>
  <c r="R484"/>
  <c r="T484" s="1"/>
  <c r="U484" s="1"/>
  <c r="P484"/>
  <c r="L484"/>
  <c r="O482"/>
  <c r="R482"/>
  <c r="T482" s="1"/>
  <c r="U482" s="1"/>
  <c r="P482"/>
  <c r="L482"/>
  <c r="O490"/>
  <c r="L490"/>
  <c r="P490"/>
  <c r="R490"/>
  <c r="T490" s="1"/>
  <c r="U490" s="1"/>
  <c r="O488"/>
  <c r="R488"/>
  <c r="T488" s="1"/>
  <c r="U488" s="1"/>
  <c r="P488"/>
  <c r="L488"/>
  <c r="O475"/>
  <c r="R475"/>
  <c r="T475" s="1"/>
  <c r="U475" s="1"/>
  <c r="P475"/>
  <c r="L475"/>
  <c r="O489"/>
  <c r="R489"/>
  <c r="T489" s="1"/>
  <c r="U489" s="1"/>
  <c r="P489"/>
  <c r="L489"/>
  <c r="O472"/>
  <c r="R472"/>
  <c r="T472" s="1"/>
  <c r="U472" s="1"/>
  <c r="P472"/>
  <c r="L472"/>
  <c r="O473"/>
  <c r="R473"/>
  <c r="T473" s="1"/>
  <c r="U473" s="1"/>
  <c r="P473"/>
  <c r="L473"/>
  <c r="O480"/>
  <c r="R480"/>
  <c r="T480" s="1"/>
  <c r="U480" s="1"/>
  <c r="P480"/>
  <c r="L480"/>
  <c r="O486"/>
  <c r="R486"/>
  <c r="T486" s="1"/>
  <c r="U486" s="1"/>
  <c r="P486"/>
  <c r="L486"/>
  <c r="O485"/>
  <c r="R485"/>
  <c r="T485" s="1"/>
  <c r="U485" s="1"/>
  <c r="P485"/>
  <c r="L485"/>
  <c r="O481"/>
  <c r="R481"/>
  <c r="T481" s="1"/>
  <c r="U481" s="1"/>
  <c r="P481"/>
  <c r="L481"/>
  <c r="O487"/>
  <c r="R487"/>
  <c r="T487" s="1"/>
  <c r="U487" s="1"/>
  <c r="P487"/>
  <c r="L487"/>
  <c r="O474"/>
  <c r="R474"/>
  <c r="T474" s="1"/>
  <c r="U474" s="1"/>
  <c r="P474"/>
  <c r="L474"/>
  <c r="L448"/>
  <c r="R448"/>
  <c r="T448" s="1"/>
  <c r="U448" s="1"/>
  <c r="P448"/>
  <c r="O448"/>
  <c r="L460"/>
  <c r="R460"/>
  <c r="T460" s="1"/>
  <c r="U460" s="1"/>
  <c r="P460"/>
  <c r="O460"/>
  <c r="L453"/>
  <c r="R453"/>
  <c r="T453" s="1"/>
  <c r="U453" s="1"/>
  <c r="P453"/>
  <c r="O453"/>
  <c r="L457"/>
  <c r="O457"/>
  <c r="R457"/>
  <c r="T457" s="1"/>
  <c r="U457" s="1"/>
  <c r="P457"/>
  <c r="L451"/>
  <c r="P451"/>
  <c r="O451"/>
  <c r="R451"/>
  <c r="T451" s="1"/>
  <c r="U451" s="1"/>
  <c r="O461"/>
  <c r="L461"/>
  <c r="R461"/>
  <c r="T461" s="1"/>
  <c r="U461" s="1"/>
  <c r="P461"/>
  <c r="L450"/>
  <c r="O450"/>
  <c r="R450"/>
  <c r="T450" s="1"/>
  <c r="U450" s="1"/>
  <c r="P450"/>
  <c r="L454"/>
  <c r="O454"/>
  <c r="R454"/>
  <c r="T454" s="1"/>
  <c r="U454" s="1"/>
  <c r="P454"/>
  <c r="L458"/>
  <c r="O458"/>
  <c r="P458"/>
  <c r="R458"/>
  <c r="T458" s="1"/>
  <c r="U458" s="1"/>
  <c r="L459"/>
  <c r="P459"/>
  <c r="R459"/>
  <c r="T459" s="1"/>
  <c r="U459" s="1"/>
  <c r="O459"/>
  <c r="L446"/>
  <c r="R446"/>
  <c r="T446" s="1"/>
  <c r="U446" s="1"/>
  <c r="P446"/>
  <c r="O446"/>
  <c r="L452"/>
  <c r="R452"/>
  <c r="T452" s="1"/>
  <c r="U452" s="1"/>
  <c r="P452"/>
  <c r="O452"/>
  <c r="L447"/>
  <c r="R447"/>
  <c r="T447" s="1"/>
  <c r="U447" s="1"/>
  <c r="P447"/>
  <c r="O447"/>
  <c r="O462"/>
  <c r="L462"/>
  <c r="R462"/>
  <c r="T462" s="1"/>
  <c r="U462" s="1"/>
  <c r="P462"/>
  <c r="L455"/>
  <c r="P455"/>
  <c r="R455"/>
  <c r="T455" s="1"/>
  <c r="U455" s="1"/>
  <c r="O455"/>
  <c r="O463"/>
  <c r="L463"/>
  <c r="P463"/>
  <c r="R463"/>
  <c r="T463" s="1"/>
  <c r="U463" s="1"/>
  <c r="L445"/>
  <c r="R445"/>
  <c r="T445" s="1"/>
  <c r="U445" s="1"/>
  <c r="P445"/>
  <c r="O445"/>
  <c r="I170" i="26"/>
  <c r="N170"/>
  <c r="L421" i="12"/>
  <c r="R421"/>
  <c r="T421" s="1"/>
  <c r="U421" s="1"/>
  <c r="O421"/>
  <c r="P421"/>
  <c r="L426"/>
  <c r="R426"/>
  <c r="T426" s="1"/>
  <c r="U426" s="1"/>
  <c r="P426"/>
  <c r="O426"/>
  <c r="L433"/>
  <c r="R433"/>
  <c r="T433" s="1"/>
  <c r="U433" s="1"/>
  <c r="P433"/>
  <c r="O433"/>
  <c r="R412"/>
  <c r="T412" s="1"/>
  <c r="U412" s="1"/>
  <c r="L412"/>
  <c r="P412"/>
  <c r="O412"/>
  <c r="R416"/>
  <c r="T416" s="1"/>
  <c r="U416" s="1"/>
  <c r="P416"/>
  <c r="O416"/>
  <c r="L416"/>
  <c r="L422"/>
  <c r="P422"/>
  <c r="O422"/>
  <c r="R422"/>
  <c r="T422" s="1"/>
  <c r="U422" s="1"/>
  <c r="L435"/>
  <c r="O435"/>
  <c r="R435"/>
  <c r="T435" s="1"/>
  <c r="U435" s="1"/>
  <c r="P435"/>
  <c r="L431"/>
  <c r="O431"/>
  <c r="R431"/>
  <c r="T431" s="1"/>
  <c r="U431" s="1"/>
  <c r="P431"/>
  <c r="L430"/>
  <c r="R430"/>
  <c r="T430" s="1"/>
  <c r="U430" s="1"/>
  <c r="P430"/>
  <c r="O430"/>
  <c r="R413"/>
  <c r="T413" s="1"/>
  <c r="U413" s="1"/>
  <c r="L413"/>
  <c r="P413"/>
  <c r="O413"/>
  <c r="R417"/>
  <c r="T417" s="1"/>
  <c r="U417" s="1"/>
  <c r="O417"/>
  <c r="P417"/>
  <c r="L417"/>
  <c r="C20" i="11"/>
  <c r="E20" s="1"/>
  <c r="L429" i="12"/>
  <c r="R429"/>
  <c r="T429" s="1"/>
  <c r="U429" s="1"/>
  <c r="P429"/>
  <c r="O429"/>
  <c r="L423"/>
  <c r="O423"/>
  <c r="R423"/>
  <c r="T423" s="1"/>
  <c r="U423" s="1"/>
  <c r="P423"/>
  <c r="L432"/>
  <c r="P432"/>
  <c r="O432"/>
  <c r="R432"/>
  <c r="T432" s="1"/>
  <c r="U432" s="1"/>
  <c r="L424"/>
  <c r="P424"/>
  <c r="O424"/>
  <c r="R424"/>
  <c r="T424" s="1"/>
  <c r="U424" s="1"/>
  <c r="L427"/>
  <c r="O427"/>
  <c r="R427"/>
  <c r="T427" s="1"/>
  <c r="U427" s="1"/>
  <c r="P427"/>
  <c r="R414"/>
  <c r="T414" s="1"/>
  <c r="U414" s="1"/>
  <c r="L414"/>
  <c r="P414"/>
  <c r="O414"/>
  <c r="R418"/>
  <c r="T418" s="1"/>
  <c r="U418" s="1"/>
  <c r="O418"/>
  <c r="P418"/>
  <c r="L418"/>
  <c r="L420"/>
  <c r="P420"/>
  <c r="R420"/>
  <c r="T420" s="1"/>
  <c r="U420" s="1"/>
  <c r="O420"/>
  <c r="L434"/>
  <c r="R434"/>
  <c r="T434" s="1"/>
  <c r="U434" s="1"/>
  <c r="P434"/>
  <c r="O434"/>
  <c r="L436"/>
  <c r="P436"/>
  <c r="O436"/>
  <c r="R436"/>
  <c r="T436" s="1"/>
  <c r="U436" s="1"/>
  <c r="L428"/>
  <c r="P428"/>
  <c r="O428"/>
  <c r="R428"/>
  <c r="T428" s="1"/>
  <c r="U428" s="1"/>
  <c r="R411"/>
  <c r="T411" s="1"/>
  <c r="U411" s="1"/>
  <c r="P411"/>
  <c r="L411"/>
  <c r="O411"/>
  <c r="R415"/>
  <c r="T415" s="1"/>
  <c r="U415" s="1"/>
  <c r="L415"/>
  <c r="P415"/>
  <c r="O415"/>
  <c r="R419"/>
  <c r="T419" s="1"/>
  <c r="U419" s="1"/>
  <c r="O419"/>
  <c r="P419"/>
  <c r="L419"/>
  <c r="N211" i="26"/>
  <c r="I463"/>
  <c r="I215"/>
  <c r="T329"/>
  <c r="T166"/>
  <c r="N166"/>
  <c r="N329"/>
  <c r="I329"/>
  <c r="Q166"/>
  <c r="N215"/>
  <c r="I418"/>
  <c r="Q418"/>
  <c r="T418"/>
  <c r="N204"/>
  <c r="Q204"/>
  <c r="M18" i="11"/>
  <c r="I204" i="26"/>
  <c r="T267"/>
  <c r="Q267"/>
  <c r="N267"/>
  <c r="N245"/>
  <c r="I405"/>
  <c r="I245"/>
  <c r="T245"/>
  <c r="O204" i="12"/>
  <c r="L204"/>
  <c r="R204"/>
  <c r="T204" s="1"/>
  <c r="U204" s="1"/>
  <c r="P204"/>
  <c r="G206"/>
  <c r="G207" s="1"/>
  <c r="G208" s="1"/>
  <c r="G209" s="1"/>
  <c r="G210" s="1"/>
  <c r="G211" s="1"/>
  <c r="G212" s="1"/>
  <c r="G213" s="1"/>
  <c r="G214" s="1"/>
  <c r="G215" s="1"/>
  <c r="G216" s="1"/>
  <c r="G217" s="1"/>
  <c r="G218" s="1"/>
  <c r="E206"/>
  <c r="E207" s="1"/>
  <c r="E208" s="1"/>
  <c r="E209" s="1"/>
  <c r="E210" s="1"/>
  <c r="E211" s="1"/>
  <c r="E212" s="1"/>
  <c r="E213" s="1"/>
  <c r="E214" s="1"/>
  <c r="E215" s="1"/>
  <c r="E216" s="1"/>
  <c r="E217" s="1"/>
  <c r="E218" s="1"/>
  <c r="F206"/>
  <c r="F207" s="1"/>
  <c r="F208" s="1"/>
  <c r="F209" s="1"/>
  <c r="F210" s="1"/>
  <c r="F211" s="1"/>
  <c r="F212" s="1"/>
  <c r="F213" s="1"/>
  <c r="F214" s="1"/>
  <c r="F215" s="1"/>
  <c r="F216" s="1"/>
  <c r="F217" s="1"/>
  <c r="F218" s="1"/>
  <c r="L1500"/>
  <c r="P1500"/>
  <c r="R1500"/>
  <c r="T1500" s="1"/>
  <c r="U1500" s="1"/>
  <c r="O1500"/>
  <c r="L1492"/>
  <c r="O1492"/>
  <c r="R1492"/>
  <c r="T1492" s="1"/>
  <c r="U1492" s="1"/>
  <c r="P1492"/>
  <c r="L1503"/>
  <c r="R1503"/>
  <c r="T1503" s="1"/>
  <c r="U1503" s="1"/>
  <c r="P1503"/>
  <c r="O1503"/>
  <c r="L1491"/>
  <c r="R1491"/>
  <c r="T1491" s="1"/>
  <c r="U1491" s="1"/>
  <c r="P1491"/>
  <c r="O1491"/>
  <c r="L1495"/>
  <c r="R1495"/>
  <c r="T1495" s="1"/>
  <c r="U1495" s="1"/>
  <c r="O1495"/>
  <c r="P1495"/>
  <c r="L1499"/>
  <c r="R1499"/>
  <c r="T1499" s="1"/>
  <c r="U1499" s="1"/>
  <c r="P1499"/>
  <c r="O1499"/>
  <c r="L1493"/>
  <c r="O1493"/>
  <c r="R1493"/>
  <c r="T1493" s="1"/>
  <c r="U1493" s="1"/>
  <c r="P1493"/>
  <c r="L1494"/>
  <c r="P1494"/>
  <c r="O1494"/>
  <c r="R1494"/>
  <c r="T1494" s="1"/>
  <c r="U1494" s="1"/>
  <c r="L1496"/>
  <c r="P1496"/>
  <c r="R1496"/>
  <c r="T1496" s="1"/>
  <c r="U1496" s="1"/>
  <c r="O1496"/>
  <c r="L1498"/>
  <c r="P1498"/>
  <c r="O1498"/>
  <c r="R1498"/>
  <c r="T1498" s="1"/>
  <c r="U1498" s="1"/>
  <c r="L1501"/>
  <c r="O1501"/>
  <c r="R1501"/>
  <c r="T1501" s="1"/>
  <c r="U1501" s="1"/>
  <c r="P1501"/>
  <c r="L1497"/>
  <c r="O1497"/>
  <c r="P1497"/>
  <c r="R1497"/>
  <c r="T1497" s="1"/>
  <c r="U1497" s="1"/>
  <c r="L1402"/>
  <c r="O1402"/>
  <c r="P1402"/>
  <c r="R1402"/>
  <c r="T1402" s="1"/>
  <c r="U1402" s="1"/>
  <c r="L1407"/>
  <c r="R1407"/>
  <c r="T1407" s="1"/>
  <c r="U1407" s="1"/>
  <c r="O1407"/>
  <c r="P1407"/>
  <c r="O1411"/>
  <c r="L1411"/>
  <c r="R1411"/>
  <c r="T1411" s="1"/>
  <c r="U1411" s="1"/>
  <c r="P1411"/>
  <c r="L1409"/>
  <c r="R1409"/>
  <c r="T1409" s="1"/>
  <c r="U1409" s="1"/>
  <c r="P1409"/>
  <c r="O1409"/>
  <c r="L1396"/>
  <c r="R1396"/>
  <c r="T1396" s="1"/>
  <c r="U1396" s="1"/>
  <c r="P1396"/>
  <c r="O1396"/>
  <c r="L1398"/>
  <c r="O1398"/>
  <c r="P1398"/>
  <c r="R1398"/>
  <c r="T1398" s="1"/>
  <c r="U1398" s="1"/>
  <c r="L1397"/>
  <c r="O1397"/>
  <c r="R1397"/>
  <c r="T1397" s="1"/>
  <c r="U1397" s="1"/>
  <c r="P1397"/>
  <c r="L1400"/>
  <c r="R1400"/>
  <c r="T1400" s="1"/>
  <c r="U1400" s="1"/>
  <c r="P1400"/>
  <c r="O1400"/>
  <c r="L1404"/>
  <c r="R1404"/>
  <c r="T1404" s="1"/>
  <c r="U1404" s="1"/>
  <c r="P1404"/>
  <c r="O1404"/>
  <c r="L1405"/>
  <c r="R1405"/>
  <c r="T1405" s="1"/>
  <c r="U1405" s="1"/>
  <c r="P1405"/>
  <c r="O1405"/>
  <c r="L1403"/>
  <c r="P1403"/>
  <c r="O1403"/>
  <c r="R1403"/>
  <c r="T1403" s="1"/>
  <c r="U1403" s="1"/>
  <c r="O1410"/>
  <c r="L1410"/>
  <c r="R1410"/>
  <c r="T1410" s="1"/>
  <c r="U1410" s="1"/>
  <c r="P1410"/>
  <c r="O1412"/>
  <c r="L1412"/>
  <c r="R1412"/>
  <c r="T1412" s="1"/>
  <c r="U1412" s="1"/>
  <c r="P1412"/>
  <c r="L1401"/>
  <c r="R1401"/>
  <c r="T1401" s="1"/>
  <c r="U1401" s="1"/>
  <c r="O1401"/>
  <c r="P1401"/>
  <c r="L1399"/>
  <c r="P1399"/>
  <c r="R1399"/>
  <c r="T1399" s="1"/>
  <c r="U1399" s="1"/>
  <c r="O1399"/>
  <c r="L1395"/>
  <c r="R1395"/>
  <c r="T1395" s="1"/>
  <c r="U1395" s="1"/>
  <c r="P1395"/>
  <c r="O1395"/>
  <c r="T472" i="26"/>
  <c r="Q472"/>
  <c r="I457"/>
  <c r="N457"/>
  <c r="T457"/>
  <c r="I472"/>
  <c r="Q59"/>
  <c r="N59"/>
  <c r="I59"/>
  <c r="L1329" i="12"/>
  <c r="O1329"/>
  <c r="P1329"/>
  <c r="R1329"/>
  <c r="T1329" s="1"/>
  <c r="U1329" s="1"/>
  <c r="L1333"/>
  <c r="O1333"/>
  <c r="P1333"/>
  <c r="R1333"/>
  <c r="T1333" s="1"/>
  <c r="U1333" s="1"/>
  <c r="L1332"/>
  <c r="R1332"/>
  <c r="T1332" s="1"/>
  <c r="U1332" s="1"/>
  <c r="P1332"/>
  <c r="O1332"/>
  <c r="O1341"/>
  <c r="L1341"/>
  <c r="R1341"/>
  <c r="T1341" s="1"/>
  <c r="U1341" s="1"/>
  <c r="P1341"/>
  <c r="L1331"/>
  <c r="R1331"/>
  <c r="T1331" s="1"/>
  <c r="U1331" s="1"/>
  <c r="P1331"/>
  <c r="O1331"/>
  <c r="L1328"/>
  <c r="O1328"/>
  <c r="R1328"/>
  <c r="T1328" s="1"/>
  <c r="U1328" s="1"/>
  <c r="P1328"/>
  <c r="O1343"/>
  <c r="L1343"/>
  <c r="R1343"/>
  <c r="T1343" s="1"/>
  <c r="U1343" s="1"/>
  <c r="P1343"/>
  <c r="O1342"/>
  <c r="L1342"/>
  <c r="R1342"/>
  <c r="T1342" s="1"/>
  <c r="U1342" s="1"/>
  <c r="P1342"/>
  <c r="L1337"/>
  <c r="R1337"/>
  <c r="T1337" s="1"/>
  <c r="U1337" s="1"/>
  <c r="P1337"/>
  <c r="O1337"/>
  <c r="L1325"/>
  <c r="R1325"/>
  <c r="T1325" s="1"/>
  <c r="U1325" s="1"/>
  <c r="P1325"/>
  <c r="O1325"/>
  <c r="O1340"/>
  <c r="L1340"/>
  <c r="R1340"/>
  <c r="T1340" s="1"/>
  <c r="U1340" s="1"/>
  <c r="P1340"/>
  <c r="L1330"/>
  <c r="P1330"/>
  <c r="R1330"/>
  <c r="T1330" s="1"/>
  <c r="U1330" s="1"/>
  <c r="O1330"/>
  <c r="L1335"/>
  <c r="R1335"/>
  <c r="T1335" s="1"/>
  <c r="U1335" s="1"/>
  <c r="P1335"/>
  <c r="O1335"/>
  <c r="L1326"/>
  <c r="R1326"/>
  <c r="T1326" s="1"/>
  <c r="U1326" s="1"/>
  <c r="P1326"/>
  <c r="O1326"/>
  <c r="L1338"/>
  <c r="R1338"/>
  <c r="T1338" s="1"/>
  <c r="U1338" s="1"/>
  <c r="O1338"/>
  <c r="P1338"/>
  <c r="L1327"/>
  <c r="R1327"/>
  <c r="T1327" s="1"/>
  <c r="U1327" s="1"/>
  <c r="P1327"/>
  <c r="O1327"/>
  <c r="L1334"/>
  <c r="P1334"/>
  <c r="O1334"/>
  <c r="R1334"/>
  <c r="T1334" s="1"/>
  <c r="U1334" s="1"/>
  <c r="T446" i="26"/>
  <c r="N338"/>
  <c r="N344"/>
  <c r="Q446"/>
  <c r="Q405"/>
  <c r="Q338"/>
  <c r="I344"/>
  <c r="N405"/>
  <c r="I338"/>
  <c r="N83"/>
  <c r="T344"/>
  <c r="I446"/>
  <c r="N438"/>
  <c r="N38"/>
  <c r="I438"/>
  <c r="T438"/>
  <c r="L1263" i="12"/>
  <c r="R1263"/>
  <c r="T1263" s="1"/>
  <c r="U1263" s="1"/>
  <c r="P1263"/>
  <c r="O1263"/>
  <c r="O1259"/>
  <c r="L1259"/>
  <c r="R1259"/>
  <c r="T1259" s="1"/>
  <c r="U1259" s="1"/>
  <c r="P1259"/>
  <c r="L1267"/>
  <c r="R1267"/>
  <c r="T1267" s="1"/>
  <c r="U1267" s="1"/>
  <c r="P1267"/>
  <c r="O1267"/>
  <c r="L1271"/>
  <c r="R1271"/>
  <c r="T1271" s="1"/>
  <c r="U1271" s="1"/>
  <c r="P1271"/>
  <c r="O1271"/>
  <c r="L1262"/>
  <c r="P1262"/>
  <c r="O1262"/>
  <c r="R1262"/>
  <c r="T1262" s="1"/>
  <c r="U1262" s="1"/>
  <c r="L1261"/>
  <c r="O1261"/>
  <c r="R1261"/>
  <c r="T1261" s="1"/>
  <c r="U1261" s="1"/>
  <c r="P1261"/>
  <c r="L1266"/>
  <c r="P1266"/>
  <c r="O1266"/>
  <c r="R1266"/>
  <c r="T1266" s="1"/>
  <c r="U1266" s="1"/>
  <c r="L1274"/>
  <c r="R1274"/>
  <c r="T1274" s="1"/>
  <c r="U1274" s="1"/>
  <c r="P1274"/>
  <c r="O1274"/>
  <c r="O1276"/>
  <c r="L1276"/>
  <c r="R1276"/>
  <c r="T1276" s="1"/>
  <c r="U1276" s="1"/>
  <c r="P1276"/>
  <c r="L1260"/>
  <c r="O1260"/>
  <c r="R1260"/>
  <c r="T1260" s="1"/>
  <c r="U1260" s="1"/>
  <c r="P1260"/>
  <c r="L1275"/>
  <c r="R1275"/>
  <c r="T1275" s="1"/>
  <c r="U1275" s="1"/>
  <c r="O1275"/>
  <c r="P1275"/>
  <c r="L1264"/>
  <c r="R1264"/>
  <c r="T1264" s="1"/>
  <c r="U1264" s="1"/>
  <c r="O1264"/>
  <c r="P1264"/>
  <c r="L1268"/>
  <c r="O1268"/>
  <c r="R1268"/>
  <c r="T1268" s="1"/>
  <c r="U1268" s="1"/>
  <c r="P1268"/>
  <c r="L1265"/>
  <c r="O1265"/>
  <c r="P1265"/>
  <c r="R1265"/>
  <c r="T1265" s="1"/>
  <c r="U1265" s="1"/>
  <c r="L1272"/>
  <c r="R1272"/>
  <c r="T1272" s="1"/>
  <c r="U1272" s="1"/>
  <c r="P1272"/>
  <c r="O1272"/>
  <c r="L1270"/>
  <c r="P1270"/>
  <c r="R1270"/>
  <c r="T1270" s="1"/>
  <c r="U1270" s="1"/>
  <c r="O1270"/>
  <c r="O1258"/>
  <c r="P1258"/>
  <c r="L1258"/>
  <c r="R1258"/>
  <c r="T1258" s="1"/>
  <c r="U1258" s="1"/>
  <c r="D1207"/>
  <c r="L1174"/>
  <c r="P1174"/>
  <c r="O1174"/>
  <c r="R1174"/>
  <c r="T1174" s="1"/>
  <c r="U1174" s="1"/>
  <c r="O1166"/>
  <c r="L1166"/>
  <c r="R1166"/>
  <c r="T1166" s="1"/>
  <c r="U1166" s="1"/>
  <c r="P1166"/>
  <c r="L1179"/>
  <c r="R1179"/>
  <c r="T1179" s="1"/>
  <c r="U1179" s="1"/>
  <c r="P1179"/>
  <c r="O1179"/>
  <c r="L1171"/>
  <c r="R1171"/>
  <c r="T1171" s="1"/>
  <c r="U1171" s="1"/>
  <c r="P1171"/>
  <c r="O1171"/>
  <c r="L1182"/>
  <c r="R1182"/>
  <c r="T1182" s="1"/>
  <c r="U1182" s="1"/>
  <c r="O1182"/>
  <c r="P1182"/>
  <c r="L1170"/>
  <c r="P1170"/>
  <c r="O1170"/>
  <c r="R1170"/>
  <c r="T1170" s="1"/>
  <c r="U1170" s="1"/>
  <c r="L1169"/>
  <c r="O1169"/>
  <c r="R1169"/>
  <c r="T1169" s="1"/>
  <c r="U1169" s="1"/>
  <c r="P1169"/>
  <c r="L1175"/>
  <c r="R1175"/>
  <c r="T1175" s="1"/>
  <c r="U1175" s="1"/>
  <c r="P1175"/>
  <c r="O1175"/>
  <c r="L1168"/>
  <c r="R1168"/>
  <c r="T1168" s="1"/>
  <c r="U1168" s="1"/>
  <c r="P1168"/>
  <c r="O1168"/>
  <c r="L1176"/>
  <c r="P1176"/>
  <c r="R1176"/>
  <c r="T1176" s="1"/>
  <c r="U1176" s="1"/>
  <c r="O1176"/>
  <c r="L1172"/>
  <c r="R1172"/>
  <c r="T1172" s="1"/>
  <c r="U1172" s="1"/>
  <c r="P1172"/>
  <c r="O1172"/>
  <c r="O1183"/>
  <c r="L1183"/>
  <c r="R1183"/>
  <c r="T1183" s="1"/>
  <c r="U1183" s="1"/>
  <c r="P1183"/>
  <c r="L1173"/>
  <c r="O1173"/>
  <c r="R1173"/>
  <c r="T1173" s="1"/>
  <c r="U1173" s="1"/>
  <c r="P1173"/>
  <c r="L1178"/>
  <c r="P1178"/>
  <c r="R1178"/>
  <c r="T1178" s="1"/>
  <c r="U1178" s="1"/>
  <c r="O1178"/>
  <c r="O1184"/>
  <c r="L1184"/>
  <c r="R1184"/>
  <c r="T1184" s="1"/>
  <c r="U1184" s="1"/>
  <c r="P1184"/>
  <c r="O1167"/>
  <c r="R1167"/>
  <c r="T1167" s="1"/>
  <c r="U1167" s="1"/>
  <c r="L1167"/>
  <c r="P1167"/>
  <c r="L1181"/>
  <c r="R1181"/>
  <c r="T1181" s="1"/>
  <c r="U1181" s="1"/>
  <c r="O1181"/>
  <c r="P1181"/>
  <c r="O1092"/>
  <c r="L1092"/>
  <c r="P1092"/>
  <c r="R1092"/>
  <c r="T1092" s="1"/>
  <c r="U1092" s="1"/>
  <c r="O1087"/>
  <c r="L1087"/>
  <c r="R1087"/>
  <c r="T1087" s="1"/>
  <c r="U1087" s="1"/>
  <c r="P1087"/>
  <c r="O1084"/>
  <c r="L1084"/>
  <c r="R1084"/>
  <c r="T1084" s="1"/>
  <c r="U1084" s="1"/>
  <c r="P1084"/>
  <c r="O1086"/>
  <c r="L1086"/>
  <c r="R1086"/>
  <c r="T1086" s="1"/>
  <c r="U1086" s="1"/>
  <c r="P1086"/>
  <c r="L1081"/>
  <c r="R1081"/>
  <c r="T1081" s="1"/>
  <c r="U1081" s="1"/>
  <c r="P1081"/>
  <c r="O1081"/>
  <c r="O1083"/>
  <c r="L1083"/>
  <c r="R1083"/>
  <c r="T1083" s="1"/>
  <c r="U1083" s="1"/>
  <c r="P1083"/>
  <c r="L1078"/>
  <c r="R1078"/>
  <c r="T1078" s="1"/>
  <c r="U1078" s="1"/>
  <c r="P1078"/>
  <c r="O1078"/>
  <c r="O1093"/>
  <c r="L1093"/>
  <c r="R1093"/>
  <c r="T1093" s="1"/>
  <c r="U1093" s="1"/>
  <c r="P1093"/>
  <c r="O1085"/>
  <c r="L1085"/>
  <c r="R1085"/>
  <c r="T1085" s="1"/>
  <c r="U1085" s="1"/>
  <c r="P1085"/>
  <c r="O1089"/>
  <c r="L1089"/>
  <c r="R1089"/>
  <c r="T1089" s="1"/>
  <c r="U1089" s="1"/>
  <c r="P1089"/>
  <c r="L1080"/>
  <c r="R1080"/>
  <c r="T1080" s="1"/>
  <c r="U1080" s="1"/>
  <c r="P1080"/>
  <c r="O1080"/>
  <c r="O1091"/>
  <c r="L1091"/>
  <c r="R1091"/>
  <c r="T1091" s="1"/>
  <c r="U1091" s="1"/>
  <c r="P1091"/>
  <c r="O1090"/>
  <c r="L1090"/>
  <c r="R1090"/>
  <c r="T1090" s="1"/>
  <c r="U1090" s="1"/>
  <c r="P1090"/>
  <c r="L1079"/>
  <c r="R1079"/>
  <c r="T1079" s="1"/>
  <c r="U1079" s="1"/>
  <c r="O1079"/>
  <c r="P1079"/>
  <c r="O1082"/>
  <c r="L1082"/>
  <c r="R1082"/>
  <c r="T1082" s="1"/>
  <c r="U1082" s="1"/>
  <c r="P1082"/>
  <c r="N78" i="26"/>
  <c r="T38"/>
  <c r="I78"/>
  <c r="I38"/>
  <c r="T78"/>
  <c r="L1009" i="12"/>
  <c r="P1009"/>
  <c r="O1009"/>
  <c r="R1009"/>
  <c r="T1009" s="1"/>
  <c r="U1009" s="1"/>
  <c r="L1012"/>
  <c r="R1012"/>
  <c r="T1012" s="1"/>
  <c r="U1012" s="1"/>
  <c r="P1012"/>
  <c r="O1012"/>
  <c r="L998"/>
  <c r="R998"/>
  <c r="T998" s="1"/>
  <c r="U998" s="1"/>
  <c r="P998"/>
  <c r="O998"/>
  <c r="L1007"/>
  <c r="R1007"/>
  <c r="T1007" s="1"/>
  <c r="U1007" s="1"/>
  <c r="P1007"/>
  <c r="O1007"/>
  <c r="O1014"/>
  <c r="L1014"/>
  <c r="R1014"/>
  <c r="T1014" s="1"/>
  <c r="U1014" s="1"/>
  <c r="P1014"/>
  <c r="L1013"/>
  <c r="R1013"/>
  <c r="T1013" s="1"/>
  <c r="U1013" s="1"/>
  <c r="O1013"/>
  <c r="P1013"/>
  <c r="L1004"/>
  <c r="O1004"/>
  <c r="R1004"/>
  <c r="T1004" s="1"/>
  <c r="U1004" s="1"/>
  <c r="P1004"/>
  <c r="L1002"/>
  <c r="R1002"/>
  <c r="T1002" s="1"/>
  <c r="U1002" s="1"/>
  <c r="P1002"/>
  <c r="O1002"/>
  <c r="L1003"/>
  <c r="R1003"/>
  <c r="T1003" s="1"/>
  <c r="U1003" s="1"/>
  <c r="P1003"/>
  <c r="O1003"/>
  <c r="L1005"/>
  <c r="P1005"/>
  <c r="O1005"/>
  <c r="R1005"/>
  <c r="T1005" s="1"/>
  <c r="U1005" s="1"/>
  <c r="L997"/>
  <c r="R997"/>
  <c r="T997" s="1"/>
  <c r="U997" s="1"/>
  <c r="P997"/>
  <c r="O997"/>
  <c r="L999"/>
  <c r="P999"/>
  <c r="R999"/>
  <c r="T999" s="1"/>
  <c r="U999" s="1"/>
  <c r="O999"/>
  <c r="L1006"/>
  <c r="R1006"/>
  <c r="T1006" s="1"/>
  <c r="U1006" s="1"/>
  <c r="P1006"/>
  <c r="O1006"/>
  <c r="L1010"/>
  <c r="R1010"/>
  <c r="T1010" s="1"/>
  <c r="U1010" s="1"/>
  <c r="O1010"/>
  <c r="P1010"/>
  <c r="L1001"/>
  <c r="P1001"/>
  <c r="O1001"/>
  <c r="R1001"/>
  <c r="T1001" s="1"/>
  <c r="U1001" s="1"/>
  <c r="L1000"/>
  <c r="O1000"/>
  <c r="R1000"/>
  <c r="T1000" s="1"/>
  <c r="U1000" s="1"/>
  <c r="P1000"/>
  <c r="L935"/>
  <c r="R935"/>
  <c r="T935" s="1"/>
  <c r="U935" s="1"/>
  <c r="P935"/>
  <c r="O935"/>
  <c r="L931"/>
  <c r="R931"/>
  <c r="T931" s="1"/>
  <c r="U931" s="1"/>
  <c r="P931"/>
  <c r="O931"/>
  <c r="O943"/>
  <c r="L943"/>
  <c r="R943"/>
  <c r="T943" s="1"/>
  <c r="U943" s="1"/>
  <c r="P943"/>
  <c r="L927"/>
  <c r="R927"/>
  <c r="T927" s="1"/>
  <c r="U927" s="1"/>
  <c r="P927"/>
  <c r="O927"/>
  <c r="O942"/>
  <c r="L942"/>
  <c r="R942"/>
  <c r="T942" s="1"/>
  <c r="U942" s="1"/>
  <c r="P942"/>
  <c r="L932"/>
  <c r="O932"/>
  <c r="R932"/>
  <c r="T932" s="1"/>
  <c r="U932" s="1"/>
  <c r="P932"/>
  <c r="L939"/>
  <c r="R939"/>
  <c r="T939" s="1"/>
  <c r="U939" s="1"/>
  <c r="P939"/>
  <c r="O939"/>
  <c r="L936"/>
  <c r="R936"/>
  <c r="T936" s="1"/>
  <c r="U936" s="1"/>
  <c r="P936"/>
  <c r="O936"/>
  <c r="L938"/>
  <c r="R938"/>
  <c r="T938" s="1"/>
  <c r="U938" s="1"/>
  <c r="O938"/>
  <c r="P938"/>
  <c r="L933"/>
  <c r="O933"/>
  <c r="P933"/>
  <c r="R933"/>
  <c r="T933" s="1"/>
  <c r="U933" s="1"/>
  <c r="O941"/>
  <c r="L941"/>
  <c r="R941"/>
  <c r="T941" s="1"/>
  <c r="U941" s="1"/>
  <c r="P941"/>
  <c r="L934"/>
  <c r="P934"/>
  <c r="O934"/>
  <c r="R934"/>
  <c r="T934" s="1"/>
  <c r="U934" s="1"/>
  <c r="L928"/>
  <c r="R928"/>
  <c r="T928" s="1"/>
  <c r="U928" s="1"/>
  <c r="P928"/>
  <c r="O928"/>
  <c r="L929"/>
  <c r="O929"/>
  <c r="P929"/>
  <c r="R929"/>
  <c r="T929" s="1"/>
  <c r="U929" s="1"/>
  <c r="L930"/>
  <c r="P930"/>
  <c r="R930"/>
  <c r="T930" s="1"/>
  <c r="U930" s="1"/>
  <c r="O930"/>
  <c r="L926"/>
  <c r="O926"/>
  <c r="R926"/>
  <c r="T926" s="1"/>
  <c r="U926" s="1"/>
  <c r="P926"/>
  <c r="I72" i="26"/>
  <c r="L877" i="12"/>
  <c r="R877"/>
  <c r="T877" s="1"/>
  <c r="U877" s="1"/>
  <c r="O877"/>
  <c r="P877"/>
  <c r="L878"/>
  <c r="R878"/>
  <c r="T878" s="1"/>
  <c r="U878" s="1"/>
  <c r="P878"/>
  <c r="O878"/>
  <c r="L868"/>
  <c r="O868"/>
  <c r="R868"/>
  <c r="T868" s="1"/>
  <c r="U868" s="1"/>
  <c r="P868"/>
  <c r="L879"/>
  <c r="R879"/>
  <c r="T879" s="1"/>
  <c r="U879" s="1"/>
  <c r="P879"/>
  <c r="O879"/>
  <c r="L867"/>
  <c r="R867"/>
  <c r="T867" s="1"/>
  <c r="U867" s="1"/>
  <c r="P867"/>
  <c r="O867"/>
  <c r="L862"/>
  <c r="R862"/>
  <c r="T862" s="1"/>
  <c r="U862" s="1"/>
  <c r="P862"/>
  <c r="O862"/>
  <c r="L871"/>
  <c r="R871"/>
  <c r="T871" s="1"/>
  <c r="U871" s="1"/>
  <c r="P871"/>
  <c r="O871"/>
  <c r="L866"/>
  <c r="R866"/>
  <c r="T866" s="1"/>
  <c r="U866" s="1"/>
  <c r="P866"/>
  <c r="O866"/>
  <c r="L873"/>
  <c r="P873"/>
  <c r="O873"/>
  <c r="R873"/>
  <c r="T873" s="1"/>
  <c r="U873" s="1"/>
  <c r="L859"/>
  <c r="R859"/>
  <c r="T859" s="1"/>
  <c r="U859" s="1"/>
  <c r="P859"/>
  <c r="O859"/>
  <c r="L863"/>
  <c r="R863"/>
  <c r="T863" s="1"/>
  <c r="U863" s="1"/>
  <c r="P863"/>
  <c r="O863"/>
  <c r="L869"/>
  <c r="P869"/>
  <c r="O869"/>
  <c r="R869"/>
  <c r="T869" s="1"/>
  <c r="U869" s="1"/>
  <c r="O880"/>
  <c r="L880"/>
  <c r="R880"/>
  <c r="T880" s="1"/>
  <c r="U880" s="1"/>
  <c r="P880"/>
  <c r="L876"/>
  <c r="R876"/>
  <c r="T876" s="1"/>
  <c r="U876" s="1"/>
  <c r="O876"/>
  <c r="P876"/>
  <c r="L872"/>
  <c r="O872"/>
  <c r="R872"/>
  <c r="T872" s="1"/>
  <c r="U872" s="1"/>
  <c r="P872"/>
  <c r="L860"/>
  <c r="R860"/>
  <c r="T860" s="1"/>
  <c r="U860" s="1"/>
  <c r="P860"/>
  <c r="O860"/>
  <c r="L864"/>
  <c r="R864"/>
  <c r="T864" s="1"/>
  <c r="U864" s="1"/>
  <c r="P864"/>
  <c r="O864"/>
  <c r="O881"/>
  <c r="L881"/>
  <c r="R881"/>
  <c r="T881" s="1"/>
  <c r="U881" s="1"/>
  <c r="P881"/>
  <c r="L870"/>
  <c r="R870"/>
  <c r="T870" s="1"/>
  <c r="U870" s="1"/>
  <c r="P870"/>
  <c r="O870"/>
  <c r="L861"/>
  <c r="R861"/>
  <c r="T861" s="1"/>
  <c r="U861" s="1"/>
  <c r="P861"/>
  <c r="O861"/>
  <c r="L865"/>
  <c r="R865"/>
  <c r="T865" s="1"/>
  <c r="U865" s="1"/>
  <c r="O865"/>
  <c r="P865"/>
  <c r="L795"/>
  <c r="R795"/>
  <c r="T795" s="1"/>
  <c r="U795" s="1"/>
  <c r="P795"/>
  <c r="O795"/>
  <c r="L785"/>
  <c r="R785"/>
  <c r="T785" s="1"/>
  <c r="U785" s="1"/>
  <c r="P785"/>
  <c r="O785"/>
  <c r="L784"/>
  <c r="P784"/>
  <c r="O784"/>
  <c r="R784"/>
  <c r="T784" s="1"/>
  <c r="U784" s="1"/>
  <c r="L787"/>
  <c r="O787"/>
  <c r="R787"/>
  <c r="T787" s="1"/>
  <c r="U787" s="1"/>
  <c r="P787"/>
  <c r="O796"/>
  <c r="L796"/>
  <c r="R796"/>
  <c r="T796" s="1"/>
  <c r="U796" s="1"/>
  <c r="P796"/>
  <c r="L791"/>
  <c r="R791"/>
  <c r="T791" s="1"/>
  <c r="U791" s="1"/>
  <c r="P791"/>
  <c r="O791"/>
  <c r="L789"/>
  <c r="R789"/>
  <c r="T789" s="1"/>
  <c r="U789" s="1"/>
  <c r="P789"/>
  <c r="O789"/>
  <c r="L782"/>
  <c r="O782"/>
  <c r="R782"/>
  <c r="T782" s="1"/>
  <c r="U782" s="1"/>
  <c r="P782"/>
  <c r="L792"/>
  <c r="R792"/>
  <c r="T792" s="1"/>
  <c r="U792" s="1"/>
  <c r="P792"/>
  <c r="O792"/>
  <c r="L786"/>
  <c r="R786"/>
  <c r="T786" s="1"/>
  <c r="U786" s="1"/>
  <c r="P786"/>
  <c r="O786"/>
  <c r="L790"/>
  <c r="O790"/>
  <c r="R790"/>
  <c r="T790" s="1"/>
  <c r="U790" s="1"/>
  <c r="P790"/>
  <c r="O798"/>
  <c r="L798"/>
  <c r="R798"/>
  <c r="T798" s="1"/>
  <c r="U798" s="1"/>
  <c r="P798"/>
  <c r="L794"/>
  <c r="R794"/>
  <c r="T794" s="1"/>
  <c r="U794" s="1"/>
  <c r="P794"/>
  <c r="O794"/>
  <c r="L788"/>
  <c r="P788"/>
  <c r="O788"/>
  <c r="R788"/>
  <c r="T788" s="1"/>
  <c r="U788" s="1"/>
  <c r="L783"/>
  <c r="O783"/>
  <c r="P783"/>
  <c r="R783"/>
  <c r="T783" s="1"/>
  <c r="U783" s="1"/>
  <c r="O781"/>
  <c r="P781"/>
  <c r="L781"/>
  <c r="R781"/>
  <c r="T781" s="1"/>
  <c r="U781" s="1"/>
  <c r="Q213" i="26"/>
  <c r="N72"/>
  <c r="Q93"/>
  <c r="T213"/>
  <c r="T72"/>
  <c r="T93"/>
  <c r="I213"/>
  <c r="N93"/>
  <c r="I83"/>
  <c r="T195"/>
  <c r="I195"/>
  <c r="Q195"/>
  <c r="Q83"/>
  <c r="L625" i="12"/>
  <c r="O625"/>
  <c r="R625"/>
  <c r="T625" s="1"/>
  <c r="U625" s="1"/>
  <c r="P625"/>
  <c r="L632"/>
  <c r="R632"/>
  <c r="T632" s="1"/>
  <c r="U632" s="1"/>
  <c r="P632"/>
  <c r="O632"/>
  <c r="L631"/>
  <c r="P631"/>
  <c r="R631"/>
  <c r="T631" s="1"/>
  <c r="U631" s="1"/>
  <c r="O631"/>
  <c r="L628"/>
  <c r="R628"/>
  <c r="T628" s="1"/>
  <c r="U628" s="1"/>
  <c r="P628"/>
  <c r="O628"/>
  <c r="L638"/>
  <c r="R638"/>
  <c r="T638" s="1"/>
  <c r="U638" s="1"/>
  <c r="O638"/>
  <c r="P638"/>
  <c r="L626"/>
  <c r="O626"/>
  <c r="P626"/>
  <c r="R626"/>
  <c r="T626" s="1"/>
  <c r="U626" s="1"/>
  <c r="L627"/>
  <c r="P627"/>
  <c r="O627"/>
  <c r="R627"/>
  <c r="T627" s="1"/>
  <c r="U627" s="1"/>
  <c r="L624"/>
  <c r="R624"/>
  <c r="T624" s="1"/>
  <c r="U624" s="1"/>
  <c r="P624"/>
  <c r="O624"/>
  <c r="L635"/>
  <c r="R635"/>
  <c r="T635" s="1"/>
  <c r="U635" s="1"/>
  <c r="O635"/>
  <c r="P635"/>
  <c r="L637"/>
  <c r="R637"/>
  <c r="T637" s="1"/>
  <c r="U637" s="1"/>
  <c r="P637"/>
  <c r="O637"/>
  <c r="O639"/>
  <c r="L639"/>
  <c r="R639"/>
  <c r="T639" s="1"/>
  <c r="U639" s="1"/>
  <c r="P639"/>
  <c r="O640"/>
  <c r="L640"/>
  <c r="R640"/>
  <c r="T640" s="1"/>
  <c r="U640" s="1"/>
  <c r="P640"/>
  <c r="L629"/>
  <c r="R629"/>
  <c r="T629" s="1"/>
  <c r="U629" s="1"/>
  <c r="P629"/>
  <c r="O629"/>
  <c r="L630"/>
  <c r="O630"/>
  <c r="R630"/>
  <c r="T630" s="1"/>
  <c r="U630" s="1"/>
  <c r="P630"/>
  <c r="L633"/>
  <c r="R633"/>
  <c r="T633" s="1"/>
  <c r="U633" s="1"/>
  <c r="O633"/>
  <c r="P633"/>
  <c r="L636"/>
  <c r="R636"/>
  <c r="T636" s="1"/>
  <c r="U636" s="1"/>
  <c r="P636"/>
  <c r="O636"/>
  <c r="L623"/>
  <c r="R623"/>
  <c r="T623" s="1"/>
  <c r="U623" s="1"/>
  <c r="P623"/>
  <c r="O623"/>
  <c r="O576"/>
  <c r="L576"/>
  <c r="R576"/>
  <c r="T576" s="1"/>
  <c r="U576" s="1"/>
  <c r="P576"/>
  <c r="O574"/>
  <c r="L574"/>
  <c r="R574"/>
  <c r="T574" s="1"/>
  <c r="U574" s="1"/>
  <c r="P574"/>
  <c r="L571"/>
  <c r="R571"/>
  <c r="T571" s="1"/>
  <c r="U571" s="1"/>
  <c r="P571"/>
  <c r="O571"/>
  <c r="L565"/>
  <c r="O565"/>
  <c r="R565"/>
  <c r="T565" s="1"/>
  <c r="U565" s="1"/>
  <c r="P565"/>
  <c r="O575"/>
  <c r="L575"/>
  <c r="P575"/>
  <c r="R575"/>
  <c r="T575" s="1"/>
  <c r="U575" s="1"/>
  <c r="L570"/>
  <c r="P570"/>
  <c r="O570"/>
  <c r="R570"/>
  <c r="T570" s="1"/>
  <c r="U570" s="1"/>
  <c r="L564"/>
  <c r="R564"/>
  <c r="T564" s="1"/>
  <c r="U564" s="1"/>
  <c r="P564"/>
  <c r="O564"/>
  <c r="O578"/>
  <c r="L578"/>
  <c r="R578"/>
  <c r="T578" s="1"/>
  <c r="U578" s="1"/>
  <c r="P578"/>
  <c r="L567"/>
  <c r="R567"/>
  <c r="T567" s="1"/>
  <c r="U567" s="1"/>
  <c r="P567"/>
  <c r="O567"/>
  <c r="L566"/>
  <c r="P566"/>
  <c r="O566"/>
  <c r="R566"/>
  <c r="T566" s="1"/>
  <c r="U566" s="1"/>
  <c r="O579"/>
  <c r="L579"/>
  <c r="P579"/>
  <c r="R579"/>
  <c r="T579" s="1"/>
  <c r="U579" s="1"/>
  <c r="L568"/>
  <c r="R568"/>
  <c r="T568" s="1"/>
  <c r="U568" s="1"/>
  <c r="O568"/>
  <c r="P568"/>
  <c r="O572"/>
  <c r="L572"/>
  <c r="R572"/>
  <c r="T572" s="1"/>
  <c r="U572" s="1"/>
  <c r="P572"/>
  <c r="L569"/>
  <c r="O569"/>
  <c r="P569"/>
  <c r="R569"/>
  <c r="T569" s="1"/>
  <c r="U569" s="1"/>
  <c r="L563"/>
  <c r="R563"/>
  <c r="T563" s="1"/>
  <c r="U563" s="1"/>
  <c r="P563"/>
  <c r="O563"/>
  <c r="L562"/>
  <c r="R562"/>
  <c r="T562" s="1"/>
  <c r="U562" s="1"/>
  <c r="P562"/>
  <c r="O562"/>
  <c r="Q231" i="26"/>
  <c r="Q29"/>
  <c r="N29"/>
  <c r="G493" i="12"/>
  <c r="G494" s="1"/>
  <c r="G495" s="1"/>
  <c r="G496" s="1"/>
  <c r="G497" s="1"/>
  <c r="G498" s="1"/>
  <c r="G499" s="1"/>
  <c r="G500" s="1"/>
  <c r="G501" s="1"/>
  <c r="G502" s="1"/>
  <c r="G503" s="1"/>
  <c r="G504" s="1"/>
  <c r="G505" s="1"/>
  <c r="G506" s="1"/>
  <c r="G507" s="1"/>
  <c r="N85" i="26"/>
  <c r="I85"/>
  <c r="T231"/>
  <c r="T29"/>
  <c r="I231"/>
  <c r="T85"/>
  <c r="L406" i="12"/>
  <c r="R406"/>
  <c r="T406" s="1"/>
  <c r="U406" s="1"/>
  <c r="P406"/>
  <c r="O406"/>
  <c r="L393"/>
  <c r="P393"/>
  <c r="R393"/>
  <c r="T393" s="1"/>
  <c r="U393" s="1"/>
  <c r="O393"/>
  <c r="L396"/>
  <c r="R396"/>
  <c r="T396" s="1"/>
  <c r="U396" s="1"/>
  <c r="P396"/>
  <c r="O396"/>
  <c r="L399"/>
  <c r="P399"/>
  <c r="O399"/>
  <c r="R399"/>
  <c r="T399" s="1"/>
  <c r="U399" s="1"/>
  <c r="L397"/>
  <c r="R397"/>
  <c r="T397" s="1"/>
  <c r="U397" s="1"/>
  <c r="P397"/>
  <c r="O397"/>
  <c r="L395"/>
  <c r="P395"/>
  <c r="O395"/>
  <c r="R395"/>
  <c r="T395" s="1"/>
  <c r="U395" s="1"/>
  <c r="L401"/>
  <c r="P401"/>
  <c r="R401"/>
  <c r="T401" s="1"/>
  <c r="U401" s="1"/>
  <c r="O401"/>
  <c r="L404"/>
  <c r="R404"/>
  <c r="T404" s="1"/>
  <c r="U404" s="1"/>
  <c r="P404"/>
  <c r="O404"/>
  <c r="L392"/>
  <c r="R392"/>
  <c r="T392" s="1"/>
  <c r="U392" s="1"/>
  <c r="P392"/>
  <c r="O392"/>
  <c r="L403"/>
  <c r="P403"/>
  <c r="O403"/>
  <c r="R403"/>
  <c r="T403" s="1"/>
  <c r="U403" s="1"/>
  <c r="L391"/>
  <c r="R391"/>
  <c r="T391" s="1"/>
  <c r="U391" s="1"/>
  <c r="P391"/>
  <c r="O391"/>
  <c r="L398"/>
  <c r="O398"/>
  <c r="R398"/>
  <c r="T398" s="1"/>
  <c r="U398" s="1"/>
  <c r="P398"/>
  <c r="L400"/>
  <c r="R400"/>
  <c r="T400" s="1"/>
  <c r="U400" s="1"/>
  <c r="O400"/>
  <c r="P400"/>
  <c r="L394"/>
  <c r="O394"/>
  <c r="R394"/>
  <c r="T394" s="1"/>
  <c r="U394" s="1"/>
  <c r="P394"/>
  <c r="O408"/>
  <c r="L408"/>
  <c r="R408"/>
  <c r="T408" s="1"/>
  <c r="U408" s="1"/>
  <c r="P408"/>
  <c r="L407"/>
  <c r="R407"/>
  <c r="T407" s="1"/>
  <c r="U407" s="1"/>
  <c r="O407"/>
  <c r="P407"/>
  <c r="D339"/>
  <c r="T105" i="26"/>
  <c r="E328" i="12"/>
  <c r="E329" s="1"/>
  <c r="E330" s="1"/>
  <c r="E331" s="1"/>
  <c r="E332" s="1"/>
  <c r="O337"/>
  <c r="L337"/>
  <c r="R337"/>
  <c r="T337" s="1"/>
  <c r="U337" s="1"/>
  <c r="P337"/>
  <c r="G328"/>
  <c r="G329" s="1"/>
  <c r="G330" s="1"/>
  <c r="G331" s="1"/>
  <c r="G332" s="1"/>
  <c r="O331"/>
  <c r="L331"/>
  <c r="R331"/>
  <c r="T331" s="1"/>
  <c r="U331" s="1"/>
  <c r="P331"/>
  <c r="O334"/>
  <c r="L334"/>
  <c r="R334"/>
  <c r="T334" s="1"/>
  <c r="U334" s="1"/>
  <c r="P334"/>
  <c r="F328"/>
  <c r="F329" s="1"/>
  <c r="F330" s="1"/>
  <c r="F331" s="1"/>
  <c r="F332" s="1"/>
  <c r="O336"/>
  <c r="L336"/>
  <c r="P336"/>
  <c r="R336"/>
  <c r="T336" s="1"/>
  <c r="U336" s="1"/>
  <c r="L330"/>
  <c r="R330"/>
  <c r="T330" s="1"/>
  <c r="U330" s="1"/>
  <c r="P330"/>
  <c r="O330"/>
  <c r="L329"/>
  <c r="P329"/>
  <c r="O329"/>
  <c r="R329"/>
  <c r="T329" s="1"/>
  <c r="U329" s="1"/>
  <c r="L328"/>
  <c r="R328"/>
  <c r="T328" s="1"/>
  <c r="U328" s="1"/>
  <c r="P328"/>
  <c r="O328"/>
  <c r="L258"/>
  <c r="R258"/>
  <c r="T258" s="1"/>
  <c r="U258" s="1"/>
  <c r="P258"/>
  <c r="O258"/>
  <c r="L251"/>
  <c r="R251"/>
  <c r="T251" s="1"/>
  <c r="U251" s="1"/>
  <c r="P251"/>
  <c r="O251"/>
  <c r="L257"/>
  <c r="R257"/>
  <c r="T257" s="1"/>
  <c r="U257" s="1"/>
  <c r="P257"/>
  <c r="O257"/>
  <c r="L256"/>
  <c r="P256"/>
  <c r="O256"/>
  <c r="R256"/>
  <c r="T256" s="1"/>
  <c r="U256" s="1"/>
  <c r="L265"/>
  <c r="R265"/>
  <c r="T265" s="1"/>
  <c r="U265" s="1"/>
  <c r="P265"/>
  <c r="O265"/>
  <c r="L253"/>
  <c r="R253"/>
  <c r="T253" s="1"/>
  <c r="U253" s="1"/>
  <c r="P253"/>
  <c r="O253"/>
  <c r="O268"/>
  <c r="L268"/>
  <c r="R268"/>
  <c r="T268" s="1"/>
  <c r="U268" s="1"/>
  <c r="P268"/>
  <c r="L267"/>
  <c r="R267"/>
  <c r="T267" s="1"/>
  <c r="U267" s="1"/>
  <c r="P267"/>
  <c r="O267"/>
  <c r="L263"/>
  <c r="O263"/>
  <c r="R263"/>
  <c r="T263" s="1"/>
  <c r="U263" s="1"/>
  <c r="P263"/>
  <c r="L261"/>
  <c r="R261"/>
  <c r="T261" s="1"/>
  <c r="U261" s="1"/>
  <c r="O261"/>
  <c r="P261"/>
  <c r="L264"/>
  <c r="P264"/>
  <c r="O264"/>
  <c r="R264"/>
  <c r="T264" s="1"/>
  <c r="U264" s="1"/>
  <c r="L255"/>
  <c r="O255"/>
  <c r="R255"/>
  <c r="T255" s="1"/>
  <c r="U255" s="1"/>
  <c r="P255"/>
  <c r="L260"/>
  <c r="P260"/>
  <c r="O260"/>
  <c r="R260"/>
  <c r="T260" s="1"/>
  <c r="U260" s="1"/>
  <c r="L254"/>
  <c r="R254"/>
  <c r="T254" s="1"/>
  <c r="U254" s="1"/>
  <c r="P254"/>
  <c r="O254"/>
  <c r="L259"/>
  <c r="O259"/>
  <c r="R259"/>
  <c r="T259" s="1"/>
  <c r="U259" s="1"/>
  <c r="P259"/>
  <c r="L252"/>
  <c r="P252"/>
  <c r="R252"/>
  <c r="T252" s="1"/>
  <c r="U252" s="1"/>
  <c r="O252"/>
  <c r="O269"/>
  <c r="L269"/>
  <c r="R269"/>
  <c r="T269" s="1"/>
  <c r="U269" s="1"/>
  <c r="P269"/>
  <c r="L177"/>
  <c r="O177"/>
  <c r="R177"/>
  <c r="T177" s="1"/>
  <c r="U177" s="1"/>
  <c r="P177"/>
  <c r="L180"/>
  <c r="R180"/>
  <c r="T180" s="1"/>
  <c r="U180" s="1"/>
  <c r="P180"/>
  <c r="O180"/>
  <c r="L184"/>
  <c r="R184"/>
  <c r="T184" s="1"/>
  <c r="U184" s="1"/>
  <c r="P184"/>
  <c r="O184"/>
  <c r="L176"/>
  <c r="R176"/>
  <c r="T176" s="1"/>
  <c r="U176" s="1"/>
  <c r="P176"/>
  <c r="O176"/>
  <c r="L173"/>
  <c r="R173"/>
  <c r="T173" s="1"/>
  <c r="U173" s="1"/>
  <c r="P173"/>
  <c r="O173"/>
  <c r="L185"/>
  <c r="R185"/>
  <c r="T185" s="1"/>
  <c r="U185" s="1"/>
  <c r="O185"/>
  <c r="P185"/>
  <c r="L172"/>
  <c r="R172"/>
  <c r="T172" s="1"/>
  <c r="U172" s="1"/>
  <c r="P172"/>
  <c r="O172"/>
  <c r="L179"/>
  <c r="P179"/>
  <c r="O179"/>
  <c r="R179"/>
  <c r="T179" s="1"/>
  <c r="U179" s="1"/>
  <c r="L182"/>
  <c r="O182"/>
  <c r="R182"/>
  <c r="T182" s="1"/>
  <c r="U182" s="1"/>
  <c r="P182"/>
  <c r="L174"/>
  <c r="O174"/>
  <c r="R174"/>
  <c r="T174" s="1"/>
  <c r="U174" s="1"/>
  <c r="P174"/>
  <c r="L178"/>
  <c r="O178"/>
  <c r="R178"/>
  <c r="T178" s="1"/>
  <c r="U178" s="1"/>
  <c r="P178"/>
  <c r="L175"/>
  <c r="P175"/>
  <c r="R175"/>
  <c r="T175" s="1"/>
  <c r="U175" s="1"/>
  <c r="O175"/>
  <c r="O187"/>
  <c r="L187"/>
  <c r="R187"/>
  <c r="T187" s="1"/>
  <c r="U187" s="1"/>
  <c r="P187"/>
  <c r="O188"/>
  <c r="L188"/>
  <c r="R188"/>
  <c r="T188" s="1"/>
  <c r="U188" s="1"/>
  <c r="P188"/>
  <c r="L181"/>
  <c r="O181"/>
  <c r="R181"/>
  <c r="T181" s="1"/>
  <c r="U181" s="1"/>
  <c r="P181"/>
  <c r="L171"/>
  <c r="R171"/>
  <c r="T171" s="1"/>
  <c r="U171" s="1"/>
  <c r="P171"/>
  <c r="O171"/>
  <c r="O96"/>
  <c r="L96"/>
  <c r="P96"/>
  <c r="R96"/>
  <c r="T96" s="1"/>
  <c r="U96" s="1"/>
  <c r="O93"/>
  <c r="L93"/>
  <c r="P93"/>
  <c r="R93"/>
  <c r="T93" s="1"/>
  <c r="U93" s="1"/>
  <c r="O112"/>
  <c r="L112"/>
  <c r="R112"/>
  <c r="T112" s="1"/>
  <c r="U112" s="1"/>
  <c r="P112"/>
  <c r="L86"/>
  <c r="O86"/>
  <c r="R86"/>
  <c r="T86" s="1"/>
  <c r="U86" s="1"/>
  <c r="P86"/>
  <c r="L106"/>
  <c r="P106"/>
  <c r="O106"/>
  <c r="R106"/>
  <c r="T106" s="1"/>
  <c r="U106" s="1"/>
  <c r="O89"/>
  <c r="L89"/>
  <c r="P89"/>
  <c r="R89"/>
  <c r="T89" s="1"/>
  <c r="U89" s="1"/>
  <c r="L109"/>
  <c r="R109"/>
  <c r="T109" s="1"/>
  <c r="U109" s="1"/>
  <c r="P109"/>
  <c r="O109"/>
  <c r="O95"/>
  <c r="L95"/>
  <c r="R95"/>
  <c r="T95" s="1"/>
  <c r="U95" s="1"/>
  <c r="P95"/>
  <c r="L103"/>
  <c r="P103"/>
  <c r="O103"/>
  <c r="R103"/>
  <c r="T103" s="1"/>
  <c r="U103" s="1"/>
  <c r="L104"/>
  <c r="R104"/>
  <c r="T104" s="1"/>
  <c r="U104" s="1"/>
  <c r="P104"/>
  <c r="O104"/>
  <c r="L110"/>
  <c r="R110"/>
  <c r="T110" s="1"/>
  <c r="U110" s="1"/>
  <c r="O110"/>
  <c r="P110"/>
  <c r="L99"/>
  <c r="P99"/>
  <c r="O99"/>
  <c r="R99"/>
  <c r="T99" s="1"/>
  <c r="U99" s="1"/>
  <c r="L85"/>
  <c r="R85"/>
  <c r="T85" s="1"/>
  <c r="U85" s="1"/>
  <c r="O85"/>
  <c r="P85"/>
  <c r="L107"/>
  <c r="R107"/>
  <c r="T107" s="1"/>
  <c r="U107" s="1"/>
  <c r="P107"/>
  <c r="O107"/>
  <c r="L101"/>
  <c r="R101"/>
  <c r="T101" s="1"/>
  <c r="U101" s="1"/>
  <c r="P101"/>
  <c r="O101"/>
  <c r="O92"/>
  <c r="L92"/>
  <c r="R92"/>
  <c r="T92" s="1"/>
  <c r="U92" s="1"/>
  <c r="P92"/>
  <c r="O88"/>
  <c r="L88"/>
  <c r="R88"/>
  <c r="T88" s="1"/>
  <c r="U88" s="1"/>
  <c r="P88"/>
  <c r="L100"/>
  <c r="R100"/>
  <c r="T100" s="1"/>
  <c r="U100" s="1"/>
  <c r="P100"/>
  <c r="O100"/>
  <c r="L98"/>
  <c r="O98"/>
  <c r="P98"/>
  <c r="R98"/>
  <c r="T98" s="1"/>
  <c r="U98" s="1"/>
  <c r="L108"/>
  <c r="R108"/>
  <c r="T108" s="1"/>
  <c r="U108" s="1"/>
  <c r="P108"/>
  <c r="O108"/>
  <c r="L105"/>
  <c r="R105"/>
  <c r="T105" s="1"/>
  <c r="U105" s="1"/>
  <c r="P105"/>
  <c r="O105"/>
  <c r="O90"/>
  <c r="L90"/>
  <c r="R90"/>
  <c r="T90" s="1"/>
  <c r="U90" s="1"/>
  <c r="P90"/>
  <c r="O111"/>
  <c r="L111"/>
  <c r="R111"/>
  <c r="T111" s="1"/>
  <c r="U111" s="1"/>
  <c r="P111"/>
  <c r="O91"/>
  <c r="L91"/>
  <c r="R91"/>
  <c r="T91" s="1"/>
  <c r="U91" s="1"/>
  <c r="P91"/>
  <c r="L102"/>
  <c r="O102"/>
  <c r="R102"/>
  <c r="T102" s="1"/>
  <c r="U102" s="1"/>
  <c r="P102"/>
  <c r="L87"/>
  <c r="P87"/>
  <c r="O87"/>
  <c r="R87"/>
  <c r="T87" s="1"/>
  <c r="U87" s="1"/>
  <c r="O94"/>
  <c r="L94"/>
  <c r="R94"/>
  <c r="T94" s="1"/>
  <c r="U94" s="1"/>
  <c r="P94"/>
  <c r="N403" i="26"/>
  <c r="Q275"/>
  <c r="I269"/>
  <c r="T111"/>
  <c r="Q111"/>
  <c r="N39"/>
  <c r="N111"/>
  <c r="Q164"/>
  <c r="T39"/>
  <c r="G304" i="12"/>
  <c r="G305" s="1"/>
  <c r="F304"/>
  <c r="F305" s="1"/>
  <c r="E304"/>
  <c r="E305" s="1"/>
  <c r="L304"/>
  <c r="R304"/>
  <c r="T304" s="1"/>
  <c r="U304" s="1"/>
  <c r="O304"/>
  <c r="P304"/>
  <c r="L277"/>
  <c r="R277"/>
  <c r="T277" s="1"/>
  <c r="U277" s="1"/>
  <c r="O277"/>
  <c r="P277"/>
  <c r="T362" i="26"/>
  <c r="Q328"/>
  <c r="I433"/>
  <c r="N164"/>
  <c r="I164"/>
  <c r="Q39"/>
  <c r="I362"/>
  <c r="T403"/>
  <c r="T269"/>
  <c r="N269"/>
  <c r="Q362"/>
  <c r="N275"/>
  <c r="I271"/>
  <c r="T275"/>
  <c r="N328"/>
  <c r="N433"/>
  <c r="N271"/>
  <c r="Q433"/>
  <c r="I403"/>
  <c r="T328"/>
  <c r="Q271"/>
  <c r="I448"/>
  <c r="I151"/>
  <c r="R648" i="12"/>
  <c r="T648" s="1"/>
  <c r="U648" s="1"/>
  <c r="Q310" i="26"/>
  <c r="Q430"/>
  <c r="I156"/>
  <c r="T414"/>
  <c r="I310"/>
  <c r="Q414"/>
  <c r="I414"/>
  <c r="T310"/>
  <c r="I217"/>
  <c r="R1449" i="12"/>
  <c r="T1449" s="1"/>
  <c r="U1449" s="1"/>
  <c r="N246" i="26"/>
  <c r="I413"/>
  <c r="T315"/>
  <c r="I305"/>
  <c r="Q147"/>
  <c r="T147"/>
  <c r="P1244" i="12"/>
  <c r="N361" i="26"/>
  <c r="I361"/>
  <c r="N305"/>
  <c r="T399"/>
  <c r="T207"/>
  <c r="Q413"/>
  <c r="Q270"/>
  <c r="T413"/>
  <c r="Q123"/>
  <c r="N399"/>
  <c r="Q361"/>
  <c r="I315"/>
  <c r="Q399"/>
  <c r="N340"/>
  <c r="I71"/>
  <c r="Q305"/>
  <c r="N429"/>
  <c r="N315"/>
  <c r="I15"/>
  <c r="N142"/>
  <c r="I474"/>
  <c r="N279"/>
  <c r="I279"/>
  <c r="T279"/>
  <c r="T25"/>
  <c r="I308"/>
  <c r="Q246"/>
  <c r="I246"/>
  <c r="N121"/>
  <c r="Q466"/>
  <c r="T45"/>
  <c r="Q69"/>
  <c r="I89"/>
  <c r="Q25"/>
  <c r="T308"/>
  <c r="N456"/>
  <c r="I388"/>
  <c r="Q257"/>
  <c r="T225"/>
  <c r="N407"/>
  <c r="I311"/>
  <c r="T208"/>
  <c r="T75"/>
  <c r="T372"/>
  <c r="Q372"/>
  <c r="N394"/>
  <c r="I456"/>
  <c r="N25"/>
  <c r="T69"/>
  <c r="N388"/>
  <c r="I257"/>
  <c r="Q74"/>
  <c r="T456"/>
  <c r="T150"/>
  <c r="I479"/>
  <c r="Q479"/>
  <c r="N74"/>
  <c r="N257"/>
  <c r="T74"/>
  <c r="T32"/>
  <c r="Q150"/>
  <c r="T479"/>
  <c r="I69"/>
  <c r="T388"/>
  <c r="Q308"/>
  <c r="T122"/>
  <c r="Q113"/>
  <c r="T466"/>
  <c r="T326"/>
  <c r="Q410"/>
  <c r="I326"/>
  <c r="N326"/>
  <c r="N75"/>
  <c r="Q394"/>
  <c r="Q243"/>
  <c r="N32"/>
  <c r="N225"/>
  <c r="I410"/>
  <c r="N346"/>
  <c r="N372"/>
  <c r="I75"/>
  <c r="T394"/>
  <c r="Q151"/>
  <c r="I32"/>
  <c r="N113"/>
  <c r="I113"/>
  <c r="T94"/>
  <c r="I466"/>
  <c r="I208"/>
  <c r="Q208"/>
  <c r="N410"/>
  <c r="T151"/>
  <c r="Q122"/>
  <c r="N122"/>
  <c r="T77"/>
  <c r="Q452"/>
  <c r="P373" i="12"/>
  <c r="N217" i="26"/>
  <c r="O1449" i="12"/>
  <c r="O373"/>
  <c r="T217" i="26"/>
  <c r="L1449" i="12"/>
  <c r="I422" i="26"/>
  <c r="I452"/>
  <c r="Q440"/>
  <c r="I316"/>
  <c r="N159"/>
  <c r="Q353"/>
  <c r="T452"/>
  <c r="N464"/>
  <c r="R664" i="12"/>
  <c r="T664" s="1"/>
  <c r="U664" s="1"/>
  <c r="P885"/>
  <c r="N304" i="26"/>
  <c r="I174"/>
  <c r="T247"/>
  <c r="O664" i="12"/>
  <c r="Q304" i="26"/>
  <c r="P664" i="12"/>
  <c r="P148"/>
  <c r="Q159" i="26"/>
  <c r="I304"/>
  <c r="Q247"/>
  <c r="L373" i="12"/>
  <c r="I354" i="26"/>
  <c r="I205"/>
  <c r="N319"/>
  <c r="T353"/>
  <c r="I299"/>
  <c r="Q77"/>
  <c r="K10" i="12"/>
  <c r="I134" i="26"/>
  <c r="I423"/>
  <c r="N440"/>
  <c r="N262"/>
  <c r="T174"/>
  <c r="Q201"/>
  <c r="I201"/>
  <c r="I187"/>
  <c r="I265"/>
  <c r="Q423"/>
  <c r="Q167"/>
  <c r="N428"/>
  <c r="Q284"/>
  <c r="I77"/>
  <c r="Q174"/>
  <c r="T55"/>
  <c r="Q203"/>
  <c r="Q65"/>
  <c r="L1438" i="12"/>
  <c r="Q79" i="26"/>
  <c r="T79"/>
  <c r="N268"/>
  <c r="Q68"/>
  <c r="Q156"/>
  <c r="I79"/>
  <c r="T270"/>
  <c r="N65"/>
  <c r="N337"/>
  <c r="L325" i="12"/>
  <c r="L46"/>
  <c r="R1438"/>
  <c r="T1438" s="1"/>
  <c r="U1438" s="1"/>
  <c r="N55" i="26"/>
  <c r="Q185"/>
  <c r="I65"/>
  <c r="T407"/>
  <c r="N103"/>
  <c r="P1438" i="12"/>
  <c r="Q103" i="26"/>
  <c r="Q312"/>
  <c r="T312"/>
  <c r="I270"/>
  <c r="T68"/>
  <c r="Q55"/>
  <c r="T185"/>
  <c r="P325" i="12"/>
  <c r="I103" i="26"/>
  <c r="I407"/>
  <c r="Q134"/>
  <c r="T249"/>
  <c r="I68"/>
  <c r="I203"/>
  <c r="N203"/>
  <c r="N156"/>
  <c r="Q198"/>
  <c r="N185"/>
  <c r="R325" i="12"/>
  <c r="T325" s="1"/>
  <c r="U325" s="1"/>
  <c r="N312" i="26"/>
  <c r="T143"/>
  <c r="I268"/>
  <c r="T474"/>
  <c r="I318"/>
  <c r="Q429"/>
  <c r="T142"/>
  <c r="I356"/>
  <c r="O1244" i="12"/>
  <c r="N147" i="26"/>
  <c r="O46" i="12"/>
  <c r="N207" i="26"/>
  <c r="T440"/>
  <c r="N430"/>
  <c r="T268"/>
  <c r="N474"/>
  <c r="T123"/>
  <c r="T318"/>
  <c r="T429"/>
  <c r="Q368"/>
  <c r="Q356"/>
  <c r="Q84"/>
  <c r="Q207"/>
  <c r="I142"/>
  <c r="N86"/>
  <c r="I288"/>
  <c r="N123"/>
  <c r="I18"/>
  <c r="Q318"/>
  <c r="L375" i="12"/>
  <c r="T352" i="26"/>
  <c r="R1244" i="12"/>
  <c r="T1244" s="1"/>
  <c r="U1244" s="1"/>
  <c r="R46"/>
  <c r="T46" s="1"/>
  <c r="U46" s="1"/>
  <c r="I13" i="11"/>
  <c r="D13" s="1"/>
  <c r="I94" i="26"/>
  <c r="G13" i="11"/>
  <c r="T421" i="26"/>
  <c r="I327"/>
  <c r="L1146" i="12"/>
  <c r="B13" i="11"/>
  <c r="P651" i="12"/>
  <c r="P9" i="26"/>
  <c r="T9" s="1"/>
  <c r="Q367"/>
  <c r="N115"/>
  <c r="Q115"/>
  <c r="P1377" i="12"/>
  <c r="P1460"/>
  <c r="T443" i="26"/>
  <c r="I115"/>
  <c r="Q87"/>
  <c r="I300"/>
  <c r="Q303"/>
  <c r="N298"/>
  <c r="L1481" i="12"/>
  <c r="O497"/>
  <c r="I11" i="26"/>
  <c r="I450"/>
  <c r="O883" i="12"/>
  <c r="L1162"/>
  <c r="P1374"/>
  <c r="F13" i="11"/>
  <c r="H13"/>
  <c r="N450" i="26"/>
  <c r="I180"/>
  <c r="T148"/>
  <c r="O1481" i="12"/>
  <c r="N87" i="26"/>
  <c r="I274"/>
  <c r="R1146" i="12"/>
  <c r="T1146" s="1"/>
  <c r="U1146" s="1"/>
  <c r="N226" i="26"/>
  <c r="I332"/>
  <c r="Q340"/>
  <c r="O1460" i="12"/>
  <c r="O659"/>
  <c r="R1377"/>
  <c r="T1377" s="1"/>
  <c r="U1377" s="1"/>
  <c r="L494"/>
  <c r="P497"/>
  <c r="T180" i="26"/>
  <c r="R1374" i="12"/>
  <c r="T1374" s="1"/>
  <c r="U1374" s="1"/>
  <c r="Q295" i="26"/>
  <c r="Q421"/>
  <c r="N470"/>
  <c r="Q470"/>
  <c r="T162"/>
  <c r="N101"/>
  <c r="N380"/>
  <c r="I87"/>
  <c r="T300"/>
  <c r="N274"/>
  <c r="Q226"/>
  <c r="T340"/>
  <c r="L651" i="12"/>
  <c r="P883"/>
  <c r="R659"/>
  <c r="T659" s="1"/>
  <c r="U659" s="1"/>
  <c r="P38"/>
  <c r="O38"/>
  <c r="O1377"/>
  <c r="I402" i="26"/>
  <c r="N402"/>
  <c r="Q402"/>
  <c r="Q300"/>
  <c r="N421"/>
  <c r="E13" i="11"/>
  <c r="T209" i="26"/>
  <c r="I73"/>
  <c r="T470"/>
  <c r="Q101"/>
  <c r="T101"/>
  <c r="Q274"/>
  <c r="P1146" i="12"/>
  <c r="T226" i="26"/>
  <c r="L659" i="12"/>
  <c r="O651"/>
  <c r="L883"/>
  <c r="P1481"/>
  <c r="L497"/>
  <c r="R38"/>
  <c r="T38" s="1"/>
  <c r="U38" s="1"/>
  <c r="N311" i="26"/>
  <c r="I158"/>
  <c r="R1435" i="12"/>
  <c r="T1435" s="1"/>
  <c r="U1435" s="1"/>
  <c r="T332" i="26"/>
  <c r="P494" i="12"/>
  <c r="T134" i="26"/>
  <c r="P1162" i="12"/>
  <c r="I404" i="26"/>
  <c r="O375" i="12"/>
  <c r="O494"/>
  <c r="O1374"/>
  <c r="T404" i="26"/>
  <c r="R375" i="12"/>
  <c r="T375" s="1"/>
  <c r="U375" s="1"/>
  <c r="Q404" i="26"/>
  <c r="Q298"/>
  <c r="L1460" i="12"/>
  <c r="Q20" i="26"/>
  <c r="Q239"/>
  <c r="T356"/>
  <c r="T243"/>
  <c r="N390"/>
  <c r="T430"/>
  <c r="I159"/>
  <c r="I225"/>
  <c r="Q18"/>
  <c r="I391"/>
  <c r="N201"/>
  <c r="N20"/>
  <c r="T265"/>
  <c r="Q352"/>
  <c r="Q276"/>
  <c r="I390"/>
  <c r="N288"/>
  <c r="T288"/>
  <c r="Q391"/>
  <c r="N18"/>
  <c r="T391"/>
  <c r="Q265"/>
  <c r="Q187"/>
  <c r="I239"/>
  <c r="N84"/>
  <c r="I243"/>
  <c r="I352"/>
  <c r="O1256" i="12"/>
  <c r="T276" i="26"/>
  <c r="I276"/>
  <c r="T390"/>
  <c r="Q320"/>
  <c r="N187"/>
  <c r="T239"/>
  <c r="T84"/>
  <c r="O560" i="12"/>
  <c r="T298" i="26"/>
  <c r="N303"/>
  <c r="T303"/>
  <c r="I295"/>
  <c r="I428"/>
  <c r="T395"/>
  <c r="I219"/>
  <c r="T15"/>
  <c r="I346"/>
  <c r="N219"/>
  <c r="I51"/>
  <c r="R1162" i="12"/>
  <c r="T1162" s="1"/>
  <c r="U1162" s="1"/>
  <c r="T198" i="26"/>
  <c r="N423"/>
  <c r="I367"/>
  <c r="Q428"/>
  <c r="Q380"/>
  <c r="R885" i="12"/>
  <c r="T885" s="1"/>
  <c r="U885" s="1"/>
  <c r="R44"/>
  <c r="T44" s="1"/>
  <c r="U44" s="1"/>
  <c r="Q230" i="26"/>
  <c r="T295"/>
  <c r="T431"/>
  <c r="T464"/>
  <c r="N15"/>
  <c r="T223"/>
  <c r="N443"/>
  <c r="T346"/>
  <c r="N435"/>
  <c r="Q464"/>
  <c r="N230"/>
  <c r="I110"/>
  <c r="I198"/>
  <c r="L115" i="12"/>
  <c r="T284" i="26"/>
  <c r="Q435"/>
  <c r="I380"/>
  <c r="L44" i="12"/>
  <c r="I378" i="26"/>
  <c r="I443"/>
  <c r="Q431"/>
  <c r="Q219"/>
  <c r="T230"/>
  <c r="T51"/>
  <c r="N148"/>
  <c r="T392"/>
  <c r="I133"/>
  <c r="O44" i="12"/>
  <c r="D1346"/>
  <c r="P367"/>
  <c r="T127" i="26"/>
  <c r="N14"/>
  <c r="L321" i="12"/>
  <c r="R1065"/>
  <c r="T1065" s="1"/>
  <c r="U1065" s="1"/>
  <c r="L1065"/>
  <c r="O321"/>
  <c r="I192" i="26"/>
  <c r="Q437"/>
  <c r="Q45"/>
  <c r="R321" i="12"/>
  <c r="T321" s="1"/>
  <c r="U321" s="1"/>
  <c r="N90" i="26"/>
  <c r="T66"/>
  <c r="I45"/>
  <c r="L1248" i="12"/>
  <c r="P537"/>
  <c r="L1281"/>
  <c r="P992"/>
  <c r="N424" i="26"/>
  <c r="O885" i="12"/>
  <c r="Q173" i="26"/>
  <c r="I284"/>
  <c r="I435"/>
  <c r="R1440" i="12"/>
  <c r="T1440" s="1"/>
  <c r="U1440" s="1"/>
  <c r="Q327" i="26"/>
  <c r="L1069" i="12"/>
  <c r="O1240"/>
  <c r="R1240"/>
  <c r="T1240" s="1"/>
  <c r="U1240" s="1"/>
  <c r="P1482"/>
  <c r="O200"/>
  <c r="R247"/>
  <c r="T247" s="1"/>
  <c r="U247" s="1"/>
  <c r="P1322"/>
  <c r="R746"/>
  <c r="T746" s="1"/>
  <c r="U746" s="1"/>
  <c r="R616"/>
  <c r="T616" s="1"/>
  <c r="U616" s="1"/>
  <c r="P1349"/>
  <c r="Q307" i="26"/>
  <c r="P1419" i="12"/>
  <c r="L531"/>
  <c r="P804"/>
  <c r="O14"/>
  <c r="P505"/>
  <c r="R505"/>
  <c r="T505" s="1"/>
  <c r="U505" s="1"/>
  <c r="R190"/>
  <c r="T190" s="1"/>
  <c r="U190" s="1"/>
  <c r="P301"/>
  <c r="O1279"/>
  <c r="O238"/>
  <c r="P808"/>
  <c r="T420" i="26"/>
  <c r="R1229" i="12"/>
  <c r="T1229" s="1"/>
  <c r="U1229" s="1"/>
  <c r="O975"/>
  <c r="Q325" i="26"/>
  <c r="N127"/>
  <c r="N325"/>
  <c r="L808" i="12"/>
  <c r="Q420" i="26"/>
  <c r="T244"/>
  <c r="Q14"/>
  <c r="P238" i="12"/>
  <c r="I127" i="26"/>
  <c r="T325"/>
  <c r="R808" i="12"/>
  <c r="T808" s="1"/>
  <c r="U808" s="1"/>
  <c r="I420" i="26"/>
  <c r="N244"/>
  <c r="T14"/>
  <c r="R238" i="12"/>
  <c r="T238" s="1"/>
  <c r="U238" s="1"/>
  <c r="P1065"/>
  <c r="O1130"/>
  <c r="P715"/>
  <c r="L1130"/>
  <c r="I244" i="26"/>
  <c r="O1451" i="12"/>
  <c r="R382"/>
  <c r="T382" s="1"/>
  <c r="U382" s="1"/>
  <c r="R510"/>
  <c r="T510" s="1"/>
  <c r="U510" s="1"/>
  <c r="L904"/>
  <c r="O1294"/>
  <c r="R274"/>
  <c r="T274" s="1"/>
  <c r="U274" s="1"/>
  <c r="L755"/>
  <c r="L621"/>
  <c r="N11" i="26"/>
  <c r="I119"/>
  <c r="I52"/>
  <c r="Q337"/>
  <c r="T61"/>
  <c r="N30"/>
  <c r="I145"/>
  <c r="Q478"/>
  <c r="L382" i="12"/>
  <c r="P1451"/>
  <c r="N66" i="26"/>
  <c r="O499" i="12"/>
  <c r="O1440"/>
  <c r="O382"/>
  <c r="P1443"/>
  <c r="L744"/>
  <c r="R501"/>
  <c r="T501" s="1"/>
  <c r="U501" s="1"/>
  <c r="P326"/>
  <c r="O501"/>
  <c r="N478" i="26"/>
  <c r="N299"/>
  <c r="Q28"/>
  <c r="P1196" i="12"/>
  <c r="T28" i="26"/>
  <c r="O148" i="12"/>
  <c r="O755"/>
  <c r="L274"/>
  <c r="Q424" i="26"/>
  <c r="O724" i="12"/>
  <c r="Q283" i="26"/>
  <c r="P621" i="12"/>
  <c r="Q94" i="26"/>
  <c r="N447"/>
  <c r="N283"/>
  <c r="I337"/>
  <c r="Q422"/>
  <c r="T299"/>
  <c r="T450"/>
  <c r="T167"/>
  <c r="I66"/>
  <c r="O904" i="12"/>
  <c r="N119" i="26"/>
  <c r="R744" i="12"/>
  <c r="T744" s="1"/>
  <c r="U744" s="1"/>
  <c r="T478" i="26"/>
  <c r="P1440" i="12"/>
  <c r="I28" i="26"/>
  <c r="L148" i="12"/>
  <c r="P1305"/>
  <c r="P274"/>
  <c r="P31"/>
  <c r="R31"/>
  <c r="T31" s="1"/>
  <c r="U31" s="1"/>
  <c r="T424" i="26"/>
  <c r="L1229" i="12"/>
  <c r="R724"/>
  <c r="T724" s="1"/>
  <c r="U724" s="1"/>
  <c r="T283" i="26"/>
  <c r="R621" i="12"/>
  <c r="T621" s="1"/>
  <c r="U621" s="1"/>
  <c r="T11" i="26"/>
  <c r="Q119"/>
  <c r="N422"/>
  <c r="T73"/>
  <c r="Q73"/>
  <c r="I167"/>
  <c r="N247"/>
  <c r="L1451" i="12"/>
  <c r="R904"/>
  <c r="T904" s="1"/>
  <c r="U904" s="1"/>
  <c r="R1443"/>
  <c r="T1443" s="1"/>
  <c r="U1443" s="1"/>
  <c r="P744"/>
  <c r="L1443"/>
  <c r="O326"/>
  <c r="P501"/>
  <c r="N353" i="26"/>
  <c r="O1196" i="12"/>
  <c r="O366"/>
  <c r="R755"/>
  <c r="T755" s="1"/>
  <c r="U755" s="1"/>
  <c r="L1379"/>
  <c r="P1379"/>
  <c r="P1437"/>
  <c r="L1437"/>
  <c r="O1437"/>
  <c r="L724"/>
  <c r="O31"/>
  <c r="L1322"/>
  <c r="R24"/>
  <c r="T24" s="1"/>
  <c r="U24" s="1"/>
  <c r="P1298"/>
  <c r="L714"/>
  <c r="O1057"/>
  <c r="R1322"/>
  <c r="T1322" s="1"/>
  <c r="U1322" s="1"/>
  <c r="O729"/>
  <c r="R714"/>
  <c r="T714" s="1"/>
  <c r="U714" s="1"/>
  <c r="O25"/>
  <c r="P1445"/>
  <c r="O1286"/>
  <c r="R1298"/>
  <c r="T1298" s="1"/>
  <c r="U1298" s="1"/>
  <c r="O244"/>
  <c r="P1050"/>
  <c r="O24"/>
  <c r="O1298"/>
  <c r="L1286"/>
  <c r="R241"/>
  <c r="T241" s="1"/>
  <c r="U241" s="1"/>
  <c r="P1466"/>
  <c r="L1240"/>
  <c r="P1130"/>
  <c r="P731"/>
  <c r="P612"/>
  <c r="O235"/>
  <c r="L994"/>
  <c r="R312"/>
  <c r="T312" s="1"/>
  <c r="U312" s="1"/>
  <c r="O746"/>
  <c r="L616"/>
  <c r="O505"/>
  <c r="L1419"/>
  <c r="P1279"/>
  <c r="L379"/>
  <c r="L235"/>
  <c r="O1248"/>
  <c r="R756"/>
  <c r="T756" s="1"/>
  <c r="U756" s="1"/>
  <c r="O1229"/>
  <c r="P1376"/>
  <c r="P979"/>
  <c r="P1346"/>
  <c r="R1281"/>
  <c r="T1281" s="1"/>
  <c r="U1281" s="1"/>
  <c r="L1376"/>
  <c r="O1346"/>
  <c r="O1281"/>
  <c r="L1346"/>
  <c r="O731"/>
  <c r="P616"/>
  <c r="R612"/>
  <c r="T612" s="1"/>
  <c r="U612" s="1"/>
  <c r="P746"/>
  <c r="L200"/>
  <c r="L233"/>
  <c r="P235"/>
  <c r="P312"/>
  <c r="L1279"/>
  <c r="R301"/>
  <c r="T301" s="1"/>
  <c r="U301" s="1"/>
  <c r="P531"/>
  <c r="O994"/>
  <c r="L312"/>
  <c r="L1349"/>
  <c r="L804"/>
  <c r="O385"/>
  <c r="O1381"/>
  <c r="O379"/>
  <c r="R705"/>
  <c r="T705" s="1"/>
  <c r="U705" s="1"/>
  <c r="L14"/>
  <c r="L1373"/>
  <c r="O705"/>
  <c r="P14"/>
  <c r="O582"/>
  <c r="T178" i="26"/>
  <c r="R731" i="12"/>
  <c r="T731" s="1"/>
  <c r="U731" s="1"/>
  <c r="L612"/>
  <c r="P200"/>
  <c r="R1419"/>
  <c r="T1419" s="1"/>
  <c r="U1419" s="1"/>
  <c r="R537"/>
  <c r="T537" s="1"/>
  <c r="U537" s="1"/>
  <c r="O804"/>
  <c r="O301"/>
  <c r="O531"/>
  <c r="P994"/>
  <c r="O1349"/>
  <c r="P1248"/>
  <c r="O537"/>
  <c r="P705"/>
  <c r="R1482"/>
  <c r="T1482" s="1"/>
  <c r="U1482" s="1"/>
  <c r="P233"/>
  <c r="R1118"/>
  <c r="T1118" s="1"/>
  <c r="U1118" s="1"/>
  <c r="L1143"/>
  <c r="P379"/>
  <c r="P1029"/>
  <c r="R506"/>
  <c r="T506" s="1"/>
  <c r="U506" s="1"/>
  <c r="L1292"/>
  <c r="R233"/>
  <c r="T233" s="1"/>
  <c r="U233" s="1"/>
  <c r="R1029"/>
  <c r="T1029" s="1"/>
  <c r="U1029" s="1"/>
  <c r="O1482"/>
  <c r="R18"/>
  <c r="T18" s="1"/>
  <c r="U18" s="1"/>
  <c r="O1029"/>
  <c r="O1118"/>
  <c r="O506"/>
  <c r="O1143"/>
  <c r="L1118"/>
  <c r="L506"/>
  <c r="O18"/>
  <c r="R1143"/>
  <c r="T1143" s="1"/>
  <c r="U1143" s="1"/>
  <c r="R1376"/>
  <c r="T1376" s="1"/>
  <c r="U1376" s="1"/>
  <c r="L809"/>
  <c r="L1455"/>
  <c r="R1230"/>
  <c r="T1230" s="1"/>
  <c r="U1230" s="1"/>
  <c r="P1303"/>
  <c r="L729"/>
  <c r="L366"/>
  <c r="O1305"/>
  <c r="R813"/>
  <c r="T813" s="1"/>
  <c r="U813" s="1"/>
  <c r="L1288"/>
  <c r="L907"/>
  <c r="O50"/>
  <c r="O510"/>
  <c r="O513"/>
  <c r="T330" i="26"/>
  <c r="O1116" i="12"/>
  <c r="R1116"/>
  <c r="T1116" s="1"/>
  <c r="U1116" s="1"/>
  <c r="L39"/>
  <c r="N330" i="26"/>
  <c r="I330"/>
  <c r="R729" i="12"/>
  <c r="T729" s="1"/>
  <c r="U729" s="1"/>
  <c r="L773"/>
  <c r="R1196"/>
  <c r="T1196" s="1"/>
  <c r="U1196" s="1"/>
  <c r="R366"/>
  <c r="T366" s="1"/>
  <c r="U366" s="1"/>
  <c r="P907"/>
  <c r="P714"/>
  <c r="R1305"/>
  <c r="T1305" s="1"/>
  <c r="U1305" s="1"/>
  <c r="R1455"/>
  <c r="T1455" s="1"/>
  <c r="U1455" s="1"/>
  <c r="L241"/>
  <c r="R1445"/>
  <c r="T1445" s="1"/>
  <c r="U1445" s="1"/>
  <c r="R1057"/>
  <c r="T1057" s="1"/>
  <c r="U1057" s="1"/>
  <c r="O907"/>
  <c r="L326"/>
  <c r="P1057"/>
  <c r="T163" i="26"/>
  <c r="R1464" i="12"/>
  <c r="T1464" s="1"/>
  <c r="U1464" s="1"/>
  <c r="O1464"/>
  <c r="L851"/>
  <c r="L1479"/>
  <c r="L1385"/>
  <c r="N150" i="26"/>
  <c r="P244" i="12"/>
  <c r="R21"/>
  <c r="T21" s="1"/>
  <c r="U21" s="1"/>
  <c r="O45"/>
  <c r="O1218"/>
  <c r="L153"/>
  <c r="R1286"/>
  <c r="T1286" s="1"/>
  <c r="U1286" s="1"/>
  <c r="L244"/>
  <c r="R733"/>
  <c r="T733" s="1"/>
  <c r="U733" s="1"/>
  <c r="P1373"/>
  <c r="O297"/>
  <c r="O1224"/>
  <c r="P718"/>
  <c r="O721"/>
  <c r="R1050"/>
  <c r="T1050" s="1"/>
  <c r="U1050" s="1"/>
  <c r="L1465"/>
  <c r="O381"/>
  <c r="O1373"/>
  <c r="P1119"/>
  <c r="P1388"/>
  <c r="R1371"/>
  <c r="T1371" s="1"/>
  <c r="U1371" s="1"/>
  <c r="R279"/>
  <c r="T279" s="1"/>
  <c r="U279" s="1"/>
  <c r="O1119"/>
  <c r="L369"/>
  <c r="R1119"/>
  <c r="T1119" s="1"/>
  <c r="U1119" s="1"/>
  <c r="P773"/>
  <c r="P369"/>
  <c r="L364"/>
  <c r="P1295"/>
  <c r="R1224"/>
  <c r="T1224" s="1"/>
  <c r="U1224" s="1"/>
  <c r="Q53" i="26"/>
  <c r="R297" i="12"/>
  <c r="T297" s="1"/>
  <c r="U297" s="1"/>
  <c r="L1224"/>
  <c r="P297"/>
  <c r="O237"/>
  <c r="O504"/>
  <c r="R718"/>
  <c r="T718" s="1"/>
  <c r="U718" s="1"/>
  <c r="L1116"/>
  <c r="L510"/>
  <c r="O1445"/>
  <c r="R773"/>
  <c r="T773" s="1"/>
  <c r="U773" s="1"/>
  <c r="O528"/>
  <c r="R364"/>
  <c r="T364" s="1"/>
  <c r="U364" s="1"/>
  <c r="R1295"/>
  <c r="T1295" s="1"/>
  <c r="U1295" s="1"/>
  <c r="L1295"/>
  <c r="L499"/>
  <c r="P231"/>
  <c r="P1392"/>
  <c r="R1121"/>
  <c r="T1121" s="1"/>
  <c r="U1121" s="1"/>
  <c r="L1121"/>
  <c r="O718"/>
  <c r="L528"/>
  <c r="R39"/>
  <c r="T39" s="1"/>
  <c r="U39" s="1"/>
  <c r="L1303"/>
  <c r="R1303"/>
  <c r="T1303" s="1"/>
  <c r="U1303" s="1"/>
  <c r="L1371"/>
  <c r="L1424"/>
  <c r="R499"/>
  <c r="T499" s="1"/>
  <c r="U499" s="1"/>
  <c r="P1121"/>
  <c r="P1455"/>
  <c r="R548"/>
  <c r="T548" s="1"/>
  <c r="U548" s="1"/>
  <c r="P514"/>
  <c r="O39"/>
  <c r="R369"/>
  <c r="T369" s="1"/>
  <c r="U369" s="1"/>
  <c r="R528"/>
  <c r="T528" s="1"/>
  <c r="U528" s="1"/>
  <c r="O364"/>
  <c r="R679"/>
  <c r="T679" s="1"/>
  <c r="U679" s="1"/>
  <c r="P1371"/>
  <c r="O1050"/>
  <c r="R237"/>
  <c r="T237" s="1"/>
  <c r="U237" s="1"/>
  <c r="R1465"/>
  <c r="T1465" s="1"/>
  <c r="U1465" s="1"/>
  <c r="R851"/>
  <c r="T851" s="1"/>
  <c r="U851" s="1"/>
  <c r="P21"/>
  <c r="R27"/>
  <c r="T27" s="1"/>
  <c r="U27" s="1"/>
  <c r="R900"/>
  <c r="T900" s="1"/>
  <c r="U900" s="1"/>
  <c r="P27"/>
  <c r="P1479"/>
  <c r="O1385"/>
  <c r="P1464"/>
  <c r="L541"/>
  <c r="O733"/>
  <c r="P1465"/>
  <c r="P851"/>
  <c r="O21"/>
  <c r="L900"/>
  <c r="P900"/>
  <c r="O27"/>
  <c r="O1479"/>
  <c r="P381"/>
  <c r="O679"/>
  <c r="P541"/>
  <c r="I53" i="26"/>
  <c r="L733" i="12"/>
  <c r="P1385"/>
  <c r="P45"/>
  <c r="L381"/>
  <c r="P679"/>
  <c r="O541"/>
  <c r="N53" i="26"/>
  <c r="R770" i="12"/>
  <c r="T770" s="1"/>
  <c r="U770" s="1"/>
  <c r="P760"/>
  <c r="L586"/>
  <c r="P515"/>
  <c r="R1049"/>
  <c r="T1049" s="1"/>
  <c r="U1049" s="1"/>
  <c r="L760"/>
  <c r="O1230"/>
  <c r="T20" i="26"/>
  <c r="I373"/>
  <c r="P43" i="12"/>
  <c r="Q311" i="26"/>
  <c r="L1389" i="12"/>
  <c r="L515"/>
  <c r="L821"/>
  <c r="P1382"/>
  <c r="P1225"/>
  <c r="N332" i="26"/>
  <c r="R153" i="12"/>
  <c r="T153" s="1"/>
  <c r="U153" s="1"/>
  <c r="L1225"/>
  <c r="O1311"/>
  <c r="P153"/>
  <c r="R515"/>
  <c r="T515" s="1"/>
  <c r="U515" s="1"/>
  <c r="O1225"/>
  <c r="N378" i="26"/>
  <c r="T378"/>
  <c r="P237" i="12"/>
  <c r="P241"/>
  <c r="R1467"/>
  <c r="T1467" s="1"/>
  <c r="U1467" s="1"/>
  <c r="P1467"/>
  <c r="O1467"/>
  <c r="L1467"/>
  <c r="L48"/>
  <c r="P48"/>
  <c r="T200" i="26"/>
  <c r="Q200"/>
  <c r="N272"/>
  <c r="I272"/>
  <c r="I348"/>
  <c r="T348"/>
  <c r="P604" i="12"/>
  <c r="O604"/>
  <c r="R604"/>
  <c r="T604" s="1"/>
  <c r="U604" s="1"/>
  <c r="L604"/>
  <c r="L442"/>
  <c r="R442"/>
  <c r="T442" s="1"/>
  <c r="U442" s="1"/>
  <c r="P619"/>
  <c r="O619"/>
  <c r="L619"/>
  <c r="L1064"/>
  <c r="P1064"/>
  <c r="R1064"/>
  <c r="T1064" s="1"/>
  <c r="U1064" s="1"/>
  <c r="R760"/>
  <c r="T760" s="1"/>
  <c r="U760" s="1"/>
  <c r="L1230"/>
  <c r="N431" i="26"/>
  <c r="Q180"/>
  <c r="T320"/>
  <c r="O540" i="12"/>
  <c r="R1453"/>
  <c r="T1453" s="1"/>
  <c r="U1453" s="1"/>
  <c r="O1289"/>
  <c r="O1064"/>
  <c r="L1462"/>
  <c r="P29"/>
  <c r="R734"/>
  <c r="T734" s="1"/>
  <c r="U734" s="1"/>
  <c r="O734"/>
  <c r="P734"/>
  <c r="N307" i="26"/>
  <c r="T307"/>
  <c r="Q321"/>
  <c r="N321"/>
  <c r="T321"/>
  <c r="O648" i="12"/>
  <c r="L648"/>
  <c r="I256" i="26"/>
  <c r="Q86"/>
  <c r="I460"/>
  <c r="N460"/>
  <c r="N320"/>
  <c r="T197"/>
  <c r="Q272"/>
  <c r="P1282" i="12"/>
  <c r="L1282"/>
  <c r="R1282"/>
  <c r="T1282" s="1"/>
  <c r="U1282" s="1"/>
  <c r="R1462"/>
  <c r="T1462" s="1"/>
  <c r="U1462" s="1"/>
  <c r="O1462"/>
  <c r="L1477"/>
  <c r="R1477"/>
  <c r="T1477" s="1"/>
  <c r="U1477" s="1"/>
  <c r="P1103"/>
  <c r="L1103"/>
  <c r="R992"/>
  <c r="T992" s="1"/>
  <c r="U992" s="1"/>
  <c r="L992"/>
  <c r="P388"/>
  <c r="O388"/>
  <c r="O979"/>
  <c r="L979"/>
  <c r="O1238"/>
  <c r="L1238"/>
  <c r="P1238"/>
  <c r="O284"/>
  <c r="L284"/>
  <c r="P284"/>
  <c r="O35"/>
  <c r="P35"/>
  <c r="R35"/>
  <c r="T35" s="1"/>
  <c r="U35" s="1"/>
  <c r="R581"/>
  <c r="T581" s="1"/>
  <c r="U581" s="1"/>
  <c r="P581"/>
  <c r="O581"/>
  <c r="T86" i="26"/>
  <c r="Q460"/>
  <c r="O48" i="12"/>
  <c r="N200" i="26"/>
  <c r="Q348"/>
  <c r="P442" i="12"/>
  <c r="R619"/>
  <c r="T619" s="1"/>
  <c r="U619" s="1"/>
  <c r="O610"/>
  <c r="L610"/>
  <c r="R538"/>
  <c r="T538" s="1"/>
  <c r="U538" s="1"/>
  <c r="L538"/>
  <c r="P980"/>
  <c r="L980"/>
  <c r="R1368"/>
  <c r="T1368" s="1"/>
  <c r="U1368" s="1"/>
  <c r="O1368"/>
  <c r="L1489"/>
  <c r="R1489"/>
  <c r="T1489" s="1"/>
  <c r="U1489" s="1"/>
  <c r="P970"/>
  <c r="R970"/>
  <c r="T970" s="1"/>
  <c r="U970" s="1"/>
  <c r="L1299"/>
  <c r="P1299"/>
  <c r="L614"/>
  <c r="R614"/>
  <c r="T614" s="1"/>
  <c r="U614" s="1"/>
  <c r="P608"/>
  <c r="L608"/>
  <c r="R547"/>
  <c r="T547" s="1"/>
  <c r="U547" s="1"/>
  <c r="O547"/>
  <c r="O546"/>
  <c r="R546"/>
  <c r="T546" s="1"/>
  <c r="U546" s="1"/>
  <c r="L730"/>
  <c r="R730"/>
  <c r="T730" s="1"/>
  <c r="U730" s="1"/>
  <c r="L991"/>
  <c r="O991"/>
  <c r="O543"/>
  <c r="L543"/>
  <c r="Q319" i="26"/>
  <c r="T319"/>
  <c r="O1232" i="12"/>
  <c r="L1232"/>
  <c r="P1232"/>
  <c r="R1232"/>
  <c r="T1232" s="1"/>
  <c r="U1232" s="1"/>
  <c r="P1098"/>
  <c r="L1098"/>
  <c r="R1098"/>
  <c r="T1098" s="1"/>
  <c r="U1098" s="1"/>
  <c r="R236"/>
  <c r="T236" s="1"/>
  <c r="U236" s="1"/>
  <c r="P236"/>
  <c r="O236"/>
  <c r="Q369" i="26"/>
  <c r="N369"/>
  <c r="I369"/>
  <c r="O249" i="12"/>
  <c r="L249"/>
  <c r="P249"/>
  <c r="R249"/>
  <c r="T249" s="1"/>
  <c r="U249" s="1"/>
  <c r="I97" i="26"/>
  <c r="N97"/>
  <c r="Q97"/>
  <c r="T124"/>
  <c r="I124"/>
  <c r="Q124"/>
  <c r="I138"/>
  <c r="Q138"/>
  <c r="N138"/>
  <c r="I175"/>
  <c r="T175"/>
  <c r="N175"/>
  <c r="R946" i="12"/>
  <c r="T946" s="1"/>
  <c r="U946" s="1"/>
  <c r="L946"/>
  <c r="O946"/>
  <c r="N448" i="26"/>
  <c r="Q448"/>
  <c r="I105"/>
  <c r="Q105"/>
  <c r="Q16"/>
  <c r="I16"/>
  <c r="T16"/>
  <c r="L1297" i="12"/>
  <c r="P1297"/>
  <c r="R1297"/>
  <c r="T1297" s="1"/>
  <c r="U1297" s="1"/>
  <c r="O1297"/>
  <c r="T287" i="26"/>
  <c r="I287"/>
  <c r="Q287"/>
  <c r="N54"/>
  <c r="I54"/>
  <c r="T54"/>
  <c r="Q71"/>
  <c r="T71"/>
  <c r="N368"/>
  <c r="I368"/>
  <c r="K12" i="12"/>
  <c r="L18" i="11" s="1"/>
  <c r="K2860" i="12"/>
  <c r="N165" i="26"/>
  <c r="I165"/>
  <c r="Q165"/>
  <c r="T165"/>
  <c r="T406"/>
  <c r="I406"/>
  <c r="Q406"/>
  <c r="T76"/>
  <c r="Q76"/>
  <c r="N76"/>
  <c r="I76"/>
  <c r="Q143"/>
  <c r="N143"/>
  <c r="I92"/>
  <c r="N92"/>
  <c r="Q92"/>
  <c r="T92"/>
  <c r="I194"/>
  <c r="N194"/>
  <c r="T194"/>
  <c r="Q194"/>
  <c r="Q278"/>
  <c r="T278"/>
  <c r="N278"/>
  <c r="I278"/>
  <c r="T398"/>
  <c r="Q398"/>
  <c r="N398"/>
  <c r="I398"/>
  <c r="Q444"/>
  <c r="I444"/>
  <c r="T444"/>
  <c r="N444"/>
  <c r="T202"/>
  <c r="N202"/>
  <c r="Q202"/>
  <c r="I202"/>
  <c r="I480"/>
  <c r="N480"/>
  <c r="Q480"/>
  <c r="T480"/>
  <c r="I121"/>
  <c r="Q121"/>
  <c r="O770" i="12"/>
  <c r="N221" i="26"/>
  <c r="T221"/>
  <c r="Q221"/>
  <c r="I221"/>
  <c r="I417"/>
  <c r="Q417"/>
  <c r="N417"/>
  <c r="T417"/>
  <c r="T58"/>
  <c r="I58"/>
  <c r="Q58"/>
  <c r="N58"/>
  <c r="I309"/>
  <c r="Q309"/>
  <c r="N309"/>
  <c r="T309"/>
  <c r="Q322"/>
  <c r="T322"/>
  <c r="N322"/>
  <c r="I322"/>
  <c r="Q262"/>
  <c r="I262"/>
  <c r="I389"/>
  <c r="T389"/>
  <c r="N389"/>
  <c r="Q389"/>
  <c r="T439"/>
  <c r="N439"/>
  <c r="I439"/>
  <c r="Q439"/>
  <c r="T141"/>
  <c r="Q141"/>
  <c r="N141"/>
  <c r="I141"/>
  <c r="L26" i="12"/>
  <c r="R26"/>
  <c r="T26" s="1"/>
  <c r="U26" s="1"/>
  <c r="O26"/>
  <c r="P26"/>
  <c r="P22"/>
  <c r="O22"/>
  <c r="R22"/>
  <c r="T22" s="1"/>
  <c r="U22" s="1"/>
  <c r="R49"/>
  <c r="T49" s="1"/>
  <c r="U49" s="1"/>
  <c r="O49"/>
  <c r="P49"/>
  <c r="Q351" i="26"/>
  <c r="I351"/>
  <c r="N351"/>
  <c r="T351"/>
  <c r="Q395"/>
  <c r="I223"/>
  <c r="T327"/>
  <c r="N459"/>
  <c r="N162"/>
  <c r="N110"/>
  <c r="L1390" i="12"/>
  <c r="Q392" i="26"/>
  <c r="I173"/>
  <c r="P115" i="12"/>
  <c r="Q133" i="26"/>
  <c r="O1390" i="12"/>
  <c r="L22"/>
  <c r="L28"/>
  <c r="O28"/>
  <c r="P1291"/>
  <c r="R1291"/>
  <c r="T1291" s="1"/>
  <c r="U1291" s="1"/>
  <c r="P1380"/>
  <c r="O1380"/>
  <c r="P805"/>
  <c r="O805"/>
  <c r="R805"/>
  <c r="T805" s="1"/>
  <c r="U805" s="1"/>
  <c r="P504"/>
  <c r="L504"/>
  <c r="P819"/>
  <c r="L819"/>
  <c r="R819"/>
  <c r="T819" s="1"/>
  <c r="U819" s="1"/>
  <c r="O819"/>
  <c r="O281"/>
  <c r="R281"/>
  <c r="T281" s="1"/>
  <c r="U281" s="1"/>
  <c r="L281"/>
  <c r="O602"/>
  <c r="R602"/>
  <c r="T602" s="1"/>
  <c r="U602" s="1"/>
  <c r="L742"/>
  <c r="P742"/>
  <c r="O1163"/>
  <c r="R1163"/>
  <c r="T1163" s="1"/>
  <c r="U1163" s="1"/>
  <c r="L1163"/>
  <c r="P1424"/>
  <c r="R1424"/>
  <c r="T1424" s="1"/>
  <c r="U1424" s="1"/>
  <c r="O1383"/>
  <c r="L1383"/>
  <c r="R1383"/>
  <c r="T1383" s="1"/>
  <c r="U1383" s="1"/>
  <c r="P809"/>
  <c r="R809"/>
  <c r="T809" s="1"/>
  <c r="U809" s="1"/>
  <c r="L535"/>
  <c r="O535"/>
  <c r="P535"/>
  <c r="R535"/>
  <c r="T535" s="1"/>
  <c r="U535" s="1"/>
  <c r="R384"/>
  <c r="T384" s="1"/>
  <c r="U384" s="1"/>
  <c r="L384"/>
  <c r="O384"/>
  <c r="P384"/>
  <c r="O517"/>
  <c r="P517"/>
  <c r="R517"/>
  <c r="T517" s="1"/>
  <c r="U517" s="1"/>
  <c r="L517"/>
  <c r="R1386"/>
  <c r="T1386" s="1"/>
  <c r="U1386" s="1"/>
  <c r="L1386"/>
  <c r="O1386"/>
  <c r="P1302"/>
  <c r="O1302"/>
  <c r="L1302"/>
  <c r="R1302"/>
  <c r="T1302" s="1"/>
  <c r="U1302" s="1"/>
  <c r="I30" i="26"/>
  <c r="T30"/>
  <c r="P1285" i="12"/>
  <c r="O1285"/>
  <c r="L1285"/>
  <c r="L1469"/>
  <c r="P1469"/>
  <c r="O1469"/>
  <c r="P984"/>
  <c r="R984"/>
  <c r="T984" s="1"/>
  <c r="U984" s="1"/>
  <c r="L984"/>
  <c r="P502"/>
  <c r="R502"/>
  <c r="T502" s="1"/>
  <c r="U502" s="1"/>
  <c r="O234"/>
  <c r="R234"/>
  <c r="T234" s="1"/>
  <c r="U234" s="1"/>
  <c r="P234"/>
  <c r="Q386" i="26"/>
  <c r="I386"/>
  <c r="T386"/>
  <c r="N386"/>
  <c r="Q449"/>
  <c r="N449"/>
  <c r="T449"/>
  <c r="I449"/>
  <c r="T459"/>
  <c r="O1236" i="12"/>
  <c r="I459" i="26"/>
  <c r="P1236" i="12"/>
  <c r="I395" i="26"/>
  <c r="T183"/>
  <c r="Q183"/>
  <c r="N51"/>
  <c r="I148"/>
  <c r="N183"/>
  <c r="N392"/>
  <c r="T173"/>
  <c r="O115" i="12"/>
  <c r="O502"/>
  <c r="Q223" i="26"/>
  <c r="Q110"/>
  <c r="R1284" i="12"/>
  <c r="T1284" s="1"/>
  <c r="U1284" s="1"/>
  <c r="O1284"/>
  <c r="L1284"/>
  <c r="P1284"/>
  <c r="P1432"/>
  <c r="R1432"/>
  <c r="T1432" s="1"/>
  <c r="U1432" s="1"/>
  <c r="O1432"/>
  <c r="O856"/>
  <c r="L856"/>
  <c r="P856"/>
  <c r="P19"/>
  <c r="O19"/>
  <c r="R814"/>
  <c r="T814" s="1"/>
  <c r="U814" s="1"/>
  <c r="O814"/>
  <c r="P814"/>
  <c r="O1370"/>
  <c r="L1370"/>
  <c r="P1370"/>
  <c r="P1283"/>
  <c r="R1283"/>
  <c r="T1283" s="1"/>
  <c r="U1283" s="1"/>
  <c r="O1283"/>
  <c r="O1452"/>
  <c r="L1452"/>
  <c r="R1452"/>
  <c r="T1452" s="1"/>
  <c r="U1452" s="1"/>
  <c r="P924"/>
  <c r="R924"/>
  <c r="T924" s="1"/>
  <c r="U924" s="1"/>
  <c r="L924"/>
  <c r="P756"/>
  <c r="L756"/>
  <c r="L1448"/>
  <c r="P1448"/>
  <c r="O1448"/>
  <c r="R1235"/>
  <c r="T1235" s="1"/>
  <c r="U1235" s="1"/>
  <c r="L1235"/>
  <c r="O1235"/>
  <c r="P1208"/>
  <c r="O1208"/>
  <c r="R1208"/>
  <c r="T1208" s="1"/>
  <c r="U1208" s="1"/>
  <c r="O1061"/>
  <c r="P1061"/>
  <c r="R1061"/>
  <c r="T1061" s="1"/>
  <c r="U1061" s="1"/>
  <c r="N248" i="26"/>
  <c r="Q248"/>
  <c r="P829" i="12"/>
  <c r="R829"/>
  <c r="T829" s="1"/>
  <c r="U829" s="1"/>
  <c r="O1439"/>
  <c r="P1439"/>
  <c r="L1439"/>
  <c r="Q209" i="26"/>
  <c r="R1063" i="12"/>
  <c r="T1063" s="1"/>
  <c r="U1063" s="1"/>
  <c r="T133" i="26"/>
  <c r="I248"/>
  <c r="N367"/>
  <c r="L1236" i="12"/>
  <c r="I162" i="26"/>
  <c r="N209"/>
  <c r="L513" i="12"/>
  <c r="L502"/>
  <c r="R742"/>
  <c r="T742" s="1"/>
  <c r="U742" s="1"/>
  <c r="P602"/>
  <c r="L805"/>
  <c r="R1370"/>
  <c r="T1370" s="1"/>
  <c r="U1370" s="1"/>
  <c r="P1386"/>
  <c r="L49"/>
  <c r="R1390"/>
  <c r="T1390" s="1"/>
  <c r="U1390" s="1"/>
  <c r="R19"/>
  <c r="T19" s="1"/>
  <c r="U19" s="1"/>
  <c r="P513"/>
  <c r="R1439"/>
  <c r="T1439" s="1"/>
  <c r="U1439" s="1"/>
  <c r="P620"/>
  <c r="O829"/>
  <c r="P1456"/>
  <c r="L1456"/>
  <c r="R1456"/>
  <c r="T1456" s="1"/>
  <c r="U1456" s="1"/>
  <c r="Q475" i="26"/>
  <c r="I475"/>
  <c r="T475"/>
  <c r="N475"/>
  <c r="P18" i="12"/>
  <c r="Q335" i="26"/>
  <c r="T335"/>
  <c r="I335"/>
  <c r="N335"/>
  <c r="I341"/>
  <c r="Q341"/>
  <c r="N341"/>
  <c r="T341"/>
  <c r="Q381"/>
  <c r="I381"/>
  <c r="N381"/>
  <c r="T381"/>
  <c r="I411"/>
  <c r="T411"/>
  <c r="N411"/>
  <c r="Q411"/>
  <c r="T222"/>
  <c r="I222"/>
  <c r="Q222"/>
  <c r="N222"/>
  <c r="Q336"/>
  <c r="I336"/>
  <c r="T336"/>
  <c r="N336"/>
  <c r="I467"/>
  <c r="T467"/>
  <c r="Q467"/>
  <c r="N467"/>
  <c r="L1151" i="12"/>
  <c r="P1151"/>
  <c r="R1151"/>
  <c r="T1151" s="1"/>
  <c r="U1151" s="1"/>
  <c r="P827"/>
  <c r="R827"/>
  <c r="T827" s="1"/>
  <c r="U827" s="1"/>
  <c r="L386"/>
  <c r="O386"/>
  <c r="P386"/>
  <c r="L723"/>
  <c r="R723"/>
  <c r="T723" s="1"/>
  <c r="U723" s="1"/>
  <c r="O723"/>
  <c r="O1096"/>
  <c r="L1096"/>
  <c r="P1096"/>
  <c r="R1096"/>
  <c r="T1096" s="1"/>
  <c r="U1096" s="1"/>
  <c r="O1278"/>
  <c r="P1278"/>
  <c r="L272"/>
  <c r="P272"/>
  <c r="R239"/>
  <c r="T239" s="1"/>
  <c r="U239" s="1"/>
  <c r="O239"/>
  <c r="P239"/>
  <c r="L1434"/>
  <c r="P1434"/>
  <c r="R1434"/>
  <c r="T1434" s="1"/>
  <c r="U1434" s="1"/>
  <c r="O1434"/>
  <c r="P493"/>
  <c r="R493"/>
  <c r="T493" s="1"/>
  <c r="U493" s="1"/>
  <c r="R772"/>
  <c r="T772" s="1"/>
  <c r="U772" s="1"/>
  <c r="O772"/>
  <c r="P772"/>
  <c r="R41"/>
  <c r="T41" s="1"/>
  <c r="U41" s="1"/>
  <c r="L41"/>
  <c r="P498"/>
  <c r="R498"/>
  <c r="T498" s="1"/>
  <c r="U498" s="1"/>
  <c r="L498"/>
  <c r="O498"/>
  <c r="L854"/>
  <c r="O854"/>
  <c r="O1433"/>
  <c r="P1433"/>
  <c r="R1433"/>
  <c r="T1433" s="1"/>
  <c r="U1433" s="1"/>
  <c r="O973"/>
  <c r="P973"/>
  <c r="R973"/>
  <c r="T973" s="1"/>
  <c r="U973" s="1"/>
  <c r="P1347"/>
  <c r="L1347"/>
  <c r="O1347"/>
  <c r="R1347"/>
  <c r="T1347" s="1"/>
  <c r="U1347" s="1"/>
  <c r="R54"/>
  <c r="T54" s="1"/>
  <c r="U54" s="1"/>
  <c r="L54"/>
  <c r="L559"/>
  <c r="O559"/>
  <c r="P559"/>
  <c r="P294"/>
  <c r="L294"/>
  <c r="O294"/>
  <c r="P240"/>
  <c r="L240"/>
  <c r="O240"/>
  <c r="L1483"/>
  <c r="O1483"/>
  <c r="P1483"/>
  <c r="R1483"/>
  <c r="T1483" s="1"/>
  <c r="U1483" s="1"/>
  <c r="T40" i="26"/>
  <c r="Q40"/>
  <c r="N40"/>
  <c r="I40"/>
  <c r="T108"/>
  <c r="Q108"/>
  <c r="N108"/>
  <c r="I108"/>
  <c r="Q120"/>
  <c r="I120"/>
  <c r="T120"/>
  <c r="N120"/>
  <c r="T136"/>
  <c r="Q136"/>
  <c r="I136"/>
  <c r="N136"/>
  <c r="I181"/>
  <c r="Q181"/>
  <c r="N181"/>
  <c r="Q234"/>
  <c r="I234"/>
  <c r="T234"/>
  <c r="N234"/>
  <c r="T331"/>
  <c r="I331"/>
  <c r="N331"/>
  <c r="Q331"/>
  <c r="T343"/>
  <c r="I343"/>
  <c r="N343"/>
  <c r="Q343"/>
  <c r="I416"/>
  <c r="Q416"/>
  <c r="N416"/>
  <c r="T416"/>
  <c r="L1032" i="12"/>
  <c r="P1032"/>
  <c r="P975"/>
  <c r="R357"/>
  <c r="T357" s="1"/>
  <c r="U357" s="1"/>
  <c r="L239"/>
  <c r="P1461"/>
  <c r="O1300"/>
  <c r="P1256"/>
  <c r="R1256"/>
  <c r="T1256" s="1"/>
  <c r="U1256" s="1"/>
  <c r="O511"/>
  <c r="R511"/>
  <c r="T511" s="1"/>
  <c r="U511" s="1"/>
  <c r="L511"/>
  <c r="N153" i="26"/>
  <c r="T153"/>
  <c r="I153"/>
  <c r="Q153"/>
  <c r="T191"/>
  <c r="Q191"/>
  <c r="I191"/>
  <c r="N205"/>
  <c r="T205"/>
  <c r="T264"/>
  <c r="Q264"/>
  <c r="N264"/>
  <c r="T316"/>
  <c r="Q316"/>
  <c r="Q354"/>
  <c r="T354"/>
  <c r="L1102" i="12"/>
  <c r="O1102"/>
  <c r="L324"/>
  <c r="R324"/>
  <c r="T324" s="1"/>
  <c r="U324" s="1"/>
  <c r="O324"/>
  <c r="P324"/>
  <c r="L1075"/>
  <c r="P1075"/>
  <c r="R1075"/>
  <c r="T1075" s="1"/>
  <c r="U1075" s="1"/>
  <c r="O1075"/>
  <c r="L701"/>
  <c r="O701"/>
  <c r="R1106"/>
  <c r="T1106" s="1"/>
  <c r="U1106" s="1"/>
  <c r="P1106"/>
  <c r="L1106"/>
  <c r="O1416"/>
  <c r="P1416"/>
  <c r="R972"/>
  <c r="T972" s="1"/>
  <c r="U972" s="1"/>
  <c r="L972"/>
  <c r="P972"/>
  <c r="R975"/>
  <c r="T975" s="1"/>
  <c r="U975" s="1"/>
  <c r="O1106"/>
  <c r="L827"/>
  <c r="L493"/>
  <c r="R294"/>
  <c r="T294" s="1"/>
  <c r="U294" s="1"/>
  <c r="P1102"/>
  <c r="P41"/>
  <c r="Q52" i="26"/>
  <c r="N52"/>
  <c r="I90"/>
  <c r="T90"/>
  <c r="Q145"/>
  <c r="N145"/>
  <c r="T158"/>
  <c r="Q158"/>
  <c r="Q192"/>
  <c r="T192"/>
  <c r="I228"/>
  <c r="N228"/>
  <c r="Q228"/>
  <c r="T228"/>
  <c r="T382"/>
  <c r="Q382"/>
  <c r="I382"/>
  <c r="N382"/>
  <c r="N408"/>
  <c r="T408"/>
  <c r="I408"/>
  <c r="Q408"/>
  <c r="N419"/>
  <c r="T419"/>
  <c r="I419"/>
  <c r="Q419"/>
  <c r="N437"/>
  <c r="T437"/>
  <c r="T89"/>
  <c r="N89"/>
  <c r="I61"/>
  <c r="N61"/>
  <c r="Q186"/>
  <c r="N186"/>
  <c r="I186"/>
  <c r="O1435" i="12"/>
  <c r="P1435"/>
  <c r="O52"/>
  <c r="R52"/>
  <c r="T52" s="1"/>
  <c r="U52" s="1"/>
  <c r="P52"/>
  <c r="I197" i="26"/>
  <c r="Q197"/>
  <c r="N216"/>
  <c r="T216"/>
  <c r="Q216"/>
  <c r="I249"/>
  <c r="Q249"/>
  <c r="Q379"/>
  <c r="T379"/>
  <c r="N379"/>
  <c r="I379"/>
  <c r="Q465"/>
  <c r="N465"/>
  <c r="T465"/>
  <c r="Q473"/>
  <c r="I473"/>
  <c r="N473"/>
  <c r="T473"/>
  <c r="L753" i="12"/>
  <c r="R753"/>
  <c r="T753" s="1"/>
  <c r="U753" s="1"/>
  <c r="P539"/>
  <c r="R539"/>
  <c r="T539" s="1"/>
  <c r="U539" s="1"/>
  <c r="L539"/>
  <c r="R739"/>
  <c r="T739" s="1"/>
  <c r="U739" s="1"/>
  <c r="P739"/>
  <c r="L739"/>
  <c r="O1476"/>
  <c r="R1476"/>
  <c r="T1476" s="1"/>
  <c r="U1476" s="1"/>
  <c r="L1476"/>
  <c r="O340"/>
  <c r="L340"/>
  <c r="P340"/>
  <c r="O972"/>
  <c r="L1039"/>
  <c r="R665"/>
  <c r="T665" s="1"/>
  <c r="U665" s="1"/>
  <c r="R1416"/>
  <c r="T1416" s="1"/>
  <c r="U1416" s="1"/>
  <c r="O827"/>
  <c r="L1278"/>
  <c r="O493"/>
  <c r="O618"/>
  <c r="R272"/>
  <c r="T272" s="1"/>
  <c r="U272" s="1"/>
  <c r="R1300"/>
  <c r="T1300" s="1"/>
  <c r="U1300" s="1"/>
  <c r="R559"/>
  <c r="T559" s="1"/>
  <c r="U559" s="1"/>
  <c r="R340"/>
  <c r="T340" s="1"/>
  <c r="U340" s="1"/>
  <c r="R240"/>
  <c r="T240" s="1"/>
  <c r="U240" s="1"/>
  <c r="R981"/>
  <c r="T981" s="1"/>
  <c r="U981" s="1"/>
  <c r="L981"/>
  <c r="O981"/>
  <c r="O279"/>
  <c r="P279"/>
  <c r="O990"/>
  <c r="P990"/>
  <c r="R990"/>
  <c r="T990" s="1"/>
  <c r="U990" s="1"/>
  <c r="L990"/>
  <c r="O1471"/>
  <c r="P1471"/>
  <c r="R1471"/>
  <c r="T1471" s="1"/>
  <c r="U1471" s="1"/>
  <c r="L1471"/>
  <c r="R899"/>
  <c r="T899" s="1"/>
  <c r="U899" s="1"/>
  <c r="P899"/>
  <c r="L899"/>
  <c r="R1252"/>
  <c r="T1252" s="1"/>
  <c r="U1252" s="1"/>
  <c r="O1252"/>
  <c r="L1252"/>
  <c r="P1252"/>
  <c r="L1466"/>
  <c r="O1466"/>
  <c r="O23"/>
  <c r="R23"/>
  <c r="T23" s="1"/>
  <c r="U23" s="1"/>
  <c r="O1287"/>
  <c r="P1287"/>
  <c r="R1287"/>
  <c r="T1287" s="1"/>
  <c r="U1287" s="1"/>
  <c r="L1459"/>
  <c r="O1459"/>
  <c r="P1459"/>
  <c r="O1292"/>
  <c r="R1292"/>
  <c r="T1292" s="1"/>
  <c r="U1292" s="1"/>
  <c r="P985"/>
  <c r="R985"/>
  <c r="T985" s="1"/>
  <c r="U985" s="1"/>
  <c r="L985"/>
  <c r="L376"/>
  <c r="O376"/>
  <c r="P376"/>
  <c r="R40"/>
  <c r="T40" s="1"/>
  <c r="U40" s="1"/>
  <c r="L40"/>
  <c r="O40"/>
  <c r="R248"/>
  <c r="T248" s="1"/>
  <c r="U248" s="1"/>
  <c r="P248"/>
  <c r="O248"/>
  <c r="R903"/>
  <c r="T903" s="1"/>
  <c r="U903" s="1"/>
  <c r="L903"/>
  <c r="O903"/>
  <c r="P903"/>
  <c r="P245"/>
  <c r="L245"/>
  <c r="R245"/>
  <c r="T245" s="1"/>
  <c r="U245" s="1"/>
  <c r="L1071"/>
  <c r="R1071"/>
  <c r="T1071" s="1"/>
  <c r="U1071" s="1"/>
  <c r="O1071"/>
  <c r="L243"/>
  <c r="O243"/>
  <c r="R243"/>
  <c r="T243" s="1"/>
  <c r="U243" s="1"/>
  <c r="R1069"/>
  <c r="T1069" s="1"/>
  <c r="U1069" s="1"/>
  <c r="O1069"/>
  <c r="O1032"/>
  <c r="R1032"/>
  <c r="T1032" s="1"/>
  <c r="U1032" s="1"/>
  <c r="T383" i="26"/>
  <c r="Q383"/>
  <c r="N383"/>
  <c r="T160"/>
  <c r="I160"/>
  <c r="N160"/>
  <c r="Q160"/>
  <c r="Q229"/>
  <c r="N229"/>
  <c r="T229"/>
  <c r="I229"/>
  <c r="I266"/>
  <c r="N266"/>
  <c r="T266"/>
  <c r="Q266"/>
  <c r="T447"/>
  <c r="Q447"/>
  <c r="Q280"/>
  <c r="N280"/>
  <c r="I280"/>
  <c r="T280"/>
  <c r="N400"/>
  <c r="T400"/>
  <c r="I400"/>
  <c r="Q400"/>
  <c r="L45" i="12"/>
  <c r="P24"/>
  <c r="P1110"/>
  <c r="P1389"/>
  <c r="O1110"/>
  <c r="O548"/>
  <c r="T35" i="26"/>
  <c r="N35"/>
  <c r="Q35"/>
  <c r="I35"/>
  <c r="Q100"/>
  <c r="I100"/>
  <c r="T100"/>
  <c r="N100"/>
  <c r="N112"/>
  <c r="Q112"/>
  <c r="I112"/>
  <c r="T112"/>
  <c r="I140"/>
  <c r="N140"/>
  <c r="Q140"/>
  <c r="T140"/>
  <c r="I206"/>
  <c r="N206"/>
  <c r="Q206"/>
  <c r="T206"/>
  <c r="N285"/>
  <c r="T285"/>
  <c r="Q285"/>
  <c r="I285"/>
  <c r="I333"/>
  <c r="T333"/>
  <c r="Q333"/>
  <c r="N333"/>
  <c r="N477"/>
  <c r="T477"/>
  <c r="Q477"/>
  <c r="I477"/>
  <c r="Q342"/>
  <c r="I342"/>
  <c r="N342"/>
  <c r="T342"/>
  <c r="I415"/>
  <c r="T415"/>
  <c r="Q415"/>
  <c r="N415"/>
  <c r="T339"/>
  <c r="N339"/>
  <c r="I339"/>
  <c r="Q339"/>
  <c r="N469"/>
  <c r="T469"/>
  <c r="I469"/>
  <c r="Q469"/>
  <c r="T125"/>
  <c r="Q125"/>
  <c r="I125"/>
  <c r="N125"/>
  <c r="O1458" i="12"/>
  <c r="L770"/>
  <c r="R1458"/>
  <c r="T1458" s="1"/>
  <c r="U1458" s="1"/>
  <c r="R1389"/>
  <c r="T1389" s="1"/>
  <c r="U1389" s="1"/>
  <c r="R1110"/>
  <c r="T1110" s="1"/>
  <c r="U1110" s="1"/>
  <c r="L548"/>
  <c r="I383" i="26"/>
  <c r="N163"/>
  <c r="Q163"/>
  <c r="T56"/>
  <c r="Q56"/>
  <c r="I56"/>
  <c r="N56"/>
  <c r="I126"/>
  <c r="Q126"/>
  <c r="N126"/>
  <c r="T126"/>
  <c r="N149"/>
  <c r="Q149"/>
  <c r="T149"/>
  <c r="I149"/>
  <c r="Q190"/>
  <c r="T190"/>
  <c r="I190"/>
  <c r="N190"/>
  <c r="Q62"/>
  <c r="I62"/>
  <c r="T62"/>
  <c r="N62"/>
  <c r="Q80"/>
  <c r="I80"/>
  <c r="T80"/>
  <c r="N80"/>
  <c r="N116"/>
  <c r="I116"/>
  <c r="Q116"/>
  <c r="T116"/>
  <c r="I277"/>
  <c r="N277"/>
  <c r="Q277"/>
  <c r="T277"/>
  <c r="Q224"/>
  <c r="I224"/>
  <c r="N224"/>
  <c r="T224"/>
  <c r="N302"/>
  <c r="I302"/>
  <c r="Q302"/>
  <c r="T302"/>
  <c r="Q358"/>
  <c r="T358"/>
  <c r="I358"/>
  <c r="N358"/>
  <c r="T396"/>
  <c r="N396"/>
  <c r="Q396"/>
  <c r="I396"/>
  <c r="P28" i="12"/>
  <c r="R28"/>
  <c r="T28" s="1"/>
  <c r="U28" s="1"/>
  <c r="R1380"/>
  <c r="T1380" s="1"/>
  <c r="U1380" s="1"/>
  <c r="L1380"/>
  <c r="O620"/>
  <c r="O1291"/>
  <c r="L1291"/>
  <c r="R42"/>
  <c r="T42" s="1"/>
  <c r="U42" s="1"/>
  <c r="R620"/>
  <c r="T620" s="1"/>
  <c r="U620" s="1"/>
  <c r="P1300"/>
  <c r="T237" i="26"/>
  <c r="N237"/>
  <c r="I237"/>
  <c r="O357" i="12"/>
  <c r="L1033"/>
  <c r="L1458"/>
  <c r="L816"/>
  <c r="P1473"/>
  <c r="R1468"/>
  <c r="T1468" s="1"/>
  <c r="U1468" s="1"/>
  <c r="R1379"/>
  <c r="T1379" s="1"/>
  <c r="U1379" s="1"/>
  <c r="R377"/>
  <c r="T377" s="1"/>
  <c r="U377" s="1"/>
  <c r="L1468"/>
  <c r="R1474"/>
  <c r="T1474" s="1"/>
  <c r="U1474" s="1"/>
  <c r="O1164"/>
  <c r="R1311"/>
  <c r="T1311" s="1"/>
  <c r="U1311" s="1"/>
  <c r="I178" i="26"/>
  <c r="L1311" i="12"/>
  <c r="L377"/>
  <c r="O42"/>
  <c r="P377"/>
  <c r="O1468"/>
  <c r="O514"/>
  <c r="L514"/>
  <c r="R50"/>
  <c r="T50" s="1"/>
  <c r="U50" s="1"/>
  <c r="L50"/>
  <c r="P824"/>
  <c r="R824"/>
  <c r="T824" s="1"/>
  <c r="U824" s="1"/>
  <c r="L824"/>
  <c r="O824"/>
  <c r="O886"/>
  <c r="P886"/>
  <c r="R886"/>
  <c r="T886" s="1"/>
  <c r="U886" s="1"/>
  <c r="L886"/>
  <c r="R1392"/>
  <c r="T1392" s="1"/>
  <c r="U1392" s="1"/>
  <c r="O1392"/>
  <c r="R25"/>
  <c r="T25" s="1"/>
  <c r="U25" s="1"/>
  <c r="L25"/>
  <c r="R1288"/>
  <c r="T1288" s="1"/>
  <c r="U1288" s="1"/>
  <c r="O1288"/>
  <c r="L813"/>
  <c r="O813"/>
  <c r="P1294"/>
  <c r="L1294"/>
  <c r="R231"/>
  <c r="T231" s="1"/>
  <c r="U231" s="1"/>
  <c r="L231"/>
  <c r="L42"/>
  <c r="P1477"/>
  <c r="O1477"/>
  <c r="R1103"/>
  <c r="T1103" s="1"/>
  <c r="U1103" s="1"/>
  <c r="O1103"/>
  <c r="L43"/>
  <c r="O43"/>
  <c r="R673"/>
  <c r="T673" s="1"/>
  <c r="U673" s="1"/>
  <c r="P673"/>
  <c r="O673"/>
  <c r="L673"/>
  <c r="R298"/>
  <c r="T298" s="1"/>
  <c r="U298" s="1"/>
  <c r="O298"/>
  <c r="P298"/>
  <c r="L298"/>
  <c r="L388"/>
  <c r="R388"/>
  <c r="T388" s="1"/>
  <c r="U388" s="1"/>
  <c r="O190"/>
  <c r="P190"/>
  <c r="R385"/>
  <c r="T385" s="1"/>
  <c r="U385" s="1"/>
  <c r="L385"/>
  <c r="R1381"/>
  <c r="T1381" s="1"/>
  <c r="U1381" s="1"/>
  <c r="L1381"/>
  <c r="O1237"/>
  <c r="L1237"/>
  <c r="P1237"/>
  <c r="R1237"/>
  <c r="T1237" s="1"/>
  <c r="U1237" s="1"/>
  <c r="O1203"/>
  <c r="P1203"/>
  <c r="R1203"/>
  <c r="T1203" s="1"/>
  <c r="U1203" s="1"/>
  <c r="L1203"/>
  <c r="L247"/>
  <c r="P247"/>
  <c r="R582"/>
  <c r="T582" s="1"/>
  <c r="U582" s="1"/>
  <c r="L582"/>
  <c r="P701"/>
  <c r="R701"/>
  <c r="T701" s="1"/>
  <c r="U701" s="1"/>
  <c r="L1461"/>
  <c r="O1461"/>
  <c r="P516"/>
  <c r="O516"/>
  <c r="R516"/>
  <c r="T516" s="1"/>
  <c r="U516" s="1"/>
  <c r="L516"/>
  <c r="L1149"/>
  <c r="P1149"/>
  <c r="O1149"/>
  <c r="R1149"/>
  <c r="T1149" s="1"/>
  <c r="U1149" s="1"/>
  <c r="P854"/>
  <c r="R854"/>
  <c r="T854" s="1"/>
  <c r="U854" s="1"/>
  <c r="O54"/>
  <c r="P54"/>
  <c r="R618"/>
  <c r="T618" s="1"/>
  <c r="U618" s="1"/>
  <c r="L618"/>
  <c r="L1068"/>
  <c r="P1068"/>
  <c r="O20"/>
  <c r="L20"/>
  <c r="L282"/>
  <c r="P282"/>
  <c r="P1454"/>
  <c r="O1454"/>
  <c r="R51"/>
  <c r="T51" s="1"/>
  <c r="U51" s="1"/>
  <c r="P51"/>
  <c r="R374"/>
  <c r="T374" s="1"/>
  <c r="U374" s="1"/>
  <c r="L374"/>
  <c r="O374"/>
  <c r="P374"/>
  <c r="L661"/>
  <c r="Q260" i="26"/>
  <c r="N273"/>
  <c r="L1453" i="12"/>
  <c r="R980"/>
  <c r="T980" s="1"/>
  <c r="U980" s="1"/>
  <c r="P1368"/>
  <c r="R821"/>
  <c r="T821" s="1"/>
  <c r="U821" s="1"/>
  <c r="R991"/>
  <c r="T991" s="1"/>
  <c r="U991" s="1"/>
  <c r="O1049"/>
  <c r="P730"/>
  <c r="O614"/>
  <c r="R1289"/>
  <c r="T1289" s="1"/>
  <c r="U1289" s="1"/>
  <c r="P546"/>
  <c r="L547"/>
  <c r="O1382"/>
  <c r="R608"/>
  <c r="T608" s="1"/>
  <c r="U608" s="1"/>
  <c r="O970"/>
  <c r="O1489"/>
  <c r="P1489"/>
  <c r="R543"/>
  <c r="T543" s="1"/>
  <c r="U543" s="1"/>
  <c r="R1033"/>
  <c r="T1033" s="1"/>
  <c r="U1033" s="1"/>
  <c r="R1478"/>
  <c r="T1478" s="1"/>
  <c r="U1478" s="1"/>
  <c r="R1158"/>
  <c r="T1158" s="1"/>
  <c r="U1158" s="1"/>
  <c r="L1158"/>
  <c r="O1158"/>
  <c r="P1158"/>
  <c r="T273" i="26"/>
  <c r="O51" i="12"/>
  <c r="R20"/>
  <c r="T20" s="1"/>
  <c r="U20" s="1"/>
  <c r="P538"/>
  <c r="R540"/>
  <c r="T540" s="1"/>
  <c r="U540" s="1"/>
  <c r="O1453"/>
  <c r="R610"/>
  <c r="T610" s="1"/>
  <c r="U610" s="1"/>
  <c r="R1068"/>
  <c r="T1068" s="1"/>
  <c r="U1068" s="1"/>
  <c r="P991"/>
  <c r="P1049"/>
  <c r="O730"/>
  <c r="R1454"/>
  <c r="T1454" s="1"/>
  <c r="U1454" s="1"/>
  <c r="R1072"/>
  <c r="T1072" s="1"/>
  <c r="U1072" s="1"/>
  <c r="O282"/>
  <c r="R1299"/>
  <c r="T1299" s="1"/>
  <c r="U1299" s="1"/>
  <c r="L1289"/>
  <c r="O1033"/>
  <c r="L29"/>
  <c r="P1478"/>
  <c r="P816"/>
  <c r="L1478"/>
  <c r="L23"/>
  <c r="P23"/>
  <c r="O1388"/>
  <c r="R1388"/>
  <c r="T1388" s="1"/>
  <c r="U1388" s="1"/>
  <c r="P767"/>
  <c r="R767"/>
  <c r="T767" s="1"/>
  <c r="U767" s="1"/>
  <c r="L767"/>
  <c r="O767"/>
  <c r="I273" i="26"/>
  <c r="P610" i="12"/>
  <c r="L51"/>
  <c r="P20"/>
  <c r="L1368"/>
  <c r="O538"/>
  <c r="P540"/>
  <c r="O821"/>
  <c r="O1068"/>
  <c r="P1072"/>
  <c r="P614"/>
  <c r="L1454"/>
  <c r="O1072"/>
  <c r="R282"/>
  <c r="T282" s="1"/>
  <c r="U282" s="1"/>
  <c r="O1299"/>
  <c r="L546"/>
  <c r="P547"/>
  <c r="R1382"/>
  <c r="T1382" s="1"/>
  <c r="U1382" s="1"/>
  <c r="O608"/>
  <c r="L970"/>
  <c r="P543"/>
  <c r="O29"/>
  <c r="R816"/>
  <c r="T816" s="1"/>
  <c r="U816" s="1"/>
  <c r="O1473"/>
  <c r="R1473"/>
  <c r="T1473" s="1"/>
  <c r="U1473" s="1"/>
  <c r="P1487"/>
  <c r="O1487"/>
  <c r="N359" i="26"/>
  <c r="O803" i="12"/>
  <c r="R803"/>
  <c r="T803" s="1"/>
  <c r="U803" s="1"/>
  <c r="L803"/>
  <c r="P803"/>
  <c r="P682"/>
  <c r="O682"/>
  <c r="L682"/>
  <c r="R682"/>
  <c r="T682" s="1"/>
  <c r="U682" s="1"/>
  <c r="P357"/>
  <c r="T359" i="26"/>
  <c r="I359"/>
  <c r="P1474" i="12"/>
  <c r="T253" i="26"/>
  <c r="L1474" i="12"/>
  <c r="P17"/>
  <c r="P1076"/>
  <c r="L962"/>
  <c r="O916"/>
  <c r="P191"/>
  <c r="I253" i="26"/>
  <c r="Q178"/>
  <c r="Q253"/>
  <c r="O469" i="12"/>
  <c r="P469"/>
  <c r="L469"/>
  <c r="O832"/>
  <c r="P832"/>
  <c r="R832"/>
  <c r="T832" s="1"/>
  <c r="U832" s="1"/>
  <c r="L832"/>
  <c r="R519"/>
  <c r="T519" s="1"/>
  <c r="U519" s="1"/>
  <c r="P519"/>
  <c r="L519"/>
  <c r="O519"/>
  <c r="P441"/>
  <c r="L441"/>
  <c r="R441"/>
  <c r="T441" s="1"/>
  <c r="U441" s="1"/>
  <c r="O441"/>
  <c r="R1054"/>
  <c r="T1054" s="1"/>
  <c r="U1054" s="1"/>
  <c r="O1054"/>
  <c r="L1054"/>
  <c r="P1054"/>
  <c r="P721"/>
  <c r="R721"/>
  <c r="T721" s="1"/>
  <c r="U721" s="1"/>
  <c r="O199"/>
  <c r="P199"/>
  <c r="R199"/>
  <c r="T199" s="1"/>
  <c r="U199" s="1"/>
  <c r="L199"/>
  <c r="L1255"/>
  <c r="P1255"/>
  <c r="R1255"/>
  <c r="T1255" s="1"/>
  <c r="U1255" s="1"/>
  <c r="O1255"/>
  <c r="R139"/>
  <c r="T139" s="1"/>
  <c r="U139" s="1"/>
  <c r="O139"/>
  <c r="L139"/>
  <c r="P139"/>
  <c r="L665"/>
  <c r="P665"/>
  <c r="L152"/>
  <c r="P152"/>
  <c r="O152"/>
  <c r="P753"/>
  <c r="O753"/>
  <c r="R1415"/>
  <c r="T1415" s="1"/>
  <c r="U1415" s="1"/>
  <c r="L1415"/>
  <c r="P1415"/>
  <c r="O1415"/>
  <c r="R947"/>
  <c r="T947" s="1"/>
  <c r="U947" s="1"/>
  <c r="L947"/>
  <c r="O947"/>
  <c r="P947"/>
  <c r="P550"/>
  <c r="R550"/>
  <c r="T550" s="1"/>
  <c r="U550" s="1"/>
  <c r="L550"/>
  <c r="O550"/>
  <c r="P1125"/>
  <c r="L1125"/>
  <c r="O1125"/>
  <c r="P801"/>
  <c r="R801"/>
  <c r="T801" s="1"/>
  <c r="U801" s="1"/>
  <c r="L801"/>
  <c r="O801"/>
  <c r="R690"/>
  <c r="T690" s="1"/>
  <c r="U690" s="1"/>
  <c r="L690"/>
  <c r="P690"/>
  <c r="S9" i="11"/>
  <c r="T9" s="1"/>
  <c r="U9" s="1"/>
  <c r="V9" s="1"/>
  <c r="W9" s="1"/>
  <c r="R10"/>
  <c r="L1487" i="12"/>
  <c r="R361"/>
  <c r="T361" s="1"/>
  <c r="U361" s="1"/>
  <c r="P361"/>
  <c r="L361"/>
  <c r="O361"/>
  <c r="R1097"/>
  <c r="T1097" s="1"/>
  <c r="U1097" s="1"/>
  <c r="L1097"/>
  <c r="O1097"/>
  <c r="P1097"/>
  <c r="P1058"/>
  <c r="R1058"/>
  <c r="T1058" s="1"/>
  <c r="U1058" s="1"/>
  <c r="O1058"/>
  <c r="L1058"/>
  <c r="P605"/>
  <c r="L605"/>
  <c r="O605"/>
  <c r="R605"/>
  <c r="T605" s="1"/>
  <c r="U605" s="1"/>
  <c r="R1301"/>
  <c r="T1301" s="1"/>
  <c r="U1301" s="1"/>
  <c r="O1301"/>
  <c r="L1301"/>
  <c r="P1301"/>
  <c r="P232"/>
  <c r="R232"/>
  <c r="T232" s="1"/>
  <c r="U232" s="1"/>
  <c r="O232"/>
  <c r="L232"/>
  <c r="L1210"/>
  <c r="O1210"/>
  <c r="R1210"/>
  <c r="T1210" s="1"/>
  <c r="U1210" s="1"/>
  <c r="P1210"/>
  <c r="P149"/>
  <c r="L149"/>
  <c r="R149"/>
  <c r="T149" s="1"/>
  <c r="U149" s="1"/>
  <c r="O149"/>
  <c r="P978"/>
  <c r="L978"/>
  <c r="R978"/>
  <c r="T978" s="1"/>
  <c r="U978" s="1"/>
  <c r="O978"/>
  <c r="P224"/>
  <c r="L224"/>
  <c r="O224"/>
  <c r="R224"/>
  <c r="T224" s="1"/>
  <c r="U224" s="1"/>
  <c r="O1099"/>
  <c r="R1099"/>
  <c r="T1099" s="1"/>
  <c r="U1099" s="1"/>
  <c r="L1099"/>
  <c r="P1099"/>
  <c r="L529"/>
  <c r="O529"/>
  <c r="P529"/>
  <c r="R529"/>
  <c r="T529" s="1"/>
  <c r="U529" s="1"/>
  <c r="L1450"/>
  <c r="R1450"/>
  <c r="T1450" s="1"/>
  <c r="U1450" s="1"/>
  <c r="P1450"/>
  <c r="O1450"/>
  <c r="P370"/>
  <c r="R370"/>
  <c r="T370" s="1"/>
  <c r="U370" s="1"/>
  <c r="L370"/>
  <c r="O370"/>
  <c r="R1023"/>
  <c r="T1023" s="1"/>
  <c r="U1023" s="1"/>
  <c r="O1023"/>
  <c r="L1023"/>
  <c r="P1023"/>
  <c r="L560"/>
  <c r="P560"/>
  <c r="O371"/>
  <c r="R371"/>
  <c r="T371" s="1"/>
  <c r="U371" s="1"/>
  <c r="L371"/>
  <c r="P371"/>
  <c r="O367"/>
  <c r="L367"/>
  <c r="L1144"/>
  <c r="O1144"/>
  <c r="R1144"/>
  <c r="T1144" s="1"/>
  <c r="U1144" s="1"/>
  <c r="P1144"/>
  <c r="P949"/>
  <c r="L949"/>
  <c r="R949"/>
  <c r="T949" s="1"/>
  <c r="U949" s="1"/>
  <c r="O949"/>
  <c r="P116"/>
  <c r="R116"/>
  <c r="T116" s="1"/>
  <c r="U116" s="1"/>
  <c r="L116"/>
  <c r="O116"/>
  <c r="P1199"/>
  <c r="R1199"/>
  <c r="T1199" s="1"/>
  <c r="U1199" s="1"/>
  <c r="O1199"/>
  <c r="L1199"/>
  <c r="L696"/>
  <c r="O696"/>
  <c r="P696"/>
  <c r="R696"/>
  <c r="T696" s="1"/>
  <c r="U696" s="1"/>
  <c r="L830"/>
  <c r="O830"/>
  <c r="P830"/>
  <c r="R830"/>
  <c r="T830" s="1"/>
  <c r="U830" s="1"/>
  <c r="L686"/>
  <c r="R686"/>
  <c r="T686" s="1"/>
  <c r="U686" s="1"/>
  <c r="P686"/>
  <c r="O686"/>
  <c r="P910"/>
  <c r="L910"/>
  <c r="R910"/>
  <c r="T910" s="1"/>
  <c r="U910" s="1"/>
  <c r="O910"/>
  <c r="O674"/>
  <c r="L674"/>
  <c r="R674"/>
  <c r="T674" s="1"/>
  <c r="U674" s="1"/>
  <c r="P674"/>
  <c r="L118"/>
  <c r="O118"/>
  <c r="P118"/>
  <c r="R118"/>
  <c r="T118" s="1"/>
  <c r="U118" s="1"/>
  <c r="R583"/>
  <c r="T583" s="1"/>
  <c r="U583" s="1"/>
  <c r="P583"/>
  <c r="L583"/>
  <c r="O583"/>
  <c r="L32"/>
  <c r="O32"/>
  <c r="R32"/>
  <c r="T32" s="1"/>
  <c r="U32" s="1"/>
  <c r="P32"/>
  <c r="L1446"/>
  <c r="O1446"/>
  <c r="P1446"/>
  <c r="R1446"/>
  <c r="T1446" s="1"/>
  <c r="U1446" s="1"/>
  <c r="P496"/>
  <c r="O496"/>
  <c r="L496"/>
  <c r="R496"/>
  <c r="T496" s="1"/>
  <c r="U496" s="1"/>
  <c r="R835"/>
  <c r="T835" s="1"/>
  <c r="U835" s="1"/>
  <c r="O835"/>
  <c r="P835"/>
  <c r="L835"/>
  <c r="P1136"/>
  <c r="L1136"/>
  <c r="O1136"/>
  <c r="R1136"/>
  <c r="T1136" s="1"/>
  <c r="U1136" s="1"/>
  <c r="L117"/>
  <c r="P117"/>
  <c r="R117"/>
  <c r="T117" s="1"/>
  <c r="U117" s="1"/>
  <c r="O117"/>
  <c r="P1148"/>
  <c r="O1148"/>
  <c r="R1148"/>
  <c r="T1148" s="1"/>
  <c r="U1148" s="1"/>
  <c r="L1148"/>
  <c r="P745"/>
  <c r="O745"/>
  <c r="R745"/>
  <c r="T745" s="1"/>
  <c r="U745" s="1"/>
  <c r="L745"/>
  <c r="R342"/>
  <c r="T342" s="1"/>
  <c r="U342" s="1"/>
  <c r="P342"/>
  <c r="L342"/>
  <c r="O342"/>
  <c r="L715"/>
  <c r="O715"/>
  <c r="R36"/>
  <c r="T36" s="1"/>
  <c r="U36" s="1"/>
  <c r="O36"/>
  <c r="P36"/>
  <c r="L36"/>
  <c r="P533"/>
  <c r="R533"/>
  <c r="T533" s="1"/>
  <c r="U533" s="1"/>
  <c r="L533"/>
  <c r="O533"/>
  <c r="O833"/>
  <c r="P833"/>
  <c r="R833"/>
  <c r="T833" s="1"/>
  <c r="U833" s="1"/>
  <c r="L833"/>
  <c r="P1307"/>
  <c r="R1307"/>
  <c r="T1307" s="1"/>
  <c r="U1307" s="1"/>
  <c r="O1307"/>
  <c r="L1307"/>
  <c r="R295"/>
  <c r="T295" s="1"/>
  <c r="U295" s="1"/>
  <c r="P295"/>
  <c r="O295"/>
  <c r="L295"/>
  <c r="O857"/>
  <c r="R857"/>
  <c r="T857" s="1"/>
  <c r="U857" s="1"/>
  <c r="P857"/>
  <c r="L857"/>
  <c r="L670"/>
  <c r="O670"/>
  <c r="P670"/>
  <c r="R670"/>
  <c r="T670" s="1"/>
  <c r="U670" s="1"/>
  <c r="P709"/>
  <c r="L709"/>
  <c r="O709"/>
  <c r="R709"/>
  <c r="T709" s="1"/>
  <c r="U709" s="1"/>
  <c r="P1017"/>
  <c r="L1017"/>
  <c r="R1017"/>
  <c r="T1017" s="1"/>
  <c r="U1017" s="1"/>
  <c r="O1017"/>
  <c r="O389"/>
  <c r="P389"/>
  <c r="R389"/>
  <c r="T389" s="1"/>
  <c r="U389" s="1"/>
  <c r="L389"/>
  <c r="P1140"/>
  <c r="R1140"/>
  <c r="T1140" s="1"/>
  <c r="U1140" s="1"/>
  <c r="L1140"/>
  <c r="O1140"/>
  <c r="R607"/>
  <c r="T607" s="1"/>
  <c r="U607" s="1"/>
  <c r="L607"/>
  <c r="O607"/>
  <c r="P607"/>
  <c r="P652"/>
  <c r="R652"/>
  <c r="T652" s="1"/>
  <c r="U652" s="1"/>
  <c r="L652"/>
  <c r="O652"/>
  <c r="R1211"/>
  <c r="T1211" s="1"/>
  <c r="U1211" s="1"/>
  <c r="O1211"/>
  <c r="L1211"/>
  <c r="P1211"/>
  <c r="P1047"/>
  <c r="O1047"/>
  <c r="L1047"/>
  <c r="R1047"/>
  <c r="T1047" s="1"/>
  <c r="U1047" s="1"/>
  <c r="L285"/>
  <c r="R285"/>
  <c r="T285" s="1"/>
  <c r="U285" s="1"/>
  <c r="O285"/>
  <c r="P285"/>
  <c r="R967"/>
  <c r="T967" s="1"/>
  <c r="U967" s="1"/>
  <c r="O967"/>
  <c r="L967"/>
  <c r="P967"/>
  <c r="L668"/>
  <c r="O668"/>
  <c r="R668"/>
  <c r="T668" s="1"/>
  <c r="U668" s="1"/>
  <c r="P668"/>
  <c r="R71"/>
  <c r="T71" s="1"/>
  <c r="U71" s="1"/>
  <c r="L71"/>
  <c r="P71"/>
  <c r="O71"/>
  <c r="L1055"/>
  <c r="R1055"/>
  <c r="T1055" s="1"/>
  <c r="U1055" s="1"/>
  <c r="O1055"/>
  <c r="P1055"/>
  <c r="P976"/>
  <c r="R976"/>
  <c r="T976" s="1"/>
  <c r="U976" s="1"/>
  <c r="O976"/>
  <c r="L976"/>
  <c r="R343"/>
  <c r="T343" s="1"/>
  <c r="U343" s="1"/>
  <c r="O343"/>
  <c r="L343"/>
  <c r="P343"/>
  <c r="P439"/>
  <c r="L439"/>
  <c r="O439"/>
  <c r="R439"/>
  <c r="T439" s="1"/>
  <c r="U439" s="1"/>
  <c r="L1030"/>
  <c r="P1030"/>
  <c r="O1030"/>
  <c r="R1030"/>
  <c r="T1030" s="1"/>
  <c r="U1030" s="1"/>
  <c r="L37"/>
  <c r="P37"/>
  <c r="O37"/>
  <c r="R37"/>
  <c r="T37" s="1"/>
  <c r="U37" s="1"/>
  <c r="L802"/>
  <c r="O802"/>
  <c r="P802"/>
  <c r="R802"/>
  <c r="T802" s="1"/>
  <c r="U802" s="1"/>
  <c r="P303"/>
  <c r="R303"/>
  <c r="T303" s="1"/>
  <c r="U303" s="1"/>
  <c r="L303"/>
  <c r="O303"/>
  <c r="R948"/>
  <c r="T948" s="1"/>
  <c r="U948" s="1"/>
  <c r="L948"/>
  <c r="O948"/>
  <c r="P948"/>
  <c r="P908"/>
  <c r="R908"/>
  <c r="T908" s="1"/>
  <c r="U908" s="1"/>
  <c r="L908"/>
  <c r="O908"/>
  <c r="R68"/>
  <c r="T68" s="1"/>
  <c r="U68" s="1"/>
  <c r="L68"/>
  <c r="O68"/>
  <c r="P68"/>
  <c r="L654"/>
  <c r="O654"/>
  <c r="P654"/>
  <c r="R654"/>
  <c r="T654" s="1"/>
  <c r="U654" s="1"/>
  <c r="O313"/>
  <c r="P313"/>
  <c r="L313"/>
  <c r="R313"/>
  <c r="T313" s="1"/>
  <c r="U313" s="1"/>
  <c r="L644"/>
  <c r="P644"/>
  <c r="R644"/>
  <c r="T644" s="1"/>
  <c r="U644" s="1"/>
  <c r="O644"/>
  <c r="L708"/>
  <c r="O708"/>
  <c r="P708"/>
  <c r="R708"/>
  <c r="T708" s="1"/>
  <c r="U708" s="1"/>
  <c r="L658"/>
  <c r="R658"/>
  <c r="T658" s="1"/>
  <c r="U658" s="1"/>
  <c r="P658"/>
  <c r="O658"/>
  <c r="R1233"/>
  <c r="T1233" s="1"/>
  <c r="U1233" s="1"/>
  <c r="P1233"/>
  <c r="L1233"/>
  <c r="O1233"/>
  <c r="P995"/>
  <c r="R995"/>
  <c r="T995" s="1"/>
  <c r="U995" s="1"/>
  <c r="L995"/>
  <c r="O995"/>
  <c r="L16"/>
  <c r="P16"/>
  <c r="R16"/>
  <c r="T16" s="1"/>
  <c r="U16" s="1"/>
  <c r="O16"/>
  <c r="O223"/>
  <c r="P223"/>
  <c r="R223"/>
  <c r="T223" s="1"/>
  <c r="U223" s="1"/>
  <c r="L223"/>
  <c r="P1475"/>
  <c r="R1475"/>
  <c r="T1475" s="1"/>
  <c r="U1475" s="1"/>
  <c r="L1475"/>
  <c r="O1475"/>
  <c r="O1200"/>
  <c r="P1200"/>
  <c r="R1200"/>
  <c r="T1200" s="1"/>
  <c r="U1200" s="1"/>
  <c r="L1200"/>
  <c r="P1131"/>
  <c r="R1131"/>
  <c r="T1131" s="1"/>
  <c r="U1131" s="1"/>
  <c r="L1131"/>
  <c r="O1131"/>
  <c r="P1375"/>
  <c r="O1375"/>
  <c r="L1375"/>
  <c r="R1375"/>
  <c r="T1375" s="1"/>
  <c r="U1375" s="1"/>
  <c r="O534"/>
  <c r="L534"/>
  <c r="R534"/>
  <c r="T534" s="1"/>
  <c r="U534" s="1"/>
  <c r="P534"/>
  <c r="P685"/>
  <c r="O685"/>
  <c r="R685"/>
  <c r="T685" s="1"/>
  <c r="U685" s="1"/>
  <c r="L685"/>
  <c r="P1204"/>
  <c r="R1204"/>
  <c r="T1204" s="1"/>
  <c r="U1204" s="1"/>
  <c r="L1204"/>
  <c r="O1204"/>
  <c r="L191"/>
  <c r="R191"/>
  <c r="T191" s="1"/>
  <c r="U191" s="1"/>
  <c r="P977"/>
  <c r="R977"/>
  <c r="T977" s="1"/>
  <c r="U977" s="1"/>
  <c r="L977"/>
  <c r="O977"/>
  <c r="O1031"/>
  <c r="P1031"/>
  <c r="R1031"/>
  <c r="T1031" s="1"/>
  <c r="U1031" s="1"/>
  <c r="L1031"/>
  <c r="R1306"/>
  <c r="T1306" s="1"/>
  <c r="U1306" s="1"/>
  <c r="P1306"/>
  <c r="L1306"/>
  <c r="O1306"/>
  <c r="P56"/>
  <c r="L56"/>
  <c r="R56"/>
  <c r="T56" s="1"/>
  <c r="U56" s="1"/>
  <c r="O56"/>
  <c r="L1280"/>
  <c r="R1280"/>
  <c r="T1280" s="1"/>
  <c r="U1280" s="1"/>
  <c r="O1280"/>
  <c r="P1280"/>
  <c r="O1076"/>
  <c r="L1076"/>
  <c r="O17"/>
  <c r="L17"/>
  <c r="R706"/>
  <c r="T706" s="1"/>
  <c r="U706" s="1"/>
  <c r="L706"/>
  <c r="P706"/>
  <c r="O706"/>
  <c r="L341"/>
  <c r="R341"/>
  <c r="T341" s="1"/>
  <c r="U341" s="1"/>
  <c r="O341"/>
  <c r="P341"/>
  <c r="R551"/>
  <c r="T551" s="1"/>
  <c r="U551" s="1"/>
  <c r="O551"/>
  <c r="P551"/>
  <c r="L551"/>
  <c r="L695"/>
  <c r="P695"/>
  <c r="R695"/>
  <c r="T695" s="1"/>
  <c r="U695" s="1"/>
  <c r="O695"/>
  <c r="O322"/>
  <c r="L322"/>
  <c r="P322"/>
  <c r="R322"/>
  <c r="T322" s="1"/>
  <c r="U322" s="1"/>
  <c r="O719"/>
  <c r="L719"/>
  <c r="P719"/>
  <c r="R719"/>
  <c r="T719" s="1"/>
  <c r="U719" s="1"/>
  <c r="R466"/>
  <c r="T466" s="1"/>
  <c r="U466" s="1"/>
  <c r="L466"/>
  <c r="O466"/>
  <c r="P466"/>
  <c r="L884"/>
  <c r="P884"/>
  <c r="R884"/>
  <c r="T884" s="1"/>
  <c r="U884" s="1"/>
  <c r="O884"/>
  <c r="P1209"/>
  <c r="O1209"/>
  <c r="R1209"/>
  <c r="T1209" s="1"/>
  <c r="U1209" s="1"/>
  <c r="L1209"/>
  <c r="R1393"/>
  <c r="T1393" s="1"/>
  <c r="U1393" s="1"/>
  <c r="L1393"/>
  <c r="O1393"/>
  <c r="P1393"/>
  <c r="O681"/>
  <c r="R681"/>
  <c r="T681" s="1"/>
  <c r="U681" s="1"/>
  <c r="P681"/>
  <c r="L681"/>
  <c r="O1016"/>
  <c r="L1016"/>
  <c r="R1016"/>
  <c r="T1016" s="1"/>
  <c r="U1016" s="1"/>
  <c r="P1016"/>
  <c r="L468"/>
  <c r="O468"/>
  <c r="P468"/>
  <c r="R468"/>
  <c r="T468" s="1"/>
  <c r="U468" s="1"/>
  <c r="P606"/>
  <c r="R606"/>
  <c r="T606" s="1"/>
  <c r="U606" s="1"/>
  <c r="L606"/>
  <c r="O606"/>
  <c r="O1470"/>
  <c r="L1470"/>
  <c r="R1470"/>
  <c r="T1470" s="1"/>
  <c r="U1470" s="1"/>
  <c r="P1470"/>
  <c r="R754"/>
  <c r="T754" s="1"/>
  <c r="U754" s="1"/>
  <c r="O754"/>
  <c r="P754"/>
  <c r="L754"/>
  <c r="O495"/>
  <c r="P495"/>
  <c r="R495"/>
  <c r="T495" s="1"/>
  <c r="U495" s="1"/>
  <c r="L495"/>
  <c r="L520"/>
  <c r="R520"/>
  <c r="T520" s="1"/>
  <c r="U520" s="1"/>
  <c r="O520"/>
  <c r="P520"/>
  <c r="L1122"/>
  <c r="O1122"/>
  <c r="P1122"/>
  <c r="R1122"/>
  <c r="T1122" s="1"/>
  <c r="U1122" s="1"/>
  <c r="L646"/>
  <c r="P646"/>
  <c r="O646"/>
  <c r="R646"/>
  <c r="T646" s="1"/>
  <c r="U646" s="1"/>
  <c r="O372"/>
  <c r="R372"/>
  <c r="T372" s="1"/>
  <c r="U372" s="1"/>
  <c r="L372"/>
  <c r="P372"/>
  <c r="R1139"/>
  <c r="T1139" s="1"/>
  <c r="U1139" s="1"/>
  <c r="P1139"/>
  <c r="O1139"/>
  <c r="L1139"/>
  <c r="R57"/>
  <c r="T57" s="1"/>
  <c r="U57" s="1"/>
  <c r="L57"/>
  <c r="O57"/>
  <c r="P57"/>
  <c r="O825"/>
  <c r="R825"/>
  <c r="T825" s="1"/>
  <c r="U825" s="1"/>
  <c r="P825"/>
  <c r="L825"/>
  <c r="R206"/>
  <c r="T206" s="1"/>
  <c r="U206" s="1"/>
  <c r="P206"/>
  <c r="O206"/>
  <c r="L206"/>
  <c r="L1022"/>
  <c r="O1022"/>
  <c r="R1022"/>
  <c r="T1022" s="1"/>
  <c r="U1022" s="1"/>
  <c r="P1022"/>
  <c r="P834"/>
  <c r="O834"/>
  <c r="L834"/>
  <c r="R834"/>
  <c r="T834" s="1"/>
  <c r="U834" s="1"/>
  <c r="L1348"/>
  <c r="R1348"/>
  <c r="T1348" s="1"/>
  <c r="U1348" s="1"/>
  <c r="O1348"/>
  <c r="P1348"/>
  <c r="O155"/>
  <c r="L155"/>
  <c r="R155"/>
  <c r="T155" s="1"/>
  <c r="U155" s="1"/>
  <c r="P155"/>
  <c r="R205"/>
  <c r="T205" s="1"/>
  <c r="U205" s="1"/>
  <c r="O205"/>
  <c r="L205"/>
  <c r="P205"/>
  <c r="O722"/>
  <c r="P722"/>
  <c r="R722"/>
  <c r="T722" s="1"/>
  <c r="U722" s="1"/>
  <c r="L722"/>
  <c r="L15"/>
  <c r="O15"/>
  <c r="R15"/>
  <c r="T15" s="1"/>
  <c r="U15" s="1"/>
  <c r="P15"/>
  <c r="O1444"/>
  <c r="R1444"/>
  <c r="T1444" s="1"/>
  <c r="U1444" s="1"/>
  <c r="L1444"/>
  <c r="P1444"/>
  <c r="O1308"/>
  <c r="P1308"/>
  <c r="R1308"/>
  <c r="T1308" s="1"/>
  <c r="U1308" s="1"/>
  <c r="L1308"/>
  <c r="R362"/>
  <c r="T362" s="1"/>
  <c r="U362" s="1"/>
  <c r="L362"/>
  <c r="O362"/>
  <c r="P362"/>
  <c r="O1059"/>
  <c r="P1059"/>
  <c r="R1059"/>
  <c r="T1059" s="1"/>
  <c r="U1059" s="1"/>
  <c r="L1059"/>
  <c r="L74"/>
  <c r="O74"/>
  <c r="P74"/>
  <c r="R74"/>
  <c r="T74" s="1"/>
  <c r="U74" s="1"/>
  <c r="L1187"/>
  <c r="P1187"/>
  <c r="R1187"/>
  <c r="T1187" s="1"/>
  <c r="U1187" s="1"/>
  <c r="O1187"/>
  <c r="L1192"/>
  <c r="O1192"/>
  <c r="P1192"/>
  <c r="R1192"/>
  <c r="T1192" s="1"/>
  <c r="U1192" s="1"/>
  <c r="L302"/>
  <c r="O302"/>
  <c r="P302"/>
  <c r="R302"/>
  <c r="T302" s="1"/>
  <c r="U302" s="1"/>
  <c r="P826"/>
  <c r="R826"/>
  <c r="T826" s="1"/>
  <c r="U826" s="1"/>
  <c r="L826"/>
  <c r="O826"/>
  <c r="L1060"/>
  <c r="O1060"/>
  <c r="P1060"/>
  <c r="R1060"/>
  <c r="T1060" s="1"/>
  <c r="U1060" s="1"/>
  <c r="P55"/>
  <c r="L55"/>
  <c r="O55"/>
  <c r="R55"/>
  <c r="T55" s="1"/>
  <c r="U55" s="1"/>
  <c r="L966"/>
  <c r="R966"/>
  <c r="T966" s="1"/>
  <c r="U966" s="1"/>
  <c r="P966"/>
  <c r="O966"/>
  <c r="R584"/>
  <c r="T584" s="1"/>
  <c r="U584" s="1"/>
  <c r="O584"/>
  <c r="L584"/>
  <c r="P584"/>
  <c r="O273"/>
  <c r="P273"/>
  <c r="R273"/>
  <c r="T273" s="1"/>
  <c r="U273" s="1"/>
  <c r="L273"/>
  <c r="L532"/>
  <c r="R532"/>
  <c r="T532" s="1"/>
  <c r="U532" s="1"/>
  <c r="P532"/>
  <c r="O532"/>
  <c r="P1197"/>
  <c r="L1197"/>
  <c r="O1197"/>
  <c r="R1197"/>
  <c r="T1197" s="1"/>
  <c r="U1197" s="1"/>
  <c r="O1147"/>
  <c r="R1147"/>
  <c r="T1147" s="1"/>
  <c r="U1147" s="1"/>
  <c r="L1147"/>
  <c r="P1147"/>
  <c r="R154"/>
  <c r="T154" s="1"/>
  <c r="U154" s="1"/>
  <c r="L154"/>
  <c r="O154"/>
  <c r="P154"/>
  <c r="P1420"/>
  <c r="R1420"/>
  <c r="T1420" s="1"/>
  <c r="U1420" s="1"/>
  <c r="L1420"/>
  <c r="O1420"/>
  <c r="O140"/>
  <c r="R140"/>
  <c r="T140" s="1"/>
  <c r="U140" s="1"/>
  <c r="L140"/>
  <c r="P140"/>
  <c r="R1048"/>
  <c r="T1048" s="1"/>
  <c r="U1048" s="1"/>
  <c r="O1048"/>
  <c r="L1048"/>
  <c r="P1048"/>
  <c r="P655"/>
  <c r="O655"/>
  <c r="R655"/>
  <c r="T655" s="1"/>
  <c r="U655" s="1"/>
  <c r="L655"/>
  <c r="O702"/>
  <c r="L702"/>
  <c r="R702"/>
  <c r="T702" s="1"/>
  <c r="U702" s="1"/>
  <c r="P702"/>
  <c r="O909"/>
  <c r="P909"/>
  <c r="L909"/>
  <c r="R909"/>
  <c r="T909" s="1"/>
  <c r="U909" s="1"/>
  <c r="L1126"/>
  <c r="P1126"/>
  <c r="O1126"/>
  <c r="O207"/>
  <c r="R207"/>
  <c r="T207" s="1"/>
  <c r="U207" s="1"/>
  <c r="P207"/>
  <c r="L207"/>
  <c r="L438"/>
  <c r="R438"/>
  <c r="T438" s="1"/>
  <c r="U438" s="1"/>
  <c r="P438"/>
  <c r="O438"/>
  <c r="P465"/>
  <c r="R465"/>
  <c r="T465" s="1"/>
  <c r="U465" s="1"/>
  <c r="L465"/>
  <c r="O465"/>
  <c r="Q128" i="26"/>
  <c r="T128"/>
  <c r="N128"/>
  <c r="I128"/>
  <c r="I26"/>
  <c r="Q26"/>
  <c r="N26"/>
  <c r="T26"/>
  <c r="I258"/>
  <c r="Q258"/>
  <c r="T258"/>
  <c r="N258"/>
  <c r="N260"/>
  <c r="I260"/>
  <c r="T259"/>
  <c r="N259"/>
  <c r="I259"/>
  <c r="Q259"/>
  <c r="I188"/>
  <c r="Q188"/>
  <c r="T188"/>
  <c r="N188"/>
  <c r="T154"/>
  <c r="I154"/>
  <c r="Q154"/>
  <c r="N154"/>
  <c r="Q189"/>
  <c r="N189"/>
  <c r="I189"/>
  <c r="T189"/>
  <c r="Q155"/>
  <c r="T155"/>
  <c r="N155"/>
  <c r="I155"/>
  <c r="N255"/>
  <c r="I255"/>
  <c r="Q255"/>
  <c r="T255"/>
  <c r="I454"/>
  <c r="T454"/>
  <c r="N454"/>
  <c r="Q454"/>
  <c r="N236"/>
  <c r="I236"/>
  <c r="T236"/>
  <c r="Q236"/>
  <c r="Q377"/>
  <c r="T377"/>
  <c r="I377"/>
  <c r="Q131"/>
  <c r="T131"/>
  <c r="N131"/>
  <c r="I131"/>
  <c r="N171"/>
  <c r="T171"/>
  <c r="Q171"/>
  <c r="I171"/>
  <c r="T371"/>
  <c r="N371"/>
  <c r="I371"/>
  <c r="Q371"/>
  <c r="Q349"/>
  <c r="I349"/>
  <c r="N349"/>
  <c r="T349"/>
  <c r="I48"/>
  <c r="T48"/>
  <c r="Q48"/>
  <c r="N48"/>
  <c r="Q251"/>
  <c r="I251"/>
  <c r="N251"/>
  <c r="T251"/>
  <c r="Q366"/>
  <c r="T366"/>
  <c r="N366"/>
  <c r="I366"/>
  <c r="Q88"/>
  <c r="I88"/>
  <c r="T88"/>
  <c r="I49"/>
  <c r="T49"/>
  <c r="Q49"/>
  <c r="N49"/>
  <c r="N176"/>
  <c r="T176"/>
  <c r="Q176"/>
  <c r="I176"/>
  <c r="N291"/>
  <c r="Q291"/>
  <c r="T291"/>
  <c r="I291"/>
  <c r="T91"/>
  <c r="N91"/>
  <c r="I91"/>
  <c r="Q91"/>
  <c r="Q252"/>
  <c r="N252"/>
  <c r="I252"/>
  <c r="T47"/>
  <c r="I47"/>
  <c r="Q47"/>
  <c r="N47"/>
  <c r="Q46"/>
  <c r="T46"/>
  <c r="I46"/>
  <c r="N46"/>
  <c r="I254"/>
  <c r="Q254"/>
  <c r="N254"/>
  <c r="T254"/>
  <c r="N455"/>
  <c r="I455"/>
  <c r="T455"/>
  <c r="Q455"/>
  <c r="Q139"/>
  <c r="N139"/>
  <c r="T139"/>
  <c r="I139"/>
  <c r="Q233"/>
  <c r="T233"/>
  <c r="I233"/>
  <c r="N233"/>
  <c r="T363"/>
  <c r="I363"/>
  <c r="Q363"/>
  <c r="N363"/>
  <c r="I13"/>
  <c r="T13"/>
  <c r="N13"/>
  <c r="Q13"/>
  <c r="N37"/>
  <c r="T37"/>
  <c r="I37"/>
  <c r="Q130"/>
  <c r="T130"/>
  <c r="N130"/>
  <c r="Q193"/>
  <c r="T193"/>
  <c r="N193"/>
  <c r="I193"/>
  <c r="Q232"/>
  <c r="N232"/>
  <c r="I232"/>
  <c r="T232"/>
  <c r="N373"/>
  <c r="T373"/>
  <c r="T106"/>
  <c r="N106"/>
  <c r="Q106"/>
  <c r="I106"/>
  <c r="T182"/>
  <c r="I182"/>
  <c r="Q182"/>
  <c r="N256"/>
  <c r="T256"/>
  <c r="N360"/>
  <c r="Q360"/>
  <c r="T360"/>
  <c r="I360"/>
  <c r="Q387"/>
  <c r="I387"/>
  <c r="N387"/>
  <c r="T387"/>
  <c r="T471"/>
  <c r="N471"/>
  <c r="I471"/>
  <c r="Q471"/>
  <c r="Q135"/>
  <c r="I135"/>
  <c r="N135"/>
  <c r="T135"/>
  <c r="I324"/>
  <c r="Q324"/>
  <c r="T324"/>
  <c r="N324"/>
  <c r="T370"/>
  <c r="Q370"/>
  <c r="I370"/>
  <c r="N370"/>
  <c r="N462"/>
  <c r="I462"/>
  <c r="T462"/>
  <c r="Q462"/>
  <c r="T104"/>
  <c r="I104"/>
  <c r="N104"/>
  <c r="Q104"/>
  <c r="N289"/>
  <c r="I289"/>
  <c r="T289"/>
  <c r="Q289"/>
  <c r="T50"/>
  <c r="N50"/>
  <c r="Q50"/>
  <c r="I50"/>
  <c r="T458"/>
  <c r="Q458"/>
  <c r="I458"/>
  <c r="N458"/>
  <c r="N476"/>
  <c r="T476"/>
  <c r="I476"/>
  <c r="Q476"/>
  <c r="N57"/>
  <c r="Q57"/>
  <c r="I57"/>
  <c r="T57"/>
  <c r="Q129"/>
  <c r="I129"/>
  <c r="T129"/>
  <c r="N129"/>
  <c r="N22"/>
  <c r="I22"/>
  <c r="Q22"/>
  <c r="T22"/>
  <c r="N218"/>
  <c r="T218"/>
  <c r="I218"/>
  <c r="Q218"/>
  <c r="N43"/>
  <c r="T43"/>
  <c r="Q43"/>
  <c r="I43"/>
  <c r="I117"/>
  <c r="Q117"/>
  <c r="T117"/>
  <c r="N117"/>
  <c r="T261"/>
  <c r="N261"/>
  <c r="Q261"/>
  <c r="I261"/>
  <c r="Q451"/>
  <c r="I451"/>
  <c r="T451"/>
  <c r="N451"/>
  <c r="T42"/>
  <c r="N42"/>
  <c r="I42"/>
  <c r="Q42"/>
  <c r="Q220"/>
  <c r="I220"/>
  <c r="N220"/>
  <c r="T220"/>
  <c r="N238"/>
  <c r="Q238"/>
  <c r="I238"/>
  <c r="T238"/>
  <c r="N345"/>
  <c r="Q345"/>
  <c r="T345"/>
  <c r="I345"/>
  <c r="Q95"/>
  <c r="N95"/>
  <c r="T95"/>
  <c r="I95"/>
  <c r="Q172"/>
  <c r="N172"/>
  <c r="T172"/>
  <c r="I172"/>
  <c r="Q365"/>
  <c r="N365"/>
  <c r="I365"/>
  <c r="T365"/>
  <c r="N290"/>
  <c r="I290"/>
  <c r="T290"/>
  <c r="Q290"/>
  <c r="N364"/>
  <c r="Q364"/>
  <c r="I364"/>
  <c r="T364"/>
  <c r="I376"/>
  <c r="Q376"/>
  <c r="T376"/>
  <c r="T481"/>
  <c r="I481"/>
  <c r="Q481"/>
  <c r="N481"/>
  <c r="N196"/>
  <c r="T196"/>
  <c r="Q196"/>
  <c r="I196"/>
  <c r="T19"/>
  <c r="N19"/>
  <c r="I19"/>
  <c r="Q19"/>
  <c r="N107"/>
  <c r="T107"/>
  <c r="I107"/>
  <c r="Q107"/>
  <c r="I427"/>
  <c r="T427"/>
  <c r="Q427"/>
  <c r="N427"/>
  <c r="N468"/>
  <c r="T468"/>
  <c r="I468"/>
  <c r="Q468"/>
  <c r="T31"/>
  <c r="Q31"/>
  <c r="N31"/>
  <c r="I31"/>
  <c r="T355"/>
  <c r="Q355"/>
  <c r="I355"/>
  <c r="N355"/>
  <c r="I445"/>
  <c r="T445"/>
  <c r="N445"/>
  <c r="Q445"/>
  <c r="T44"/>
  <c r="Q44"/>
  <c r="I44"/>
  <c r="N44"/>
  <c r="N146"/>
  <c r="Q146"/>
  <c r="T146"/>
  <c r="I146"/>
  <c r="L888" i="12"/>
  <c r="O888"/>
  <c r="P888"/>
  <c r="R888"/>
  <c r="T888" s="1"/>
  <c r="U888" s="1"/>
  <c r="L822"/>
  <c r="R822"/>
  <c r="T822" s="1"/>
  <c r="U822" s="1"/>
  <c r="O822"/>
  <c r="P822"/>
  <c r="O378"/>
  <c r="L378"/>
  <c r="P378"/>
  <c r="R378"/>
  <c r="T378" s="1"/>
  <c r="U378" s="1"/>
  <c r="R887"/>
  <c r="T887" s="1"/>
  <c r="U887" s="1"/>
  <c r="L887"/>
  <c r="O887"/>
  <c r="P887"/>
  <c r="L810"/>
  <c r="O810"/>
  <c r="R810"/>
  <c r="T810" s="1"/>
  <c r="U810" s="1"/>
  <c r="P810"/>
  <c r="P356"/>
  <c r="R356"/>
  <c r="T356" s="1"/>
  <c r="U356" s="1"/>
  <c r="L356"/>
  <c r="O356"/>
  <c r="R1153"/>
  <c r="T1153" s="1"/>
  <c r="U1153" s="1"/>
  <c r="L1153"/>
  <c r="P1153"/>
  <c r="O1153"/>
  <c r="L711"/>
  <c r="P711"/>
  <c r="R711"/>
  <c r="T711" s="1"/>
  <c r="U711" s="1"/>
  <c r="O711"/>
  <c r="P1212"/>
  <c r="R1212"/>
  <c r="T1212" s="1"/>
  <c r="U1212" s="1"/>
  <c r="L1212"/>
  <c r="O1212"/>
  <c r="R912"/>
  <c r="T912" s="1"/>
  <c r="U912" s="1"/>
  <c r="L912"/>
  <c r="O912"/>
  <c r="P912"/>
  <c r="P1350"/>
  <c r="R1350"/>
  <c r="T1350" s="1"/>
  <c r="U1350" s="1"/>
  <c r="L1350"/>
  <c r="O1350"/>
  <c r="L1156"/>
  <c r="R1156"/>
  <c r="T1156" s="1"/>
  <c r="U1156" s="1"/>
  <c r="O1156"/>
  <c r="P1156"/>
  <c r="R647"/>
  <c r="T647" s="1"/>
  <c r="U647" s="1"/>
  <c r="O647"/>
  <c r="P647"/>
  <c r="L647"/>
  <c r="L1024"/>
  <c r="P1024"/>
  <c r="R1024"/>
  <c r="T1024" s="1"/>
  <c r="U1024" s="1"/>
  <c r="O1024"/>
  <c r="L1239"/>
  <c r="P1239"/>
  <c r="O1239"/>
  <c r="R1239"/>
  <c r="T1239" s="1"/>
  <c r="U1239" s="1"/>
  <c r="O1044"/>
  <c r="L1044"/>
  <c r="P1044"/>
  <c r="R1044"/>
  <c r="T1044" s="1"/>
  <c r="U1044" s="1"/>
  <c r="O1485"/>
  <c r="R1485"/>
  <c r="T1485" s="1"/>
  <c r="U1485" s="1"/>
  <c r="L1485"/>
  <c r="P1485"/>
  <c r="P812"/>
  <c r="R812"/>
  <c r="T812" s="1"/>
  <c r="U812" s="1"/>
  <c r="L812"/>
  <c r="O812"/>
  <c r="O1309"/>
  <c r="R1309"/>
  <c r="T1309" s="1"/>
  <c r="U1309" s="1"/>
  <c r="L1309"/>
  <c r="P1309"/>
  <c r="L845"/>
  <c r="O845"/>
  <c r="P845"/>
  <c r="R845"/>
  <c r="T845" s="1"/>
  <c r="U845" s="1"/>
  <c r="R617"/>
  <c r="T617" s="1"/>
  <c r="U617" s="1"/>
  <c r="L617"/>
  <c r="P617"/>
  <c r="O617"/>
  <c r="O503"/>
  <c r="P503"/>
  <c r="R503"/>
  <c r="T503" s="1"/>
  <c r="U503" s="1"/>
  <c r="L503"/>
  <c r="P763"/>
  <c r="R763"/>
  <c r="T763" s="1"/>
  <c r="U763" s="1"/>
  <c r="L763"/>
  <c r="O763"/>
  <c r="R609"/>
  <c r="T609" s="1"/>
  <c r="U609" s="1"/>
  <c r="P609"/>
  <c r="O609"/>
  <c r="L609"/>
  <c r="L1219"/>
  <c r="P1219"/>
  <c r="R1219"/>
  <c r="T1219" s="1"/>
  <c r="U1219" s="1"/>
  <c r="O1219"/>
  <c r="P895"/>
  <c r="R895"/>
  <c r="T895" s="1"/>
  <c r="U895" s="1"/>
  <c r="L895"/>
  <c r="O895"/>
  <c r="P613"/>
  <c r="O613"/>
  <c r="R613"/>
  <c r="T613" s="1"/>
  <c r="U613" s="1"/>
  <c r="L613"/>
  <c r="R916"/>
  <c r="T916" s="1"/>
  <c r="U916" s="1"/>
  <c r="L916"/>
  <c r="O1356"/>
  <c r="R1356"/>
  <c r="T1356" s="1"/>
  <c r="U1356" s="1"/>
  <c r="L1356"/>
  <c r="P1356"/>
  <c r="O728"/>
  <c r="R728"/>
  <c r="T728" s="1"/>
  <c r="U728" s="1"/>
  <c r="L728"/>
  <c r="P728"/>
  <c r="O962"/>
  <c r="P962"/>
  <c r="L838"/>
  <c r="O838"/>
  <c r="P838"/>
  <c r="R838"/>
  <c r="T838" s="1"/>
  <c r="U838" s="1"/>
  <c r="L1363"/>
  <c r="P1363"/>
  <c r="R1363"/>
  <c r="T1363" s="1"/>
  <c r="U1363" s="1"/>
  <c r="O1363"/>
  <c r="L837"/>
  <c r="O837"/>
  <c r="P837"/>
  <c r="R837"/>
  <c r="T837" s="1"/>
  <c r="U837" s="1"/>
  <c r="R1214"/>
  <c r="T1214" s="1"/>
  <c r="U1214" s="1"/>
  <c r="O1214"/>
  <c r="P1214"/>
  <c r="L1214"/>
  <c r="R759"/>
  <c r="T759" s="1"/>
  <c r="U759" s="1"/>
  <c r="P759"/>
  <c r="L759"/>
  <c r="O759"/>
  <c r="L1150"/>
  <c r="O1150"/>
  <c r="R1150"/>
  <c r="T1150" s="1"/>
  <c r="U1150" s="1"/>
  <c r="P1150"/>
  <c r="L762"/>
  <c r="R762"/>
  <c r="T762" s="1"/>
  <c r="U762" s="1"/>
  <c r="O762"/>
  <c r="P762"/>
  <c r="L507"/>
  <c r="O507"/>
  <c r="P507"/>
  <c r="R507"/>
  <c r="T507" s="1"/>
  <c r="U507" s="1"/>
  <c r="R348"/>
  <c r="T348" s="1"/>
  <c r="U348" s="1"/>
  <c r="P348"/>
  <c r="L348"/>
  <c r="O348"/>
  <c r="O913"/>
  <c r="L913"/>
  <c r="P913"/>
  <c r="R913"/>
  <c r="T913" s="1"/>
  <c r="U913" s="1"/>
  <c r="R1315"/>
  <c r="T1315" s="1"/>
  <c r="U1315" s="1"/>
  <c r="O1315"/>
  <c r="P1315"/>
  <c r="L1315"/>
  <c r="R1159"/>
  <c r="T1159" s="1"/>
  <c r="U1159" s="1"/>
  <c r="P1159"/>
  <c r="L1159"/>
  <c r="O1159"/>
  <c r="P1135"/>
  <c r="R1135"/>
  <c r="T1135" s="1"/>
  <c r="U1135" s="1"/>
  <c r="O1135"/>
  <c r="L1135"/>
  <c r="L958"/>
  <c r="P958"/>
  <c r="R958"/>
  <c r="T958" s="1"/>
  <c r="U958" s="1"/>
  <c r="O958"/>
  <c r="L1025"/>
  <c r="R1025"/>
  <c r="T1025" s="1"/>
  <c r="U1025" s="1"/>
  <c r="P1025"/>
  <c r="O1025"/>
  <c r="R1113"/>
  <c r="T1113" s="1"/>
  <c r="U1113" s="1"/>
  <c r="L1113"/>
  <c r="O1113"/>
  <c r="P1113"/>
  <c r="R852"/>
  <c r="T852" s="1"/>
  <c r="U852" s="1"/>
  <c r="L852"/>
  <c r="O852"/>
  <c r="P852"/>
  <c r="O691"/>
  <c r="L691"/>
  <c r="P691"/>
  <c r="R691"/>
  <c r="T691" s="1"/>
  <c r="U691" s="1"/>
  <c r="P1417"/>
  <c r="O1417"/>
  <c r="L1417"/>
  <c r="R1417"/>
  <c r="T1417" s="1"/>
  <c r="U1417" s="1"/>
  <c r="P839"/>
  <c r="R839"/>
  <c r="T839" s="1"/>
  <c r="U839" s="1"/>
  <c r="L839"/>
  <c r="O839"/>
  <c r="L1378"/>
  <c r="P1378"/>
  <c r="O1378"/>
  <c r="R1378"/>
  <c r="T1378" s="1"/>
  <c r="U1378" s="1"/>
  <c r="O957"/>
  <c r="P957"/>
  <c r="R957"/>
  <c r="T957" s="1"/>
  <c r="U957" s="1"/>
  <c r="L957"/>
  <c r="O1323"/>
  <c r="R1323"/>
  <c r="T1323" s="1"/>
  <c r="U1323" s="1"/>
  <c r="L1323"/>
  <c r="P1323"/>
  <c r="P841"/>
  <c r="L841"/>
  <c r="O841"/>
  <c r="R841"/>
  <c r="T841" s="1"/>
  <c r="U841" s="1"/>
  <c r="L917"/>
  <c r="R917"/>
  <c r="T917" s="1"/>
  <c r="U917" s="1"/>
  <c r="O917"/>
  <c r="P917"/>
  <c r="O1353"/>
  <c r="P1353"/>
  <c r="R1353"/>
  <c r="T1353" s="1"/>
  <c r="U1353" s="1"/>
  <c r="L1353"/>
  <c r="O893"/>
  <c r="R893"/>
  <c r="T893" s="1"/>
  <c r="U893" s="1"/>
  <c r="L893"/>
  <c r="P893"/>
  <c r="R1242"/>
  <c r="T1242" s="1"/>
  <c r="U1242" s="1"/>
  <c r="L1242"/>
  <c r="P1242"/>
  <c r="O1242"/>
  <c r="L853"/>
  <c r="P853"/>
  <c r="R853"/>
  <c r="T853" s="1"/>
  <c r="U853" s="1"/>
  <c r="O853"/>
  <c r="P1480"/>
  <c r="R1480"/>
  <c r="T1480" s="1"/>
  <c r="U1480" s="1"/>
  <c r="O1480"/>
  <c r="L1480"/>
  <c r="O897"/>
  <c r="R897"/>
  <c r="T897" s="1"/>
  <c r="U897" s="1"/>
  <c r="L897"/>
  <c r="P897"/>
  <c r="P587"/>
  <c r="R587"/>
  <c r="T587" s="1"/>
  <c r="U587" s="1"/>
  <c r="L587"/>
  <c r="O587"/>
  <c r="P959"/>
  <c r="R959"/>
  <c r="T959" s="1"/>
  <c r="U959" s="1"/>
  <c r="L959"/>
  <c r="O959"/>
  <c r="R1352"/>
  <c r="T1352" s="1"/>
  <c r="U1352" s="1"/>
  <c r="P1352"/>
  <c r="L1352"/>
  <c r="O1352"/>
  <c r="P894"/>
  <c r="R894"/>
  <c r="T894" s="1"/>
  <c r="U894" s="1"/>
  <c r="L894"/>
  <c r="O894"/>
  <c r="L1243"/>
  <c r="O1243"/>
  <c r="R1243"/>
  <c r="T1243" s="1"/>
  <c r="U1243" s="1"/>
  <c r="P1243"/>
  <c r="O951"/>
  <c r="P951"/>
  <c r="R951"/>
  <c r="T951" s="1"/>
  <c r="U951" s="1"/>
  <c r="L951"/>
  <c r="L1354"/>
  <c r="O1354"/>
  <c r="R1354"/>
  <c r="T1354" s="1"/>
  <c r="U1354" s="1"/>
  <c r="P1354"/>
  <c r="P807"/>
  <c r="R807"/>
  <c r="T807" s="1"/>
  <c r="U807" s="1"/>
  <c r="L807"/>
  <c r="O807"/>
  <c r="R911"/>
  <c r="T911" s="1"/>
  <c r="U911" s="1"/>
  <c r="O911"/>
  <c r="P911"/>
  <c r="L911"/>
  <c r="O732"/>
  <c r="P732"/>
  <c r="R732"/>
  <c r="T732" s="1"/>
  <c r="U732" s="1"/>
  <c r="L732"/>
  <c r="O1241"/>
  <c r="L1241"/>
  <c r="P1241"/>
  <c r="R1241"/>
  <c r="T1241" s="1"/>
  <c r="U1241" s="1"/>
  <c r="R896"/>
  <c r="T896" s="1"/>
  <c r="U896" s="1"/>
  <c r="L896"/>
  <c r="O896"/>
  <c r="P896"/>
  <c r="P509"/>
  <c r="R509"/>
  <c r="T509" s="1"/>
  <c r="U509" s="1"/>
  <c r="O509"/>
  <c r="L509"/>
  <c r="L1045"/>
  <c r="O1045"/>
  <c r="R1045"/>
  <c r="T1045" s="1"/>
  <c r="U1045" s="1"/>
  <c r="P1045"/>
  <c r="O820"/>
  <c r="P820"/>
  <c r="R820"/>
  <c r="T820" s="1"/>
  <c r="U820" s="1"/>
  <c r="L820"/>
  <c r="O586"/>
  <c r="P586"/>
  <c r="L1218"/>
  <c r="R1218"/>
  <c r="T1218" s="1"/>
  <c r="U1218" s="1"/>
  <c r="R1062"/>
  <c r="T1062" s="1"/>
  <c r="U1062" s="1"/>
  <c r="P1062"/>
  <c r="O1062"/>
  <c r="L1062"/>
  <c r="O988"/>
  <c r="P988"/>
  <c r="R988"/>
  <c r="T988" s="1"/>
  <c r="U988" s="1"/>
  <c r="L988"/>
  <c r="L983"/>
  <c r="P983"/>
  <c r="R983"/>
  <c r="T983" s="1"/>
  <c r="U983" s="1"/>
  <c r="O983"/>
  <c r="R915"/>
  <c r="T915" s="1"/>
  <c r="U915" s="1"/>
  <c r="L915"/>
  <c r="O915"/>
  <c r="P915"/>
  <c r="L544"/>
  <c r="R544"/>
  <c r="T544" s="1"/>
  <c r="U544" s="1"/>
  <c r="O544"/>
  <c r="P544"/>
  <c r="L1215"/>
  <c r="P1215"/>
  <c r="O1215"/>
  <c r="R1215"/>
  <c r="T1215" s="1"/>
  <c r="U1215" s="1"/>
  <c r="P891"/>
  <c r="O891"/>
  <c r="R891"/>
  <c r="T891" s="1"/>
  <c r="U891" s="1"/>
  <c r="L891"/>
  <c r="O726"/>
  <c r="R726"/>
  <c r="T726" s="1"/>
  <c r="U726" s="1"/>
  <c r="L726"/>
  <c r="P726"/>
  <c r="P1290"/>
  <c r="R1290"/>
  <c r="T1290" s="1"/>
  <c r="U1290" s="1"/>
  <c r="L1290"/>
  <c r="O1290"/>
  <c r="P950"/>
  <c r="R950"/>
  <c r="T950" s="1"/>
  <c r="U950" s="1"/>
  <c r="L950"/>
  <c r="O950"/>
  <c r="R1360"/>
  <c r="T1360" s="1"/>
  <c r="U1360" s="1"/>
  <c r="P1360"/>
  <c r="L1360"/>
  <c r="O1360"/>
  <c r="P849"/>
  <c r="O849"/>
  <c r="R849"/>
  <c r="T849" s="1"/>
  <c r="U849" s="1"/>
  <c r="L849"/>
  <c r="R1222"/>
  <c r="T1222" s="1"/>
  <c r="U1222" s="1"/>
  <c r="O1222"/>
  <c r="P1222"/>
  <c r="L1222"/>
  <c r="R1134"/>
  <c r="T1134" s="1"/>
  <c r="U1134" s="1"/>
  <c r="O1134"/>
  <c r="L1134"/>
  <c r="P1134"/>
  <c r="O1351"/>
  <c r="P1351"/>
  <c r="R1351"/>
  <c r="T1351" s="1"/>
  <c r="U1351" s="1"/>
  <c r="L1351"/>
  <c r="R727"/>
  <c r="T727" s="1"/>
  <c r="U727" s="1"/>
  <c r="P727"/>
  <c r="L727"/>
  <c r="O727"/>
  <c r="R836"/>
  <c r="T836" s="1"/>
  <c r="U836" s="1"/>
  <c r="P836"/>
  <c r="L836"/>
  <c r="O836"/>
  <c r="P1205"/>
  <c r="O1205"/>
  <c r="R1205"/>
  <c r="T1205" s="1"/>
  <c r="U1205" s="1"/>
  <c r="L1205"/>
  <c r="O758"/>
  <c r="P758"/>
  <c r="L758"/>
  <c r="R758"/>
  <c r="T758" s="1"/>
  <c r="U758" s="1"/>
  <c r="L952"/>
  <c r="O952"/>
  <c r="P952"/>
  <c r="R952"/>
  <c r="T952" s="1"/>
  <c r="U952" s="1"/>
  <c r="R919"/>
  <c r="T919" s="1"/>
  <c r="U919" s="1"/>
  <c r="L919"/>
  <c r="P919"/>
  <c r="O919"/>
  <c r="R757"/>
  <c r="T757" s="1"/>
  <c r="U757" s="1"/>
  <c r="L757"/>
  <c r="O757"/>
  <c r="P757"/>
  <c r="L1190"/>
  <c r="O1190"/>
  <c r="P1190"/>
  <c r="R1190"/>
  <c r="T1190" s="1"/>
  <c r="U1190" s="1"/>
  <c r="R1221"/>
  <c r="T1221" s="1"/>
  <c r="U1221" s="1"/>
  <c r="O1221"/>
  <c r="P1221"/>
  <c r="L1221"/>
  <c r="R585"/>
  <c r="T585" s="1"/>
  <c r="U585" s="1"/>
  <c r="L585"/>
  <c r="O585"/>
  <c r="P585"/>
  <c r="R1359"/>
  <c r="T1359" s="1"/>
  <c r="U1359" s="1"/>
  <c r="O1359"/>
  <c r="L1359"/>
  <c r="P1359"/>
  <c r="P774"/>
  <c r="R774"/>
  <c r="T774" s="1"/>
  <c r="U774" s="1"/>
  <c r="L774"/>
  <c r="O774"/>
  <c r="R656"/>
  <c r="T656" s="1"/>
  <c r="U656" s="1"/>
  <c r="L656"/>
  <c r="P656"/>
  <c r="O656"/>
  <c r="L1100"/>
  <c r="O1100"/>
  <c r="P1100"/>
  <c r="R1100"/>
  <c r="T1100" s="1"/>
  <c r="U1100" s="1"/>
  <c r="L956"/>
  <c r="O956"/>
  <c r="P956"/>
  <c r="R956"/>
  <c r="T956" s="1"/>
  <c r="U956" s="1"/>
  <c r="R1357"/>
  <c r="T1357" s="1"/>
  <c r="U1357" s="1"/>
  <c r="P1357"/>
  <c r="L1357"/>
  <c r="O1357"/>
  <c r="L1066"/>
  <c r="O1066"/>
  <c r="P1066"/>
  <c r="R1066"/>
  <c r="T1066" s="1"/>
  <c r="U1066" s="1"/>
  <c r="P1216"/>
  <c r="R1216"/>
  <c r="T1216" s="1"/>
  <c r="U1216" s="1"/>
  <c r="L1216"/>
  <c r="O1216"/>
  <c r="R346"/>
  <c r="T346" s="1"/>
  <c r="U346" s="1"/>
  <c r="O346"/>
  <c r="P346"/>
  <c r="L346"/>
  <c r="R1191"/>
  <c r="T1191" s="1"/>
  <c r="U1191" s="1"/>
  <c r="P1191"/>
  <c r="L1191"/>
  <c r="O1191"/>
  <c r="R811"/>
  <c r="T811" s="1"/>
  <c r="U811" s="1"/>
  <c r="O811"/>
  <c r="P811"/>
  <c r="L811"/>
  <c r="P1018"/>
  <c r="R1018"/>
  <c r="T1018" s="1"/>
  <c r="U1018" s="1"/>
  <c r="O1018"/>
  <c r="L1018"/>
  <c r="P1063"/>
  <c r="L1063"/>
  <c r="P1039"/>
  <c r="R1039"/>
  <c r="T1039" s="1"/>
  <c r="U1039" s="1"/>
  <c r="P661"/>
  <c r="O661"/>
  <c r="R1038"/>
  <c r="T1038" s="1"/>
  <c r="U1038" s="1"/>
  <c r="L1038"/>
  <c r="O1038"/>
  <c r="P1038"/>
  <c r="P1108"/>
  <c r="O1108"/>
  <c r="R1108"/>
  <c r="T1108" s="1"/>
  <c r="U1108" s="1"/>
  <c r="L1108"/>
  <c r="O1042"/>
  <c r="P1042"/>
  <c r="R1042"/>
  <c r="T1042" s="1"/>
  <c r="U1042" s="1"/>
  <c r="L1042"/>
  <c r="R354"/>
  <c r="T354" s="1"/>
  <c r="U354" s="1"/>
  <c r="L354"/>
  <c r="O354"/>
  <c r="P354"/>
  <c r="R1318"/>
  <c r="T1318" s="1"/>
  <c r="U1318" s="1"/>
  <c r="L1318"/>
  <c r="O1318"/>
  <c r="P1318"/>
  <c r="L892"/>
  <c r="R892"/>
  <c r="T892" s="1"/>
  <c r="U892" s="1"/>
  <c r="O892"/>
  <c r="P892"/>
  <c r="L806"/>
  <c r="P806"/>
  <c r="O806"/>
  <c r="R806"/>
  <c r="T806" s="1"/>
  <c r="U806" s="1"/>
  <c r="R500"/>
  <c r="T500" s="1"/>
  <c r="U500" s="1"/>
  <c r="O500"/>
  <c r="L500"/>
  <c r="P500"/>
  <c r="L1041"/>
  <c r="P1041"/>
  <c r="O1041"/>
  <c r="R1041"/>
  <c r="T1041" s="1"/>
  <c r="U1041" s="1"/>
  <c r="L815"/>
  <c r="P815"/>
  <c r="R815"/>
  <c r="T815" s="1"/>
  <c r="U815" s="1"/>
  <c r="O815"/>
  <c r="R347"/>
  <c r="T347" s="1"/>
  <c r="U347" s="1"/>
  <c r="O347"/>
  <c r="P347"/>
  <c r="L347"/>
  <c r="P594"/>
  <c r="L594"/>
  <c r="O594"/>
  <c r="R594"/>
  <c r="T594" s="1"/>
  <c r="U594" s="1"/>
  <c r="L1213"/>
  <c r="P1213"/>
  <c r="R1213"/>
  <c r="T1213" s="1"/>
  <c r="U1213" s="1"/>
  <c r="O1213"/>
  <c r="R1104"/>
  <c r="T1104" s="1"/>
  <c r="U1104" s="1"/>
  <c r="O1104"/>
  <c r="P1104"/>
  <c r="L1104"/>
  <c r="L1217"/>
  <c r="O1217"/>
  <c r="P1217"/>
  <c r="R1217"/>
  <c r="T1217" s="1"/>
  <c r="U1217" s="1"/>
  <c r="R1109"/>
  <c r="T1109" s="1"/>
  <c r="U1109" s="1"/>
  <c r="L1109"/>
  <c r="O1109"/>
  <c r="P1109"/>
  <c r="R953"/>
  <c r="T953" s="1"/>
  <c r="U953" s="1"/>
  <c r="O953"/>
  <c r="P953"/>
  <c r="L953"/>
  <c r="R1107"/>
  <c r="T1107" s="1"/>
  <c r="U1107" s="1"/>
  <c r="L1107"/>
  <c r="P1107"/>
  <c r="O1107"/>
  <c r="P735"/>
  <c r="R735"/>
  <c r="T735" s="1"/>
  <c r="U735" s="1"/>
  <c r="O735"/>
  <c r="L735"/>
  <c r="O536"/>
  <c r="L536"/>
  <c r="P536"/>
  <c r="R536"/>
  <c r="T536" s="1"/>
  <c r="U536" s="1"/>
  <c r="O1037"/>
  <c r="L1037"/>
  <c r="P1037"/>
  <c r="R1037"/>
  <c r="T1037" s="1"/>
  <c r="U1037" s="1"/>
  <c r="O678"/>
  <c r="R678"/>
  <c r="T678" s="1"/>
  <c r="U678" s="1"/>
  <c r="P678"/>
  <c r="L678"/>
  <c r="R920"/>
  <c r="T920" s="1"/>
  <c r="U920" s="1"/>
  <c r="L920"/>
  <c r="O920"/>
  <c r="P920"/>
  <c r="P960"/>
  <c r="R960"/>
  <c r="T960" s="1"/>
  <c r="U960" s="1"/>
  <c r="L960"/>
  <c r="O960"/>
  <c r="O1247"/>
  <c r="L1247"/>
  <c r="P1247"/>
  <c r="R1247"/>
  <c r="T1247" s="1"/>
  <c r="U1247" s="1"/>
  <c r="R592"/>
  <c r="T592" s="1"/>
  <c r="U592" s="1"/>
  <c r="O592"/>
  <c r="P592"/>
  <c r="L592"/>
  <c r="L1201"/>
  <c r="O1201"/>
  <c r="R1201"/>
  <c r="T1201" s="1"/>
  <c r="U1201" s="1"/>
  <c r="P1201"/>
  <c r="O309"/>
  <c r="P309"/>
  <c r="R309"/>
  <c r="T309" s="1"/>
  <c r="U309" s="1"/>
  <c r="L309"/>
  <c r="R1188"/>
  <c r="T1188" s="1"/>
  <c r="U1188" s="1"/>
  <c r="L1188"/>
  <c r="O1188"/>
  <c r="P1188"/>
  <c r="O314"/>
  <c r="P314"/>
  <c r="L314"/>
  <c r="R314"/>
  <c r="T314" s="1"/>
  <c r="U314" s="1"/>
  <c r="L955"/>
  <c r="O955"/>
  <c r="P955"/>
  <c r="R955"/>
  <c r="T955" s="1"/>
  <c r="U955" s="1"/>
  <c r="P737"/>
  <c r="O737"/>
  <c r="R737"/>
  <c r="T737" s="1"/>
  <c r="U737" s="1"/>
  <c r="L737"/>
  <c r="R1245"/>
  <c r="T1245" s="1"/>
  <c r="U1245" s="1"/>
  <c r="O1245"/>
  <c r="L1245"/>
  <c r="P1245"/>
  <c r="O890"/>
  <c r="R890"/>
  <c r="T890" s="1"/>
  <c r="U890" s="1"/>
  <c r="L890"/>
  <c r="P890"/>
  <c r="R697"/>
  <c r="T697" s="1"/>
  <c r="U697" s="1"/>
  <c r="L697"/>
  <c r="O697"/>
  <c r="P697"/>
  <c r="L1310"/>
  <c r="O1310"/>
  <c r="R1310"/>
  <c r="T1310" s="1"/>
  <c r="U1310" s="1"/>
  <c r="P1310"/>
  <c r="O611"/>
  <c r="P611"/>
  <c r="R611"/>
  <c r="T611" s="1"/>
  <c r="U611" s="1"/>
  <c r="L611"/>
  <c r="P844"/>
  <c r="R844"/>
  <c r="T844" s="1"/>
  <c r="U844" s="1"/>
  <c r="O844"/>
  <c r="L844"/>
  <c r="L987"/>
  <c r="P987"/>
  <c r="O987"/>
  <c r="R987"/>
  <c r="T987" s="1"/>
  <c r="U987" s="1"/>
  <c r="L1154"/>
  <c r="O1154"/>
  <c r="P1154"/>
  <c r="R1154"/>
  <c r="T1154" s="1"/>
  <c r="U1154" s="1"/>
  <c r="L766"/>
  <c r="O766"/>
  <c r="P766"/>
  <c r="R766"/>
  <c r="T766" s="1"/>
  <c r="U766" s="1"/>
  <c r="L680"/>
  <c r="R680"/>
  <c r="T680" s="1"/>
  <c r="U680" s="1"/>
  <c r="O680"/>
  <c r="P680"/>
  <c r="O595"/>
  <c r="P595"/>
  <c r="R595"/>
  <c r="T595" s="1"/>
  <c r="U595" s="1"/>
  <c r="L595"/>
  <c r="L1164"/>
  <c r="P1164"/>
  <c r="L1312"/>
  <c r="O1312"/>
  <c r="R1312"/>
  <c r="T1312" s="1"/>
  <c r="U1312" s="1"/>
  <c r="P1312"/>
  <c r="O1152"/>
  <c r="P1152"/>
  <c r="R1152"/>
  <c r="T1152" s="1"/>
  <c r="U1152" s="1"/>
  <c r="L1152"/>
  <c r="P1313"/>
  <c r="O1313"/>
  <c r="R1313"/>
  <c r="T1313" s="1"/>
  <c r="U1313" s="1"/>
  <c r="L1313"/>
  <c r="O725"/>
  <c r="P725"/>
  <c r="R725"/>
  <c r="T725" s="1"/>
  <c r="U725" s="1"/>
  <c r="L725"/>
  <c r="R840"/>
  <c r="T840" s="1"/>
  <c r="U840" s="1"/>
  <c r="P840"/>
  <c r="L840"/>
  <c r="O840"/>
  <c r="O982"/>
  <c r="L982"/>
  <c r="P982"/>
  <c r="R982"/>
  <c r="T982" s="1"/>
  <c r="U982" s="1"/>
  <c r="R1457"/>
  <c r="T1457" s="1"/>
  <c r="U1457" s="1"/>
  <c r="P1457"/>
  <c r="L1457"/>
  <c r="O1457"/>
  <c r="O843"/>
  <c r="P843"/>
  <c r="L843"/>
  <c r="R843"/>
  <c r="T843" s="1"/>
  <c r="U843" s="1"/>
  <c r="L1101"/>
  <c r="P1101"/>
  <c r="R1101"/>
  <c r="T1101" s="1"/>
  <c r="U1101" s="1"/>
  <c r="O1101"/>
  <c r="O1034"/>
  <c r="R1034"/>
  <c r="T1034" s="1"/>
  <c r="U1034" s="1"/>
  <c r="L1034"/>
  <c r="P1034"/>
  <c r="L588"/>
  <c r="P588"/>
  <c r="R588"/>
  <c r="T588" s="1"/>
  <c r="U588" s="1"/>
  <c r="O588"/>
  <c r="L1105"/>
  <c r="O1105"/>
  <c r="P1105"/>
  <c r="R1105"/>
  <c r="T1105" s="1"/>
  <c r="U1105" s="1"/>
  <c r="R954"/>
  <c r="T954" s="1"/>
  <c r="U954" s="1"/>
  <c r="L954"/>
  <c r="O954"/>
  <c r="P954"/>
  <c r="R1040"/>
  <c r="T1040" s="1"/>
  <c r="U1040" s="1"/>
  <c r="L1040"/>
  <c r="O1040"/>
  <c r="P1040"/>
  <c r="L1132"/>
  <c r="P1132"/>
  <c r="O1132"/>
  <c r="R1132"/>
  <c r="T1132" s="1"/>
  <c r="U1132" s="1"/>
  <c r="R593"/>
  <c r="T593" s="1"/>
  <c r="U593" s="1"/>
  <c r="L593"/>
  <c r="O593"/>
  <c r="P593"/>
  <c r="P1070"/>
  <c r="R1070"/>
  <c r="T1070" s="1"/>
  <c r="U1070" s="1"/>
  <c r="L1070"/>
  <c r="O1070"/>
  <c r="P1355"/>
  <c r="L1355"/>
  <c r="O1355"/>
  <c r="R1355"/>
  <c r="T1355" s="1"/>
  <c r="U1355" s="1"/>
  <c r="P1035"/>
  <c r="L1035"/>
  <c r="O1035"/>
  <c r="R1035"/>
  <c r="T1035" s="1"/>
  <c r="U1035" s="1"/>
  <c r="O761"/>
  <c r="P761"/>
  <c r="L761"/>
  <c r="R761"/>
  <c r="T761" s="1"/>
  <c r="U761" s="1"/>
  <c r="O1253"/>
  <c r="L1253"/>
  <c r="P1253"/>
  <c r="R1253"/>
  <c r="T1253" s="1"/>
  <c r="U1253" s="1"/>
  <c r="L889"/>
  <c r="O889"/>
  <c r="P889"/>
  <c r="R889"/>
  <c r="T889" s="1"/>
  <c r="U889" s="1"/>
  <c r="L842"/>
  <c r="O842"/>
  <c r="P842"/>
  <c r="R842"/>
  <c r="T842" s="1"/>
  <c r="U842" s="1"/>
  <c r="O660"/>
  <c r="L660"/>
  <c r="P660"/>
  <c r="R660"/>
  <c r="T660" s="1"/>
  <c r="U660" s="1"/>
  <c r="O1114"/>
  <c r="P1114"/>
  <c r="R1114"/>
  <c r="T1114" s="1"/>
  <c r="U1114" s="1"/>
  <c r="L1114"/>
  <c r="O823"/>
  <c r="P823"/>
  <c r="R823"/>
  <c r="T823" s="1"/>
  <c r="U823" s="1"/>
  <c r="L823"/>
  <c r="O1046"/>
  <c r="P1046"/>
  <c r="R1046"/>
  <c r="T1046" s="1"/>
  <c r="U1046" s="1"/>
  <c r="L1046"/>
  <c r="O850"/>
  <c r="P850"/>
  <c r="R850"/>
  <c r="T850" s="1"/>
  <c r="U850" s="1"/>
  <c r="L850"/>
  <c r="R738"/>
  <c r="T738" s="1"/>
  <c r="U738" s="1"/>
  <c r="L738"/>
  <c r="O738"/>
  <c r="P738"/>
  <c r="L1317"/>
  <c r="P1317"/>
  <c r="O1317"/>
  <c r="R1317"/>
  <c r="T1317" s="1"/>
  <c r="U1317" s="1"/>
  <c r="R1036"/>
  <c r="T1036" s="1"/>
  <c r="U1036" s="1"/>
  <c r="O1036"/>
  <c r="L1036"/>
  <c r="P1036"/>
  <c r="L764"/>
  <c r="O764"/>
  <c r="P764"/>
  <c r="R764"/>
  <c r="T764" s="1"/>
  <c r="U764" s="1"/>
  <c r="O1155"/>
  <c r="P1155"/>
  <c r="R1155"/>
  <c r="T1155" s="1"/>
  <c r="U1155" s="1"/>
  <c r="L1155"/>
  <c r="O710"/>
  <c r="P710"/>
  <c r="R710"/>
  <c r="T710" s="1"/>
  <c r="U710" s="1"/>
  <c r="L710"/>
  <c r="R963"/>
  <c r="T963" s="1"/>
  <c r="U963" s="1"/>
  <c r="L963"/>
  <c r="O963"/>
  <c r="P963"/>
  <c r="R1365"/>
  <c r="T1365" s="1"/>
  <c r="U1365" s="1"/>
  <c r="P1365"/>
  <c r="L1365"/>
  <c r="O1365"/>
  <c r="P1019"/>
  <c r="R1019"/>
  <c r="T1019" s="1"/>
  <c r="U1019" s="1"/>
  <c r="L1019"/>
  <c r="O1019"/>
  <c r="R692"/>
  <c r="T692" s="1"/>
  <c r="U692" s="1"/>
  <c r="L692"/>
  <c r="O692"/>
  <c r="P692"/>
  <c r="P1486"/>
  <c r="R1486"/>
  <c r="T1486" s="1"/>
  <c r="U1486" s="1"/>
  <c r="L1486"/>
  <c r="O1486"/>
  <c r="P1358"/>
  <c r="L1358"/>
  <c r="O1358"/>
  <c r="R1358"/>
  <c r="T1358" s="1"/>
  <c r="U1358" s="1"/>
  <c r="O698"/>
  <c r="P698"/>
  <c r="R698"/>
  <c r="T698" s="1"/>
  <c r="U698" s="1"/>
  <c r="L698"/>
  <c r="L1314"/>
  <c r="P1314"/>
  <c r="O1314"/>
  <c r="R1314"/>
  <c r="T1314" s="1"/>
  <c r="U1314" s="1"/>
  <c r="R1220"/>
  <c r="T1220" s="1"/>
  <c r="U1220" s="1"/>
  <c r="L1220"/>
  <c r="O1220"/>
  <c r="P1220"/>
  <c r="L1161"/>
  <c r="P1161"/>
  <c r="O1161"/>
  <c r="R1161"/>
  <c r="T1161" s="1"/>
  <c r="U1161" s="1"/>
  <c r="P914"/>
  <c r="L914"/>
  <c r="O914"/>
  <c r="R914"/>
  <c r="T914" s="1"/>
  <c r="U914" s="1"/>
  <c r="P120"/>
  <c r="L120"/>
  <c r="O120"/>
  <c r="R120"/>
  <c r="T120" s="1"/>
  <c r="U120" s="1"/>
  <c r="L160"/>
  <c r="O160"/>
  <c r="P160"/>
  <c r="R160"/>
  <c r="T160" s="1"/>
  <c r="U160" s="1"/>
  <c r="L61"/>
  <c r="P61"/>
  <c r="R61"/>
  <c r="T61" s="1"/>
  <c r="U61" s="1"/>
  <c r="O61"/>
  <c r="R1366"/>
  <c r="T1366" s="1"/>
  <c r="U1366" s="1"/>
  <c r="O1366"/>
  <c r="P1366"/>
  <c r="L1366"/>
  <c r="O210"/>
  <c r="P210"/>
  <c r="R210"/>
  <c r="T210" s="1"/>
  <c r="U210" s="1"/>
  <c r="L210"/>
  <c r="R166"/>
  <c r="T166" s="1"/>
  <c r="U166" s="1"/>
  <c r="P166"/>
  <c r="L166"/>
  <c r="O166"/>
  <c r="R216"/>
  <c r="T216" s="1"/>
  <c r="U216" s="1"/>
  <c r="L216"/>
  <c r="O216"/>
  <c r="P216"/>
  <c r="O552"/>
  <c r="L552"/>
  <c r="P552"/>
  <c r="R552"/>
  <c r="T552" s="1"/>
  <c r="U552" s="1"/>
  <c r="R599"/>
  <c r="T599" s="1"/>
  <c r="U599" s="1"/>
  <c r="L599"/>
  <c r="P599"/>
  <c r="O599"/>
  <c r="P601"/>
  <c r="R601"/>
  <c r="T601" s="1"/>
  <c r="U601" s="1"/>
  <c r="O601"/>
  <c r="L601"/>
  <c r="O60"/>
  <c r="R60"/>
  <c r="T60" s="1"/>
  <c r="U60" s="1"/>
  <c r="L60"/>
  <c r="P60"/>
  <c r="R360"/>
  <c r="T360" s="1"/>
  <c r="U360" s="1"/>
  <c r="L360"/>
  <c r="O360"/>
  <c r="P360"/>
  <c r="R227"/>
  <c r="T227" s="1"/>
  <c r="U227" s="1"/>
  <c r="L227"/>
  <c r="O227"/>
  <c r="P227"/>
  <c r="L591"/>
  <c r="R591"/>
  <c r="T591" s="1"/>
  <c r="U591" s="1"/>
  <c r="O591"/>
  <c r="P591"/>
  <c r="P209"/>
  <c r="R209"/>
  <c r="T209" s="1"/>
  <c r="U209" s="1"/>
  <c r="L209"/>
  <c r="O209"/>
  <c r="P141"/>
  <c r="R141"/>
  <c r="T141" s="1"/>
  <c r="U141" s="1"/>
  <c r="L141"/>
  <c r="O141"/>
  <c r="O168"/>
  <c r="P168"/>
  <c r="R168"/>
  <c r="T168" s="1"/>
  <c r="U168" s="1"/>
  <c r="L168"/>
  <c r="R671"/>
  <c r="T671" s="1"/>
  <c r="U671" s="1"/>
  <c r="O671"/>
  <c r="L671"/>
  <c r="P671"/>
  <c r="L137"/>
  <c r="O137"/>
  <c r="R137"/>
  <c r="T137" s="1"/>
  <c r="U137" s="1"/>
  <c r="P137"/>
  <c r="O208"/>
  <c r="L208"/>
  <c r="P208"/>
  <c r="R208"/>
  <c r="T208" s="1"/>
  <c r="U208" s="1"/>
  <c r="L353"/>
  <c r="O353"/>
  <c r="R353"/>
  <c r="T353" s="1"/>
  <c r="U353" s="1"/>
  <c r="P353"/>
  <c r="L58"/>
  <c r="O58"/>
  <c r="P58"/>
  <c r="R58"/>
  <c r="T58" s="1"/>
  <c r="U58" s="1"/>
  <c r="R77"/>
  <c r="T77" s="1"/>
  <c r="U77" s="1"/>
  <c r="L77"/>
  <c r="P77"/>
  <c r="O77"/>
  <c r="R470"/>
  <c r="T470" s="1"/>
  <c r="U470" s="1"/>
  <c r="L470"/>
  <c r="O470"/>
  <c r="P470"/>
  <c r="L159"/>
  <c r="P159"/>
  <c r="O159"/>
  <c r="R159"/>
  <c r="T159" s="1"/>
  <c r="U159" s="1"/>
  <c r="L703"/>
  <c r="R703"/>
  <c r="T703" s="1"/>
  <c r="U703" s="1"/>
  <c r="P703"/>
  <c r="O703"/>
  <c r="P75"/>
  <c r="R75"/>
  <c r="T75" s="1"/>
  <c r="U75" s="1"/>
  <c r="L75"/>
  <c r="O75"/>
  <c r="P67"/>
  <c r="R67"/>
  <c r="T67" s="1"/>
  <c r="U67" s="1"/>
  <c r="L67"/>
  <c r="O67"/>
  <c r="L1228"/>
  <c r="O1228"/>
  <c r="P1228"/>
  <c r="R1228"/>
  <c r="T1228" s="1"/>
  <c r="U1228" s="1"/>
  <c r="R683"/>
  <c r="T683" s="1"/>
  <c r="U683" s="1"/>
  <c r="O683"/>
  <c r="P683"/>
  <c r="L683"/>
  <c r="O589"/>
  <c r="P589"/>
  <c r="R589"/>
  <c r="T589" s="1"/>
  <c r="U589" s="1"/>
  <c r="L589"/>
  <c r="R70"/>
  <c r="T70" s="1"/>
  <c r="U70" s="1"/>
  <c r="L70"/>
  <c r="O70"/>
  <c r="P70"/>
  <c r="O968"/>
  <c r="P968"/>
  <c r="R968"/>
  <c r="T968" s="1"/>
  <c r="U968" s="1"/>
  <c r="L968"/>
  <c r="R521"/>
  <c r="T521" s="1"/>
  <c r="U521" s="1"/>
  <c r="O521"/>
  <c r="P521"/>
  <c r="L521"/>
  <c r="P83"/>
  <c r="O83"/>
  <c r="R83"/>
  <c r="T83" s="1"/>
  <c r="U83" s="1"/>
  <c r="L83"/>
  <c r="R131"/>
  <c r="T131" s="1"/>
  <c r="U131" s="1"/>
  <c r="L131"/>
  <c r="O131"/>
  <c r="P131"/>
  <c r="O286"/>
  <c r="P286"/>
  <c r="R286"/>
  <c r="T286" s="1"/>
  <c r="U286" s="1"/>
  <c r="L286"/>
  <c r="P1250"/>
  <c r="O1250"/>
  <c r="L1250"/>
  <c r="R1250"/>
  <c r="T1250" s="1"/>
  <c r="U1250" s="1"/>
  <c r="O1320"/>
  <c r="R1320"/>
  <c r="T1320" s="1"/>
  <c r="U1320" s="1"/>
  <c r="L1320"/>
  <c r="P1320"/>
  <c r="R81"/>
  <c r="T81" s="1"/>
  <c r="U81" s="1"/>
  <c r="L81"/>
  <c r="O81"/>
  <c r="P81"/>
  <c r="L64"/>
  <c r="O64"/>
  <c r="P64"/>
  <c r="R64"/>
  <c r="T64" s="1"/>
  <c r="U64" s="1"/>
  <c r="R221"/>
  <c r="T221" s="1"/>
  <c r="U221" s="1"/>
  <c r="L221"/>
  <c r="O221"/>
  <c r="P221"/>
  <c r="L307"/>
  <c r="P307"/>
  <c r="O307"/>
  <c r="R307"/>
  <c r="T307" s="1"/>
  <c r="U307" s="1"/>
  <c r="L1226"/>
  <c r="P1226"/>
  <c r="R1226"/>
  <c r="T1226" s="1"/>
  <c r="U1226" s="1"/>
  <c r="O1226"/>
  <c r="L310"/>
  <c r="O310"/>
  <c r="P310"/>
  <c r="R310"/>
  <c r="T310" s="1"/>
  <c r="U310" s="1"/>
  <c r="L192"/>
  <c r="O192"/>
  <c r="R192"/>
  <c r="T192" s="1"/>
  <c r="U192" s="1"/>
  <c r="P192"/>
  <c r="L119"/>
  <c r="O119"/>
  <c r="P119"/>
  <c r="R119"/>
  <c r="T119" s="1"/>
  <c r="U119" s="1"/>
  <c r="R62"/>
  <c r="T62" s="1"/>
  <c r="U62" s="1"/>
  <c r="P62"/>
  <c r="O62"/>
  <c r="L62"/>
  <c r="R65"/>
  <c r="T65" s="1"/>
  <c r="U65" s="1"/>
  <c r="L65"/>
  <c r="O65"/>
  <c r="P65"/>
  <c r="P161"/>
  <c r="O161"/>
  <c r="L161"/>
  <c r="R161"/>
  <c r="T161" s="1"/>
  <c r="U161" s="1"/>
  <c r="L220"/>
  <c r="O220"/>
  <c r="P220"/>
  <c r="R220"/>
  <c r="T220" s="1"/>
  <c r="U220" s="1"/>
  <c r="P129"/>
  <c r="R129"/>
  <c r="T129" s="1"/>
  <c r="U129" s="1"/>
  <c r="O129"/>
  <c r="L129"/>
  <c r="O158"/>
  <c r="P158"/>
  <c r="R158"/>
  <c r="T158" s="1"/>
  <c r="U158" s="1"/>
  <c r="L158"/>
  <c r="P344"/>
  <c r="R344"/>
  <c r="T344" s="1"/>
  <c r="U344" s="1"/>
  <c r="L344"/>
  <c r="O344"/>
  <c r="L215"/>
  <c r="O215"/>
  <c r="P215"/>
  <c r="R215"/>
  <c r="T215" s="1"/>
  <c r="U215" s="1"/>
  <c r="P218"/>
  <c r="R218"/>
  <c r="T218" s="1"/>
  <c r="U218" s="1"/>
  <c r="O218"/>
  <c r="L218"/>
  <c r="P122"/>
  <c r="R122"/>
  <c r="T122" s="1"/>
  <c r="U122" s="1"/>
  <c r="L122"/>
  <c r="O122"/>
  <c r="L1321"/>
  <c r="O1321"/>
  <c r="R1321"/>
  <c r="T1321" s="1"/>
  <c r="U1321" s="1"/>
  <c r="P1321"/>
  <c r="L214"/>
  <c r="P214"/>
  <c r="O214"/>
  <c r="R214"/>
  <c r="T214" s="1"/>
  <c r="U214" s="1"/>
  <c r="L121"/>
  <c r="O121"/>
  <c r="P121"/>
  <c r="R121"/>
  <c r="T121" s="1"/>
  <c r="U121" s="1"/>
  <c r="R352"/>
  <c r="T352" s="1"/>
  <c r="U352" s="1"/>
  <c r="O352"/>
  <c r="P352"/>
  <c r="L352"/>
  <c r="L125"/>
  <c r="O125"/>
  <c r="R125"/>
  <c r="T125" s="1"/>
  <c r="U125" s="1"/>
  <c r="P125"/>
  <c r="L127"/>
  <c r="O127"/>
  <c r="R127"/>
  <c r="T127" s="1"/>
  <c r="U127" s="1"/>
  <c r="P127"/>
  <c r="L169"/>
  <c r="O169"/>
  <c r="P169"/>
  <c r="R169"/>
  <c r="T169" s="1"/>
  <c r="U169" s="1"/>
  <c r="O217"/>
  <c r="L217"/>
  <c r="P217"/>
  <c r="R217"/>
  <c r="T217" s="1"/>
  <c r="U217" s="1"/>
  <c r="P1367"/>
  <c r="R1367"/>
  <c r="T1367" s="1"/>
  <c r="U1367" s="1"/>
  <c r="L1367"/>
  <c r="O1367"/>
  <c r="P598"/>
  <c r="L598"/>
  <c r="R598"/>
  <c r="T598" s="1"/>
  <c r="U598" s="1"/>
  <c r="O598"/>
  <c r="L1251"/>
  <c r="P1251"/>
  <c r="O1251"/>
  <c r="R1251"/>
  <c r="T1251" s="1"/>
  <c r="U1251" s="1"/>
  <c r="R212"/>
  <c r="T212" s="1"/>
  <c r="U212" s="1"/>
  <c r="P212"/>
  <c r="L212"/>
  <c r="O212"/>
  <c r="P69"/>
  <c r="L69"/>
  <c r="R69"/>
  <c r="T69" s="1"/>
  <c r="U69" s="1"/>
  <c r="O69"/>
  <c r="L600"/>
  <c r="O600"/>
  <c r="P600"/>
  <c r="R600"/>
  <c r="T600" s="1"/>
  <c r="U600" s="1"/>
  <c r="L124"/>
  <c r="O124"/>
  <c r="P124"/>
  <c r="R124"/>
  <c r="T124" s="1"/>
  <c r="U124" s="1"/>
  <c r="L965"/>
  <c r="O965"/>
  <c r="R965"/>
  <c r="T965" s="1"/>
  <c r="U965" s="1"/>
  <c r="P965"/>
  <c r="P1141"/>
  <c r="R1141"/>
  <c r="T1141" s="1"/>
  <c r="U1141" s="1"/>
  <c r="L1141"/>
  <c r="O1141"/>
  <c r="O846"/>
  <c r="P846"/>
  <c r="R846"/>
  <c r="T846" s="1"/>
  <c r="U846" s="1"/>
  <c r="L846"/>
  <c r="P363"/>
  <c r="O363"/>
  <c r="R363"/>
  <c r="T363" s="1"/>
  <c r="U363" s="1"/>
  <c r="L363"/>
  <c r="P163"/>
  <c r="O163"/>
  <c r="R163"/>
  <c r="T163" s="1"/>
  <c r="U163" s="1"/>
  <c r="L163"/>
  <c r="O211"/>
  <c r="P211"/>
  <c r="R211"/>
  <c r="T211" s="1"/>
  <c r="U211" s="1"/>
  <c r="L211"/>
  <c r="R123"/>
  <c r="T123" s="1"/>
  <c r="U123" s="1"/>
  <c r="P123"/>
  <c r="O123"/>
  <c r="L123"/>
  <c r="R82"/>
  <c r="T82" s="1"/>
  <c r="U82" s="1"/>
  <c r="O82"/>
  <c r="L82"/>
  <c r="P82"/>
  <c r="L350"/>
  <c r="O350"/>
  <c r="P350"/>
  <c r="R350"/>
  <c r="T350" s="1"/>
  <c r="U350" s="1"/>
  <c r="R597"/>
  <c r="T597" s="1"/>
  <c r="U597" s="1"/>
  <c r="P597"/>
  <c r="L597"/>
  <c r="O597"/>
  <c r="P229"/>
  <c r="R229"/>
  <c r="T229" s="1"/>
  <c r="U229" s="1"/>
  <c r="L229"/>
  <c r="O229"/>
  <c r="L443"/>
  <c r="O443"/>
  <c r="P443"/>
  <c r="R443"/>
  <c r="T443" s="1"/>
  <c r="U443" s="1"/>
  <c r="P165"/>
  <c r="O165"/>
  <c r="R165"/>
  <c r="T165" s="1"/>
  <c r="U165" s="1"/>
  <c r="L165"/>
  <c r="R590"/>
  <c r="T590" s="1"/>
  <c r="U590" s="1"/>
  <c r="L590"/>
  <c r="O590"/>
  <c r="P590"/>
  <c r="L59"/>
  <c r="O59"/>
  <c r="P59"/>
  <c r="R59"/>
  <c r="T59" s="1"/>
  <c r="U59" s="1"/>
  <c r="L135"/>
  <c r="P135"/>
  <c r="O135"/>
  <c r="R135"/>
  <c r="T135" s="1"/>
  <c r="U135" s="1"/>
  <c r="L226"/>
  <c r="O226"/>
  <c r="P226"/>
  <c r="R226"/>
  <c r="T226" s="1"/>
  <c r="U226" s="1"/>
  <c r="L901"/>
  <c r="O901"/>
  <c r="P901"/>
  <c r="R901"/>
  <c r="T901" s="1"/>
  <c r="U901" s="1"/>
  <c r="R769"/>
  <c r="T769" s="1"/>
  <c r="U769" s="1"/>
  <c r="L769"/>
  <c r="O769"/>
  <c r="P769"/>
  <c r="O922"/>
  <c r="R922"/>
  <c r="T922" s="1"/>
  <c r="U922" s="1"/>
  <c r="L922"/>
  <c r="P922"/>
  <c r="R213"/>
  <c r="T213" s="1"/>
  <c r="U213" s="1"/>
  <c r="L213"/>
  <c r="O213"/>
  <c r="P213"/>
  <c r="O969"/>
  <c r="L969"/>
  <c r="P969"/>
  <c r="R969"/>
  <c r="T969" s="1"/>
  <c r="U969" s="1"/>
  <c r="L359"/>
  <c r="P359"/>
  <c r="R359"/>
  <c r="T359" s="1"/>
  <c r="U359" s="1"/>
  <c r="O359"/>
  <c r="P132"/>
  <c r="L132"/>
  <c r="O132"/>
  <c r="R132"/>
  <c r="T132" s="1"/>
  <c r="U132" s="1"/>
  <c r="O1117"/>
  <c r="R1117"/>
  <c r="T1117" s="1"/>
  <c r="U1117" s="1"/>
  <c r="L1117"/>
  <c r="P1117"/>
  <c r="O136"/>
  <c r="R136"/>
  <c r="T136" s="1"/>
  <c r="U136" s="1"/>
  <c r="L136"/>
  <c r="P136"/>
  <c r="L76"/>
  <c r="P76"/>
  <c r="R76"/>
  <c r="T76" s="1"/>
  <c r="U76" s="1"/>
  <c r="O76"/>
  <c r="L1051"/>
  <c r="O1051"/>
  <c r="P1051"/>
  <c r="R1051"/>
  <c r="T1051" s="1"/>
  <c r="U1051" s="1"/>
  <c r="P351"/>
  <c r="R351"/>
  <c r="T351" s="1"/>
  <c r="U351" s="1"/>
  <c r="O351"/>
  <c r="L351"/>
  <c r="O162"/>
  <c r="L162"/>
  <c r="P162"/>
  <c r="R162"/>
  <c r="T162" s="1"/>
  <c r="U162" s="1"/>
  <c r="P80"/>
  <c r="L80"/>
  <c r="R80"/>
  <c r="T80" s="1"/>
  <c r="U80" s="1"/>
  <c r="O80"/>
  <c r="P79"/>
  <c r="R79"/>
  <c r="T79" s="1"/>
  <c r="U79" s="1"/>
  <c r="O79"/>
  <c r="L79"/>
  <c r="R1488"/>
  <c r="T1488" s="1"/>
  <c r="U1488" s="1"/>
  <c r="L1488"/>
  <c r="O1488"/>
  <c r="P1488"/>
  <c r="P126"/>
  <c r="R126"/>
  <c r="T126" s="1"/>
  <c r="U126" s="1"/>
  <c r="L126"/>
  <c r="O126"/>
  <c r="O225"/>
  <c r="P225"/>
  <c r="R225"/>
  <c r="T225" s="1"/>
  <c r="U225" s="1"/>
  <c r="L225"/>
  <c r="L741"/>
  <c r="O741"/>
  <c r="P741"/>
  <c r="R741"/>
  <c r="T741" s="1"/>
  <c r="U741" s="1"/>
  <c r="O345"/>
  <c r="P345"/>
  <c r="R345"/>
  <c r="T345" s="1"/>
  <c r="U345" s="1"/>
  <c r="L345"/>
  <c r="R63"/>
  <c r="T63" s="1"/>
  <c r="U63" s="1"/>
  <c r="P63"/>
  <c r="L63"/>
  <c r="O63"/>
  <c r="L923"/>
  <c r="O923"/>
  <c r="P923"/>
  <c r="R923"/>
  <c r="T923" s="1"/>
  <c r="U923" s="1"/>
  <c r="P157"/>
  <c r="R157"/>
  <c r="T157" s="1"/>
  <c r="U157" s="1"/>
  <c r="L157"/>
  <c r="O157"/>
  <c r="P349"/>
  <c r="R349"/>
  <c r="T349" s="1"/>
  <c r="U349" s="1"/>
  <c r="L349"/>
  <c r="O349"/>
  <c r="L128"/>
  <c r="P128"/>
  <c r="O128"/>
  <c r="R128"/>
  <c r="T128" s="1"/>
  <c r="U128" s="1"/>
  <c r="R78"/>
  <c r="T78" s="1"/>
  <c r="U78" s="1"/>
  <c r="O78"/>
  <c r="L78"/>
  <c r="P78"/>
  <c r="R228"/>
  <c r="T228" s="1"/>
  <c r="U228" s="1"/>
  <c r="L228"/>
  <c r="O228"/>
  <c r="P228"/>
  <c r="P156"/>
  <c r="L156"/>
  <c r="R156"/>
  <c r="T156" s="1"/>
  <c r="U156" s="1"/>
  <c r="O156"/>
  <c r="A95" i="11"/>
  <c r="D271" i="12" l="1"/>
  <c r="D272" s="1"/>
  <c r="K13"/>
  <c r="W13"/>
  <c r="C14"/>
  <c r="D14"/>
  <c r="D643"/>
  <c r="F740"/>
  <c r="F741" s="1"/>
  <c r="F742" s="1"/>
  <c r="G740"/>
  <c r="G741" s="1"/>
  <c r="G742" s="1"/>
  <c r="E740"/>
  <c r="E741" s="1"/>
  <c r="E742" s="1"/>
  <c r="E768"/>
  <c r="E769" s="1"/>
  <c r="E770" s="1"/>
  <c r="G768"/>
  <c r="G769" s="1"/>
  <c r="G770" s="1"/>
  <c r="F768"/>
  <c r="F769" s="1"/>
  <c r="F770" s="1"/>
  <c r="F73"/>
  <c r="F74" s="1"/>
  <c r="F75" s="1"/>
  <c r="F76" s="1"/>
  <c r="F77" s="1"/>
  <c r="F78" s="1"/>
  <c r="F79" s="1"/>
  <c r="F80" s="1"/>
  <c r="F81" s="1"/>
  <c r="F82" s="1"/>
  <c r="F83" s="1"/>
  <c r="E73"/>
  <c r="E74" s="1"/>
  <c r="E75" s="1"/>
  <c r="E76" s="1"/>
  <c r="E77" s="1"/>
  <c r="E78" s="1"/>
  <c r="E79" s="1"/>
  <c r="E80" s="1"/>
  <c r="E81" s="1"/>
  <c r="E82" s="1"/>
  <c r="E83" s="1"/>
  <c r="G73"/>
  <c r="G74" s="1"/>
  <c r="G75" s="1"/>
  <c r="G76" s="1"/>
  <c r="G77" s="1"/>
  <c r="G78" s="1"/>
  <c r="G79" s="1"/>
  <c r="G80" s="1"/>
  <c r="G81" s="1"/>
  <c r="G82" s="1"/>
  <c r="G83" s="1"/>
  <c r="E34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G34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F34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G750"/>
  <c r="G751" s="1"/>
  <c r="F750"/>
  <c r="F751" s="1"/>
  <c r="E750"/>
  <c r="E751" s="1"/>
  <c r="E1502"/>
  <c r="E1503" s="1"/>
  <c r="F1502"/>
  <c r="F1503" s="1"/>
  <c r="G1502"/>
  <c r="G1503" s="1"/>
  <c r="F1189"/>
  <c r="F1190" s="1"/>
  <c r="F1191" s="1"/>
  <c r="F1192" s="1"/>
  <c r="F1193" s="1"/>
  <c r="F1194" s="1"/>
  <c r="G1189"/>
  <c r="G1190" s="1"/>
  <c r="G1191" s="1"/>
  <c r="G1192" s="1"/>
  <c r="G1193" s="1"/>
  <c r="G1194" s="1"/>
  <c r="E1189"/>
  <c r="E1190" s="1"/>
  <c r="E1191" s="1"/>
  <c r="E1192" s="1"/>
  <c r="E1193" s="1"/>
  <c r="E1194" s="1"/>
  <c r="E817"/>
  <c r="E818" s="1"/>
  <c r="E819" s="1"/>
  <c r="E820" s="1"/>
  <c r="E821" s="1"/>
  <c r="E822" s="1"/>
  <c r="E823" s="1"/>
  <c r="E824" s="1"/>
  <c r="E825" s="1"/>
  <c r="E826" s="1"/>
  <c r="E827" s="1"/>
  <c r="G817"/>
  <c r="G818" s="1"/>
  <c r="G819" s="1"/>
  <c r="G820" s="1"/>
  <c r="G821" s="1"/>
  <c r="G822" s="1"/>
  <c r="G823" s="1"/>
  <c r="G824" s="1"/>
  <c r="G825" s="1"/>
  <c r="G826" s="1"/>
  <c r="G827" s="1"/>
  <c r="F817"/>
  <c r="F818" s="1"/>
  <c r="F819" s="1"/>
  <c r="F820" s="1"/>
  <c r="F821" s="1"/>
  <c r="F822" s="1"/>
  <c r="F823" s="1"/>
  <c r="F824" s="1"/>
  <c r="F825" s="1"/>
  <c r="F826" s="1"/>
  <c r="F827" s="1"/>
  <c r="F778"/>
  <c r="F779" s="1"/>
  <c r="E778"/>
  <c r="E779" s="1"/>
  <c r="G778"/>
  <c r="G779" s="1"/>
  <c r="G555"/>
  <c r="G556" s="1"/>
  <c r="G557" s="1"/>
  <c r="F555"/>
  <c r="F556" s="1"/>
  <c r="F557" s="1"/>
  <c r="E555"/>
  <c r="E556" s="1"/>
  <c r="E557" s="1"/>
  <c r="G525"/>
  <c r="G526" s="1"/>
  <c r="F525"/>
  <c r="F526" s="1"/>
  <c r="E525"/>
  <c r="E526" s="1"/>
  <c r="G508"/>
  <c r="G509" s="1"/>
  <c r="G510" s="1"/>
  <c r="G511" s="1"/>
  <c r="G512" s="1"/>
  <c r="G513" s="1"/>
  <c r="G514" s="1"/>
  <c r="G515" s="1"/>
  <c r="G516" s="1"/>
  <c r="G517" s="1"/>
  <c r="F318"/>
  <c r="F319" s="1"/>
  <c r="G318"/>
  <c r="G319" s="1"/>
  <c r="E318"/>
  <c r="E319" s="1"/>
  <c r="F291"/>
  <c r="F292" s="1"/>
  <c r="E291"/>
  <c r="E292" s="1"/>
  <c r="G291"/>
  <c r="G292" s="1"/>
  <c r="F219"/>
  <c r="F220" s="1"/>
  <c r="F221" s="1"/>
  <c r="F222" s="1"/>
  <c r="F223" s="1"/>
  <c r="F224" s="1"/>
  <c r="F225" s="1"/>
  <c r="F226" s="1"/>
  <c r="F227" s="1"/>
  <c r="F228" s="1"/>
  <c r="F229" s="1"/>
  <c r="E219"/>
  <c r="E220" s="1"/>
  <c r="E221" s="1"/>
  <c r="E222" s="1"/>
  <c r="E223" s="1"/>
  <c r="E224" s="1"/>
  <c r="E225" s="1"/>
  <c r="E226" s="1"/>
  <c r="E227" s="1"/>
  <c r="E228" s="1"/>
  <c r="E229" s="1"/>
  <c r="G219"/>
  <c r="G220" s="1"/>
  <c r="G221" s="1"/>
  <c r="G222" s="1"/>
  <c r="G223" s="1"/>
  <c r="G224" s="1"/>
  <c r="G225" s="1"/>
  <c r="G226" s="1"/>
  <c r="G227" s="1"/>
  <c r="G228" s="1"/>
  <c r="G229" s="1"/>
  <c r="E196"/>
  <c r="E197" s="1"/>
  <c r="G196"/>
  <c r="G197" s="1"/>
  <c r="F196"/>
  <c r="F197" s="1"/>
  <c r="F145"/>
  <c r="F146" s="1"/>
  <c r="G145"/>
  <c r="G146" s="1"/>
  <c r="E145"/>
  <c r="E146" s="1"/>
  <c r="E689"/>
  <c r="E690" s="1"/>
  <c r="E691" s="1"/>
  <c r="E692" s="1"/>
  <c r="G689"/>
  <c r="G690" s="1"/>
  <c r="G691" s="1"/>
  <c r="G692" s="1"/>
  <c r="F689"/>
  <c r="F690" s="1"/>
  <c r="F691" s="1"/>
  <c r="F692" s="1"/>
  <c r="G677"/>
  <c r="G678" s="1"/>
  <c r="G679" s="1"/>
  <c r="F677"/>
  <c r="F678" s="1"/>
  <c r="F679" s="1"/>
  <c r="E677"/>
  <c r="E678" s="1"/>
  <c r="E679" s="1"/>
  <c r="E134"/>
  <c r="E135" s="1"/>
  <c r="E136" s="1"/>
  <c r="E137" s="1"/>
  <c r="F134"/>
  <c r="F135" s="1"/>
  <c r="F136" s="1"/>
  <c r="F137" s="1"/>
  <c r="G134"/>
  <c r="G135" s="1"/>
  <c r="G136" s="1"/>
  <c r="G137" s="1"/>
  <c r="F1423"/>
  <c r="F1424" s="1"/>
  <c r="E1423"/>
  <c r="E1424" s="1"/>
  <c r="G1423"/>
  <c r="G1424" s="1"/>
  <c r="F1249"/>
  <c r="F1250" s="1"/>
  <c r="F1251" s="1"/>
  <c r="F1252" s="1"/>
  <c r="F1253" s="1"/>
  <c r="E1249"/>
  <c r="E1250" s="1"/>
  <c r="E1251" s="1"/>
  <c r="E1252" s="1"/>
  <c r="E1253" s="1"/>
  <c r="G1249"/>
  <c r="G1250" s="1"/>
  <c r="G1251" s="1"/>
  <c r="G1252" s="1"/>
  <c r="G1253" s="1"/>
  <c r="F1227"/>
  <c r="F1228" s="1"/>
  <c r="F1229" s="1"/>
  <c r="F1230" s="1"/>
  <c r="G1227"/>
  <c r="G1228" s="1"/>
  <c r="G1229" s="1"/>
  <c r="G1230" s="1"/>
  <c r="E1227"/>
  <c r="E1228" s="1"/>
  <c r="E1229" s="1"/>
  <c r="E1230" s="1"/>
  <c r="O383"/>
  <c r="L289"/>
  <c r="R289"/>
  <c r="T289" s="1"/>
  <c r="U289" s="1"/>
  <c r="P289"/>
  <c r="O848"/>
  <c r="R523"/>
  <c r="T523" s="1"/>
  <c r="U523" s="1"/>
  <c r="R818"/>
  <c r="T818" s="1"/>
  <c r="U818" s="1"/>
  <c r="O748"/>
  <c r="P875"/>
  <c r="R143"/>
  <c r="T143" s="1"/>
  <c r="U143" s="1"/>
  <c r="P848"/>
  <c r="L848"/>
  <c r="O523"/>
  <c r="P818"/>
  <c r="P748"/>
  <c r="R383"/>
  <c r="T383" s="1"/>
  <c r="U383" s="1"/>
  <c r="P523"/>
  <c r="L818"/>
  <c r="L748"/>
  <c r="R875"/>
  <c r="T875" s="1"/>
  <c r="U875" s="1"/>
  <c r="L194"/>
  <c r="P316"/>
  <c r="P194"/>
  <c r="L554"/>
  <c r="O194"/>
  <c r="P554"/>
  <c r="R405"/>
  <c r="T405" s="1"/>
  <c r="U405" s="1"/>
  <c r="O554"/>
  <c r="O358"/>
  <c r="L776"/>
  <c r="L316"/>
  <c r="L358"/>
  <c r="O405"/>
  <c r="P358"/>
  <c r="P405"/>
  <c r="R316"/>
  <c r="T316" s="1"/>
  <c r="U316" s="1"/>
  <c r="R776"/>
  <c r="T776" s="1"/>
  <c r="U776" s="1"/>
  <c r="P776"/>
  <c r="L875"/>
  <c r="P143"/>
  <c r="O143"/>
  <c r="L749"/>
  <c r="L317"/>
  <c r="L195"/>
  <c r="L556"/>
  <c r="O195"/>
  <c r="O556"/>
  <c r="O749"/>
  <c r="O317"/>
  <c r="P195"/>
  <c r="P556"/>
  <c r="P749"/>
  <c r="P317"/>
  <c r="L383"/>
  <c r="R144"/>
  <c r="T144" s="1"/>
  <c r="U144" s="1"/>
  <c r="R524"/>
  <c r="T524" s="1"/>
  <c r="U524" s="1"/>
  <c r="R777"/>
  <c r="T777" s="1"/>
  <c r="U777" s="1"/>
  <c r="L144"/>
  <c r="L524"/>
  <c r="L777"/>
  <c r="O144"/>
  <c r="O524"/>
  <c r="O777"/>
  <c r="G278"/>
  <c r="G279" s="1"/>
  <c r="E278"/>
  <c r="E279" s="1"/>
  <c r="F278"/>
  <c r="F279" s="1"/>
  <c r="G20" i="11"/>
  <c r="H20"/>
  <c r="F20"/>
  <c r="F333" i="12"/>
  <c r="F334" s="1"/>
  <c r="G333"/>
  <c r="G334" s="1"/>
  <c r="E333"/>
  <c r="E334" s="1"/>
  <c r="G306"/>
  <c r="G307" s="1"/>
  <c r="E306"/>
  <c r="E307" s="1"/>
  <c r="F306"/>
  <c r="F307" s="1"/>
  <c r="D115"/>
  <c r="Q13" i="11"/>
  <c r="T13"/>
  <c r="S13"/>
  <c r="Q12"/>
  <c r="S11"/>
  <c r="P11"/>
  <c r="T12"/>
  <c r="P12"/>
  <c r="R12"/>
  <c r="R13"/>
  <c r="V13"/>
  <c r="U12"/>
  <c r="U13"/>
  <c r="T11"/>
  <c r="Q11"/>
  <c r="W11"/>
  <c r="V12"/>
  <c r="R11"/>
  <c r="U11"/>
  <c r="V11"/>
  <c r="S12"/>
  <c r="N9" i="26"/>
  <c r="R9" s="1"/>
  <c r="P13" i="11"/>
  <c r="W12"/>
  <c r="W13"/>
  <c r="I9" i="26"/>
  <c r="Q9"/>
  <c r="D1347" i="12"/>
  <c r="D1348" s="1"/>
  <c r="D1349" s="1"/>
  <c r="D1350" s="1"/>
  <c r="D1351" s="1"/>
  <c r="D1352" s="1"/>
  <c r="D1353" s="1"/>
  <c r="D1354" s="1"/>
  <c r="R404" i="26"/>
  <c r="R408"/>
  <c r="R434"/>
  <c r="R382"/>
  <c r="R44"/>
  <c r="T10" i="11"/>
  <c r="V10" s="1"/>
  <c r="R427" i="26"/>
  <c r="R481"/>
  <c r="R220"/>
  <c r="R256"/>
  <c r="R193"/>
  <c r="R473"/>
  <c r="R166"/>
  <c r="R204"/>
  <c r="R233"/>
  <c r="R239"/>
  <c r="R246"/>
  <c r="R234"/>
  <c r="R235"/>
  <c r="R224"/>
  <c r="R11"/>
  <c r="R60"/>
  <c r="R401"/>
  <c r="R140"/>
  <c r="R287"/>
  <c r="R460"/>
  <c r="R373"/>
  <c r="R466"/>
  <c r="R363"/>
  <c r="R349"/>
  <c r="R128"/>
  <c r="R277"/>
  <c r="R477"/>
  <c r="R105"/>
  <c r="R152"/>
  <c r="R447"/>
  <c r="R188"/>
  <c r="R371"/>
  <c r="R416"/>
  <c r="R388"/>
  <c r="R135"/>
  <c r="R232"/>
  <c r="R131"/>
  <c r="R285"/>
  <c r="R215"/>
  <c r="R202"/>
  <c r="R462"/>
  <c r="R151"/>
  <c r="R296"/>
  <c r="R75"/>
  <c r="R334"/>
  <c r="R57"/>
  <c r="R338"/>
  <c r="R459"/>
  <c r="R336"/>
  <c r="R21"/>
  <c r="R451"/>
  <c r="R227"/>
  <c r="R409"/>
  <c r="R38"/>
  <c r="R321"/>
  <c r="R167"/>
  <c r="R66"/>
  <c r="R341"/>
  <c r="R41"/>
  <c r="R108"/>
  <c r="R40"/>
  <c r="R78"/>
  <c r="R366"/>
  <c r="R260"/>
  <c r="R112"/>
  <c r="R160"/>
  <c r="R145"/>
  <c r="R253"/>
  <c r="R155"/>
  <c r="R48"/>
  <c r="R362"/>
  <c r="R111"/>
  <c r="R405"/>
  <c r="R453"/>
  <c r="R137"/>
  <c r="R307"/>
  <c r="R144"/>
  <c r="R208"/>
  <c r="R76"/>
  <c r="R228"/>
  <c r="R395"/>
  <c r="R249"/>
  <c r="R275"/>
  <c r="R325"/>
  <c r="R130"/>
  <c r="R70"/>
  <c r="R394"/>
  <c r="R27"/>
  <c r="R114"/>
  <c r="R90"/>
  <c r="R88"/>
  <c r="R393"/>
  <c r="R181"/>
  <c r="R84"/>
  <c r="R407"/>
  <c r="R323"/>
  <c r="R186"/>
  <c r="R52"/>
  <c r="R153"/>
  <c r="R123"/>
  <c r="R255"/>
  <c r="R423"/>
  <c r="R65"/>
  <c r="R306"/>
  <c r="R68"/>
  <c r="R391"/>
  <c r="R389"/>
  <c r="R34"/>
  <c r="R62"/>
  <c r="R69"/>
  <c r="R92"/>
  <c r="R205"/>
  <c r="R369"/>
  <c r="R59"/>
  <c r="R352"/>
  <c r="R86"/>
  <c r="R288"/>
  <c r="R272"/>
  <c r="R102"/>
  <c r="R96"/>
  <c r="R213"/>
  <c r="R83"/>
  <c r="R308"/>
  <c r="R20"/>
  <c r="R446"/>
  <c r="R214"/>
  <c r="R392"/>
  <c r="R278"/>
  <c r="R356"/>
  <c r="R324"/>
  <c r="R161"/>
  <c r="R240"/>
  <c r="R122"/>
  <c r="R19"/>
  <c r="R29"/>
  <c r="R303"/>
  <c r="R201"/>
  <c r="R30"/>
  <c r="R383"/>
  <c r="R476"/>
  <c r="R304"/>
  <c r="R298"/>
  <c r="R138"/>
  <c r="R450"/>
  <c r="R247"/>
  <c r="R368"/>
  <c r="R163"/>
  <c r="R270"/>
  <c r="R458"/>
  <c r="R322"/>
  <c r="R97"/>
  <c r="R470"/>
  <c r="R474"/>
  <c r="R118"/>
  <c r="R171"/>
  <c r="R472"/>
  <c r="R194"/>
  <c r="R85"/>
  <c r="R280"/>
  <c r="R165"/>
  <c r="R358"/>
  <c r="R218"/>
  <c r="R310"/>
  <c r="R281"/>
  <c r="R264"/>
  <c r="R384"/>
  <c r="R361"/>
  <c r="R223"/>
  <c r="R461"/>
  <c r="R452"/>
  <c r="R437"/>
  <c r="R381"/>
  <c r="R148"/>
  <c r="R259"/>
  <c r="R398"/>
  <c r="R380"/>
  <c r="R350"/>
  <c r="R79"/>
  <c r="R424"/>
  <c r="R337"/>
  <c r="R211"/>
  <c r="R22"/>
  <c r="R50"/>
  <c r="R236"/>
  <c r="R435"/>
  <c r="R317"/>
  <c r="R297"/>
  <c r="R203"/>
  <c r="R141"/>
  <c r="R170"/>
  <c r="R82"/>
  <c r="R98"/>
  <c r="R28"/>
  <c r="R195"/>
  <c r="R439"/>
  <c r="R428"/>
  <c r="R267"/>
  <c r="R198"/>
  <c r="R176"/>
  <c r="R209"/>
  <c r="R302"/>
  <c r="R149"/>
  <c r="R100"/>
  <c r="R311"/>
  <c r="R175"/>
  <c r="R442"/>
  <c r="R55"/>
  <c r="R18"/>
  <c r="R346"/>
  <c r="R248"/>
  <c r="R222"/>
  <c r="R168"/>
  <c r="R292"/>
  <c r="R422"/>
  <c r="R418"/>
  <c r="R286"/>
  <c r="R294"/>
  <c r="R414"/>
  <c r="R162"/>
  <c r="R125"/>
  <c r="R415"/>
  <c r="R206"/>
  <c r="R53"/>
  <c r="R357"/>
  <c r="R265"/>
  <c r="R87"/>
  <c r="R335"/>
  <c r="R327"/>
  <c r="R301"/>
  <c r="R261"/>
  <c r="R216"/>
  <c r="R413"/>
  <c r="R230"/>
  <c r="R426"/>
  <c r="R443"/>
  <c r="R103"/>
  <c r="R431"/>
  <c r="R199"/>
  <c r="R33"/>
  <c r="R454"/>
  <c r="R113"/>
  <c r="R359"/>
  <c r="R42"/>
  <c r="R143"/>
  <c r="R58"/>
  <c r="R121"/>
  <c r="R231"/>
  <c r="R333"/>
  <c r="R117"/>
  <c r="R35"/>
  <c r="R196"/>
  <c r="R242"/>
  <c r="R326"/>
  <c r="R433"/>
  <c r="R390"/>
  <c r="R480"/>
  <c r="R177"/>
  <c r="R295"/>
  <c r="R219"/>
  <c r="R250"/>
  <c r="R312"/>
  <c r="R244"/>
  <c r="R154"/>
  <c r="R91"/>
  <c r="R378"/>
  <c r="R45"/>
  <c r="R364"/>
  <c r="R183"/>
  <c r="R54"/>
  <c r="R134"/>
  <c r="R24"/>
  <c r="R421"/>
  <c r="R159"/>
  <c r="R182"/>
  <c r="R449"/>
  <c r="R319"/>
  <c r="R284"/>
  <c r="R279"/>
  <c r="R441"/>
  <c r="R110"/>
  <c r="R72"/>
  <c r="R263"/>
  <c r="R314"/>
  <c r="R412"/>
  <c r="R31"/>
  <c r="R457"/>
  <c r="R305"/>
  <c r="R172"/>
  <c r="R14"/>
  <c r="R37"/>
  <c r="R258"/>
  <c r="R448"/>
  <c r="R156"/>
  <c r="R99"/>
  <c r="R432"/>
  <c r="R467"/>
  <c r="R479"/>
  <c r="R178"/>
  <c r="R158"/>
  <c r="R210"/>
  <c r="R71"/>
  <c r="R420"/>
  <c r="R179"/>
  <c r="R475"/>
  <c r="R185"/>
  <c r="R331"/>
  <c r="R425"/>
  <c r="R189"/>
  <c r="R146"/>
  <c r="R399"/>
  <c r="R374"/>
  <c r="R157"/>
  <c r="R345"/>
  <c r="R26"/>
  <c r="R257"/>
  <c r="R445"/>
  <c r="R64"/>
  <c r="R95"/>
  <c r="R124"/>
  <c r="R351"/>
  <c r="R217"/>
  <c r="R402"/>
  <c r="R290"/>
  <c r="R238"/>
  <c r="R43"/>
  <c r="R289"/>
  <c r="R360"/>
  <c r="R254"/>
  <c r="R438"/>
  <c r="R375"/>
  <c r="R49"/>
  <c r="R93"/>
  <c r="R104"/>
  <c r="R396"/>
  <c r="R353"/>
  <c r="R12"/>
  <c r="R330"/>
  <c r="R23"/>
  <c r="R106"/>
  <c r="R139"/>
  <c r="R173"/>
  <c r="R192"/>
  <c r="R469"/>
  <c r="R107"/>
  <c r="R468"/>
  <c r="R411"/>
  <c r="R397"/>
  <c r="R400"/>
  <c r="R36"/>
  <c r="R262"/>
  <c r="R169"/>
  <c r="R328"/>
  <c r="R252"/>
  <c r="R291"/>
  <c r="R133"/>
  <c r="R269"/>
  <c r="R379"/>
  <c r="R119"/>
  <c r="R309"/>
  <c r="R282"/>
  <c r="R300"/>
  <c r="R465"/>
  <c r="R77"/>
  <c r="R190"/>
  <c r="R80"/>
  <c r="R463"/>
  <c r="R340"/>
  <c r="R370"/>
  <c r="R410"/>
  <c r="R115"/>
  <c r="R221"/>
  <c r="R101"/>
  <c r="R347"/>
  <c r="R197"/>
  <c r="R348"/>
  <c r="R25"/>
  <c r="R136"/>
  <c r="R200"/>
  <c r="R456"/>
  <c r="R385"/>
  <c r="R365"/>
  <c r="R403"/>
  <c r="R372"/>
  <c r="R367"/>
  <c r="R271"/>
  <c r="R150"/>
  <c r="R89"/>
  <c r="R226"/>
  <c r="R164"/>
  <c r="R132"/>
  <c r="R444"/>
  <c r="R47"/>
  <c r="R127"/>
  <c r="R245"/>
  <c r="R67"/>
  <c r="R316"/>
  <c r="R32"/>
  <c r="R94"/>
  <c r="R329"/>
  <c r="R241"/>
  <c r="R237"/>
  <c r="R51"/>
  <c r="R191"/>
  <c r="R376"/>
  <c r="R142"/>
  <c r="R46"/>
  <c r="R377"/>
  <c r="R315"/>
  <c r="R355"/>
  <c r="R320"/>
  <c r="R15"/>
  <c r="R343"/>
  <c r="R266"/>
  <c r="R478"/>
  <c r="R61"/>
  <c r="R207"/>
  <c r="R17"/>
  <c r="R339"/>
  <c r="R299"/>
  <c r="R120"/>
  <c r="R129"/>
  <c r="R332"/>
  <c r="R455"/>
  <c r="R126"/>
  <c r="R251"/>
  <c r="R13"/>
  <c r="R225"/>
  <c r="R184"/>
  <c r="R229"/>
  <c r="R429"/>
  <c r="R273"/>
  <c r="R212"/>
  <c r="R354"/>
  <c r="R63"/>
  <c r="R187"/>
  <c r="R268"/>
  <c r="R174"/>
  <c r="R180"/>
  <c r="R417"/>
  <c r="R73"/>
  <c r="R56"/>
  <c r="R342"/>
  <c r="R419"/>
  <c r="R147"/>
  <c r="R74"/>
  <c r="R471"/>
  <c r="R386"/>
  <c r="R430"/>
  <c r="R313"/>
  <c r="R276"/>
  <c r="R109"/>
  <c r="R318"/>
  <c r="R406"/>
  <c r="R274"/>
  <c r="R387"/>
  <c r="R81"/>
  <c r="R293"/>
  <c r="R283"/>
  <c r="R344"/>
  <c r="R464"/>
  <c r="R440"/>
  <c r="R16"/>
  <c r="R243"/>
  <c r="R116"/>
  <c r="R436"/>
  <c r="R39"/>
  <c r="S10" i="11"/>
  <c r="U10" s="1"/>
  <c r="W10" s="1"/>
  <c r="A98"/>
  <c r="D644" i="12" l="1"/>
  <c r="D645" s="1"/>
  <c r="D646" s="1"/>
  <c r="D647" s="1"/>
  <c r="D648" s="1"/>
  <c r="D649" s="1"/>
  <c r="D650" s="1"/>
  <c r="D273"/>
  <c r="D274" s="1"/>
  <c r="D275" s="1"/>
  <c r="D276" s="1"/>
  <c r="D277" s="1"/>
  <c r="L21" i="11"/>
  <c r="C23"/>
  <c r="G23" s="1"/>
  <c r="M21"/>
  <c r="W53" i="12"/>
  <c r="C26" i="11" s="1"/>
  <c r="H26" s="1"/>
  <c r="C15" i="12"/>
  <c r="K14"/>
  <c r="D15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G335"/>
  <c r="G336" s="1"/>
  <c r="G337" s="1"/>
  <c r="G703" s="1"/>
  <c r="F335"/>
  <c r="F336" s="1"/>
  <c r="F337" s="1"/>
  <c r="F703" s="1"/>
  <c r="E335"/>
  <c r="E336" s="1"/>
  <c r="E337" s="1"/>
  <c r="E703" s="1"/>
  <c r="E308"/>
  <c r="E309" s="1"/>
  <c r="E310" s="1"/>
  <c r="G308"/>
  <c r="G309" s="1"/>
  <c r="G310" s="1"/>
  <c r="F308"/>
  <c r="F309" s="1"/>
  <c r="F310" s="1"/>
  <c r="F280"/>
  <c r="F281" s="1"/>
  <c r="F282" s="1"/>
  <c r="E280"/>
  <c r="E281" s="1"/>
  <c r="E282" s="1"/>
  <c r="G280"/>
  <c r="G281" s="1"/>
  <c r="G282" s="1"/>
  <c r="G1138"/>
  <c r="G1139" s="1"/>
  <c r="G1140" s="1"/>
  <c r="G1141" s="1"/>
  <c r="F1138"/>
  <c r="F1139" s="1"/>
  <c r="F1140" s="1"/>
  <c r="F1141" s="1"/>
  <c r="E1138"/>
  <c r="E1139" s="1"/>
  <c r="E1140" s="1"/>
  <c r="E1141" s="1"/>
  <c r="U11"/>
  <c r="N14" i="11" s="1"/>
  <c r="D340" i="12"/>
  <c r="D116"/>
  <c r="D1208"/>
  <c r="D946"/>
  <c r="D801"/>
  <c r="D695"/>
  <c r="Q8" i="26"/>
  <c r="A101" i="11"/>
  <c r="D1355" i="12"/>
  <c r="D1356" s="1"/>
  <c r="D1357" s="1"/>
  <c r="D1358" s="1"/>
  <c r="D1359" s="1"/>
  <c r="D1360" s="1"/>
  <c r="D1361" s="1"/>
  <c r="F23" i="11" l="1"/>
  <c r="F26" s="1"/>
  <c r="J23" s="1"/>
  <c r="B20"/>
  <c r="M24"/>
  <c r="I642" i="12"/>
  <c r="D203"/>
  <c r="D204" s="1"/>
  <c r="H23" i="11"/>
  <c r="E23"/>
  <c r="E26" s="1"/>
  <c r="W84" i="12"/>
  <c r="W113" s="1"/>
  <c r="D53"/>
  <c r="D54" s="1"/>
  <c r="C16"/>
  <c r="K15"/>
  <c r="D696"/>
  <c r="D697" s="1"/>
  <c r="D1362"/>
  <c r="G26" i="11"/>
  <c r="B23"/>
  <c r="P22" s="1"/>
  <c r="D278" i="12"/>
  <c r="D492"/>
  <c r="D341"/>
  <c r="D117"/>
  <c r="D1209"/>
  <c r="D947"/>
  <c r="D802"/>
  <c r="D803" s="1"/>
  <c r="D804" s="1"/>
  <c r="D805" s="1"/>
  <c r="D806" s="1"/>
  <c r="D807" s="1"/>
  <c r="D808" s="1"/>
  <c r="D809" s="1"/>
  <c r="D810" s="1"/>
  <c r="D811" s="1"/>
  <c r="D812" s="1"/>
  <c r="D813" s="1"/>
  <c r="D814" s="1"/>
  <c r="D815" s="1"/>
  <c r="D816" s="1"/>
  <c r="A104" i="11"/>
  <c r="D279" i="12" l="1"/>
  <c r="D1363"/>
  <c r="D1364" s="1"/>
  <c r="D1365" s="1"/>
  <c r="D1366" s="1"/>
  <c r="D1367" s="1"/>
  <c r="D1368" s="1"/>
  <c r="D1369" s="1"/>
  <c r="M30" i="11"/>
  <c r="C32"/>
  <c r="H32" s="1"/>
  <c r="C29"/>
  <c r="G29" s="1"/>
  <c r="M27"/>
  <c r="W114" i="12"/>
  <c r="D55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K16"/>
  <c r="C17"/>
  <c r="D280"/>
  <c r="D281" s="1"/>
  <c r="D282" s="1"/>
  <c r="D493"/>
  <c r="D205"/>
  <c r="D342"/>
  <c r="D118"/>
  <c r="Q22" i="11"/>
  <c r="D1210" i="12"/>
  <c r="D948"/>
  <c r="D651"/>
  <c r="A107" i="11"/>
  <c r="H29" l="1"/>
  <c r="F29"/>
  <c r="J26" s="1"/>
  <c r="G32"/>
  <c r="B29"/>
  <c r="B26"/>
  <c r="P25" s="1"/>
  <c r="E29"/>
  <c r="E32" s="1"/>
  <c r="M33"/>
  <c r="C35"/>
  <c r="D84" i="12"/>
  <c r="D85" s="1"/>
  <c r="F32" i="11"/>
  <c r="C18" i="12"/>
  <c r="K17"/>
  <c r="D817"/>
  <c r="D494"/>
  <c r="D206"/>
  <c r="D207" s="1"/>
  <c r="D208" s="1"/>
  <c r="D209" s="1"/>
  <c r="D210" s="1"/>
  <c r="D211" s="1"/>
  <c r="D212" s="1"/>
  <c r="D213" s="1"/>
  <c r="D214" s="1"/>
  <c r="D215" s="1"/>
  <c r="D216" s="1"/>
  <c r="D217" s="1"/>
  <c r="D218" s="1"/>
  <c r="D437"/>
  <c r="D343"/>
  <c r="D344" s="1"/>
  <c r="D345" s="1"/>
  <c r="D346" s="1"/>
  <c r="D347" s="1"/>
  <c r="D348" s="1"/>
  <c r="D349" s="1"/>
  <c r="D350" s="1"/>
  <c r="D351" s="1"/>
  <c r="D352" s="1"/>
  <c r="D353" s="1"/>
  <c r="D354" s="1"/>
  <c r="D119"/>
  <c r="R22" i="11"/>
  <c r="S22" s="1"/>
  <c r="T22" s="1"/>
  <c r="U22" s="1"/>
  <c r="D1370" i="12"/>
  <c r="D1211"/>
  <c r="D1212" s="1"/>
  <c r="D1213" s="1"/>
  <c r="D1214" s="1"/>
  <c r="D1215" s="1"/>
  <c r="D1216" s="1"/>
  <c r="D1217" s="1"/>
  <c r="D1218" s="1"/>
  <c r="D1219" s="1"/>
  <c r="D1220" s="1"/>
  <c r="D1221" s="1"/>
  <c r="D1222" s="1"/>
  <c r="D949"/>
  <c r="D652"/>
  <c r="A110" i="11"/>
  <c r="Q25" l="1"/>
  <c r="R25" s="1"/>
  <c r="S25" s="1"/>
  <c r="T25" s="1"/>
  <c r="U25" s="1"/>
  <c r="V25" s="1"/>
  <c r="W25" s="1"/>
  <c r="D283" i="12"/>
  <c r="I53"/>
  <c r="H35" i="11"/>
  <c r="G35"/>
  <c r="B32"/>
  <c r="E35"/>
  <c r="D86" i="12"/>
  <c r="D87" s="1"/>
  <c r="F35" i="11"/>
  <c r="K18" i="12"/>
  <c r="C19"/>
  <c r="I23" i="11"/>
  <c r="D23" s="1"/>
  <c r="D818" i="12"/>
  <c r="D819" s="1"/>
  <c r="D820" s="1"/>
  <c r="D821" s="1"/>
  <c r="D822" s="1"/>
  <c r="D823" s="1"/>
  <c r="D824" s="1"/>
  <c r="D825" s="1"/>
  <c r="D826" s="1"/>
  <c r="D827" s="1"/>
  <c r="D1223"/>
  <c r="D1224" s="1"/>
  <c r="D1225" s="1"/>
  <c r="D1226" s="1"/>
  <c r="D355"/>
  <c r="D356" s="1"/>
  <c r="D357" s="1"/>
  <c r="D358" s="1"/>
  <c r="D359" s="1"/>
  <c r="D219"/>
  <c r="D220" s="1"/>
  <c r="D221" s="1"/>
  <c r="D222" s="1"/>
  <c r="D223" s="1"/>
  <c r="D224" s="1"/>
  <c r="D225" s="1"/>
  <c r="D226" s="1"/>
  <c r="D227" s="1"/>
  <c r="D228" s="1"/>
  <c r="D229" s="1"/>
  <c r="D495"/>
  <c r="D120"/>
  <c r="D1371"/>
  <c r="D950"/>
  <c r="V22" i="11"/>
  <c r="A113"/>
  <c r="J20" l="1"/>
  <c r="I26"/>
  <c r="D26" s="1"/>
  <c r="K19" i="12"/>
  <c r="C20"/>
  <c r="D1227"/>
  <c r="D1228" s="1"/>
  <c r="D1229" s="1"/>
  <c r="D1230" s="1"/>
  <c r="D1231" s="1"/>
  <c r="D88"/>
  <c r="D360"/>
  <c r="D361" s="1"/>
  <c r="D362" s="1"/>
  <c r="D363" s="1"/>
  <c r="D364" s="1"/>
  <c r="D496"/>
  <c r="D438"/>
  <c r="D121"/>
  <c r="D951"/>
  <c r="W22" i="11"/>
  <c r="A116"/>
  <c r="W138" i="12" l="1"/>
  <c r="M36" i="11" s="1"/>
  <c r="D828" i="12"/>
  <c r="C21"/>
  <c r="K20"/>
  <c r="D89"/>
  <c r="D497"/>
  <c r="D439"/>
  <c r="D440" s="1"/>
  <c r="D284"/>
  <c r="D122"/>
  <c r="D123" s="1"/>
  <c r="D124" s="1"/>
  <c r="D125" s="1"/>
  <c r="D126" s="1"/>
  <c r="D127" s="1"/>
  <c r="D128" s="1"/>
  <c r="D129" s="1"/>
  <c r="D1232"/>
  <c r="D952"/>
  <c r="A119" i="11"/>
  <c r="I437" i="12" l="1"/>
  <c r="C38" i="11"/>
  <c r="G38" s="1"/>
  <c r="W147" i="12"/>
  <c r="D829"/>
  <c r="K21"/>
  <c r="C22"/>
  <c r="D130"/>
  <c r="D131" s="1"/>
  <c r="D132" s="1"/>
  <c r="D133" s="1"/>
  <c r="D90"/>
  <c r="D498"/>
  <c r="D499" s="1"/>
  <c r="D500" s="1"/>
  <c r="D501" s="1"/>
  <c r="D502" s="1"/>
  <c r="D503" s="1"/>
  <c r="D504" s="1"/>
  <c r="D505" s="1"/>
  <c r="D506" s="1"/>
  <c r="D507" s="1"/>
  <c r="D285"/>
  <c r="D286" s="1"/>
  <c r="D287" s="1"/>
  <c r="D441"/>
  <c r="D1233"/>
  <c r="D953"/>
  <c r="D954" s="1"/>
  <c r="D955" s="1"/>
  <c r="D956" s="1"/>
  <c r="D957" s="1"/>
  <c r="D958" s="1"/>
  <c r="D959" s="1"/>
  <c r="D960" s="1"/>
  <c r="A122" i="11"/>
  <c r="D830" i="12" l="1"/>
  <c r="E38" i="11"/>
  <c r="B35"/>
  <c r="H38"/>
  <c r="F38"/>
  <c r="M39"/>
  <c r="C41"/>
  <c r="C23" i="12"/>
  <c r="K22"/>
  <c r="D653"/>
  <c r="D961"/>
  <c r="D962" s="1"/>
  <c r="D963" s="1"/>
  <c r="D964" s="1"/>
  <c r="D965" s="1"/>
  <c r="D966" s="1"/>
  <c r="D967" s="1"/>
  <c r="D968" s="1"/>
  <c r="D969" s="1"/>
  <c r="D970" s="1"/>
  <c r="D971" s="1"/>
  <c r="D508"/>
  <c r="D509" s="1"/>
  <c r="D510" s="1"/>
  <c r="D511" s="1"/>
  <c r="D512" s="1"/>
  <c r="D513" s="1"/>
  <c r="D514" s="1"/>
  <c r="D515" s="1"/>
  <c r="D516" s="1"/>
  <c r="D517" s="1"/>
  <c r="D518" s="1"/>
  <c r="D288"/>
  <c r="D289" s="1"/>
  <c r="D290" s="1"/>
  <c r="D134"/>
  <c r="D135" s="1"/>
  <c r="D136" s="1"/>
  <c r="D137" s="1"/>
  <c r="D91"/>
  <c r="D442"/>
  <c r="D443" s="1"/>
  <c r="A125" i="11"/>
  <c r="W151" i="12" l="1"/>
  <c r="M42" i="11" s="1"/>
  <c r="G41"/>
  <c r="F41"/>
  <c r="J38" s="1"/>
  <c r="H41"/>
  <c r="E41"/>
  <c r="B38"/>
  <c r="P37" s="1"/>
  <c r="Q37" s="1"/>
  <c r="R37" s="1"/>
  <c r="S37" s="1"/>
  <c r="T37" s="1"/>
  <c r="U37" s="1"/>
  <c r="V37" s="1"/>
  <c r="W37" s="1"/>
  <c r="D365" i="12"/>
  <c r="K23"/>
  <c r="C24"/>
  <c r="D291"/>
  <c r="D292" s="1"/>
  <c r="D293" s="1"/>
  <c r="D92"/>
  <c r="D1372"/>
  <c r="A128" i="11"/>
  <c r="C44" l="1"/>
  <c r="B41" s="1"/>
  <c r="P40" s="1"/>
  <c r="Q40" s="1"/>
  <c r="R40" s="1"/>
  <c r="S40" s="1"/>
  <c r="T40" s="1"/>
  <c r="U40" s="1"/>
  <c r="V40" s="1"/>
  <c r="W40" s="1"/>
  <c r="W170" i="12"/>
  <c r="C47" i="11" s="1"/>
  <c r="G44"/>
  <c r="D366" i="12"/>
  <c r="K24"/>
  <c r="C25"/>
  <c r="D93"/>
  <c r="D94" s="1"/>
  <c r="D95" s="1"/>
  <c r="D96" s="1"/>
  <c r="D831"/>
  <c r="D519"/>
  <c r="D294"/>
  <c r="D1373"/>
  <c r="D972"/>
  <c r="A131" i="11"/>
  <c r="F44" l="1"/>
  <c r="F47" s="1"/>
  <c r="J44" s="1"/>
  <c r="W189" i="12"/>
  <c r="C50" i="11" s="1"/>
  <c r="I828" i="12"/>
  <c r="H44" i="11"/>
  <c r="D367" i="12"/>
  <c r="E44" i="11"/>
  <c r="E47" s="1"/>
  <c r="M45"/>
  <c r="H47"/>
  <c r="B44"/>
  <c r="P43" s="1"/>
  <c r="Q43" s="1"/>
  <c r="R43" s="1"/>
  <c r="S43" s="1"/>
  <c r="T43" s="1"/>
  <c r="U43" s="1"/>
  <c r="V43" s="1"/>
  <c r="W43" s="1"/>
  <c r="G47"/>
  <c r="J41"/>
  <c r="K25" i="12"/>
  <c r="C26"/>
  <c r="D97"/>
  <c r="D98" s="1"/>
  <c r="D520"/>
  <c r="D521" s="1"/>
  <c r="D295"/>
  <c r="D1374"/>
  <c r="D1375" s="1"/>
  <c r="D1376" s="1"/>
  <c r="D1377" s="1"/>
  <c r="D1378" s="1"/>
  <c r="D1379" s="1"/>
  <c r="D1380" s="1"/>
  <c r="D1381" s="1"/>
  <c r="D1382" s="1"/>
  <c r="D1383" s="1"/>
  <c r="D973"/>
  <c r="D654"/>
  <c r="A134" i="11"/>
  <c r="E50" l="1"/>
  <c r="W198" i="12"/>
  <c r="M51" i="11" s="1"/>
  <c r="F50"/>
  <c r="J47" s="1"/>
  <c r="H50"/>
  <c r="B47"/>
  <c r="P46" s="1"/>
  <c r="Q46" s="1"/>
  <c r="R46" s="1"/>
  <c r="S46" s="1"/>
  <c r="T46" s="1"/>
  <c r="U46" s="1"/>
  <c r="V46" s="1"/>
  <c r="W46" s="1"/>
  <c r="G50"/>
  <c r="K26" i="12"/>
  <c r="C27"/>
  <c r="D1384"/>
  <c r="D1385" s="1"/>
  <c r="D1386" s="1"/>
  <c r="D1387" s="1"/>
  <c r="D1388" s="1"/>
  <c r="D1389" s="1"/>
  <c r="D1390" s="1"/>
  <c r="D1391" s="1"/>
  <c r="D522"/>
  <c r="D523" s="1"/>
  <c r="D524" s="1"/>
  <c r="D99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444"/>
  <c r="D1234"/>
  <c r="D230"/>
  <c r="D832"/>
  <c r="D655"/>
  <c r="A137" i="11"/>
  <c r="W202" i="12" l="1"/>
  <c r="C56" i="11" s="1"/>
  <c r="D296" i="12"/>
  <c r="C53" i="11"/>
  <c r="B50" s="1"/>
  <c r="P49" s="1"/>
  <c r="Q49" s="1"/>
  <c r="R49" s="1"/>
  <c r="S49" s="1"/>
  <c r="T49" s="1"/>
  <c r="U49" s="1"/>
  <c r="V49" s="1"/>
  <c r="W49" s="1"/>
  <c r="D231" i="12"/>
  <c r="K27"/>
  <c r="C28"/>
  <c r="D525"/>
  <c r="D526" s="1"/>
  <c r="D527" s="1"/>
  <c r="D138"/>
  <c r="D445"/>
  <c r="D833"/>
  <c r="D834" s="1"/>
  <c r="D835" s="1"/>
  <c r="D836" s="1"/>
  <c r="D837" s="1"/>
  <c r="D838" s="1"/>
  <c r="D839" s="1"/>
  <c r="D840" s="1"/>
  <c r="D841" s="1"/>
  <c r="D842" s="1"/>
  <c r="D843" s="1"/>
  <c r="D844" s="1"/>
  <c r="D845" s="1"/>
  <c r="D846" s="1"/>
  <c r="D656"/>
  <c r="A140" i="11"/>
  <c r="M54" l="1"/>
  <c r="F56"/>
  <c r="G56"/>
  <c r="D297" i="12"/>
  <c r="I293"/>
  <c r="D298"/>
  <c r="D299" s="1"/>
  <c r="B53" i="11"/>
  <c r="P52" s="1"/>
  <c r="Q52" s="1"/>
  <c r="R52" s="1"/>
  <c r="S52" s="1"/>
  <c r="T52" s="1"/>
  <c r="U52" s="1"/>
  <c r="V52" s="1"/>
  <c r="W52" s="1"/>
  <c r="H56"/>
  <c r="H53"/>
  <c r="F53"/>
  <c r="J50" s="1"/>
  <c r="G53"/>
  <c r="E53"/>
  <c r="D232" i="12"/>
  <c r="E56" i="11"/>
  <c r="K28" i="12"/>
  <c r="C29"/>
  <c r="K29" s="1"/>
  <c r="D847"/>
  <c r="D848" s="1"/>
  <c r="D849" s="1"/>
  <c r="D850" s="1"/>
  <c r="D851" s="1"/>
  <c r="D852" s="1"/>
  <c r="D853" s="1"/>
  <c r="D854" s="1"/>
  <c r="D855" s="1"/>
  <c r="D139"/>
  <c r="D446"/>
  <c r="D657"/>
  <c r="D528"/>
  <c r="D368"/>
  <c r="I114"/>
  <c r="D1392"/>
  <c r="D1235"/>
  <c r="A143" i="11"/>
  <c r="D233" i="12"/>
  <c r="D234" s="1"/>
  <c r="D235" s="1"/>
  <c r="D236" s="1"/>
  <c r="D237" s="1"/>
  <c r="D238" s="1"/>
  <c r="D239" s="1"/>
  <c r="D240" s="1"/>
  <c r="D241" s="1"/>
  <c r="I365" l="1"/>
  <c r="D140"/>
  <c r="D141" s="1"/>
  <c r="D142" s="1"/>
  <c r="D143" s="1"/>
  <c r="D144" s="1"/>
  <c r="D145" s="1"/>
  <c r="D146" s="1"/>
  <c r="D242"/>
  <c r="D243" s="1"/>
  <c r="D244" s="1"/>
  <c r="D245" s="1"/>
  <c r="D246" s="1"/>
  <c r="D247" s="1"/>
  <c r="D248" s="1"/>
  <c r="D249" s="1"/>
  <c r="C30"/>
  <c r="D447"/>
  <c r="D529"/>
  <c r="D369"/>
  <c r="D1393"/>
  <c r="D1236"/>
  <c r="D1237" s="1"/>
  <c r="D1238" s="1"/>
  <c r="D1239" s="1"/>
  <c r="D1240" s="1"/>
  <c r="D1241" s="1"/>
  <c r="D1242" s="1"/>
  <c r="D1243" s="1"/>
  <c r="D1244" s="1"/>
  <c r="D1245" s="1"/>
  <c r="A146" i="11"/>
  <c r="D147" i="12" l="1"/>
  <c r="D300"/>
  <c r="D1246"/>
  <c r="D1247" s="1"/>
  <c r="D1248" s="1"/>
  <c r="K30"/>
  <c r="C31"/>
  <c r="D448"/>
  <c r="D449" s="1"/>
  <c r="D974"/>
  <c r="D370"/>
  <c r="D856"/>
  <c r="A149" i="11"/>
  <c r="I296" i="12" l="1"/>
  <c r="D148"/>
  <c r="D149" s="1"/>
  <c r="D150" s="1"/>
  <c r="K31"/>
  <c r="C32"/>
  <c r="D1249"/>
  <c r="D1250" s="1"/>
  <c r="D1251" s="1"/>
  <c r="D1252" s="1"/>
  <c r="D1253" s="1"/>
  <c r="D1254" s="1"/>
  <c r="D450"/>
  <c r="D371"/>
  <c r="D301"/>
  <c r="D857"/>
  <c r="D658"/>
  <c r="A152" i="11"/>
  <c r="D302" i="12" l="1"/>
  <c r="D303" s="1"/>
  <c r="D304" s="1"/>
  <c r="D305" s="1"/>
  <c r="D306" s="1"/>
  <c r="D307" s="1"/>
  <c r="D659"/>
  <c r="D660" s="1"/>
  <c r="C33"/>
  <c r="C34" s="1"/>
  <c r="K34" s="1"/>
  <c r="K32"/>
  <c r="D451"/>
  <c r="D372"/>
  <c r="D151"/>
  <c r="D1255"/>
  <c r="D975"/>
  <c r="A155" i="11"/>
  <c r="I147" i="12" l="1"/>
  <c r="D308"/>
  <c r="D309" s="1"/>
  <c r="D310" s="1"/>
  <c r="K33"/>
  <c r="C35"/>
  <c r="D452"/>
  <c r="D373"/>
  <c r="D1256"/>
  <c r="D976"/>
  <c r="D977" s="1"/>
  <c r="D978" s="1"/>
  <c r="D979" s="1"/>
  <c r="A158" i="11"/>
  <c r="K35" i="12" l="1"/>
  <c r="C36"/>
  <c r="D453"/>
  <c r="D454" s="1"/>
  <c r="D455" s="1"/>
  <c r="D1394"/>
  <c r="D530"/>
  <c r="D374"/>
  <c r="D152"/>
  <c r="D980"/>
  <c r="A161" i="11"/>
  <c r="C37" i="12" l="1"/>
  <c r="K36"/>
  <c r="D1395"/>
  <c r="D375"/>
  <c r="D153"/>
  <c r="D154" s="1"/>
  <c r="D155" s="1"/>
  <c r="D156" s="1"/>
  <c r="D157" s="1"/>
  <c r="D158" s="1"/>
  <c r="D159" s="1"/>
  <c r="D160" s="1"/>
  <c r="D161" s="1"/>
  <c r="D162" s="1"/>
  <c r="D163" s="1"/>
  <c r="D981"/>
  <c r="A164" i="11"/>
  <c r="D164" i="12" l="1"/>
  <c r="D165" s="1"/>
  <c r="D166" s="1"/>
  <c r="D167" s="1"/>
  <c r="D168" s="1"/>
  <c r="D169" s="1"/>
  <c r="D170" s="1"/>
  <c r="K37"/>
  <c r="C38"/>
  <c r="D1396"/>
  <c r="D531"/>
  <c r="D376"/>
  <c r="D982"/>
  <c r="D661"/>
  <c r="A167" i="11"/>
  <c r="D858" i="12" l="1"/>
  <c r="D662"/>
  <c r="D663" s="1"/>
  <c r="K38"/>
  <c r="C39"/>
  <c r="D171"/>
  <c r="D1397"/>
  <c r="D532"/>
  <c r="D533" s="1"/>
  <c r="D534" s="1"/>
  <c r="D535" s="1"/>
  <c r="D536" s="1"/>
  <c r="D537" s="1"/>
  <c r="D538" s="1"/>
  <c r="D539" s="1"/>
  <c r="D540" s="1"/>
  <c r="D541" s="1"/>
  <c r="D377"/>
  <c r="D311"/>
  <c r="D983"/>
  <c r="A170" i="11"/>
  <c r="D859" i="12" l="1"/>
  <c r="D542"/>
  <c r="D543" s="1"/>
  <c r="D544" s="1"/>
  <c r="D545" s="1"/>
  <c r="D546" s="1"/>
  <c r="D547" s="1"/>
  <c r="D548" s="1"/>
  <c r="D549" s="1"/>
  <c r="C40"/>
  <c r="K39"/>
  <c r="D172"/>
  <c r="D1257"/>
  <c r="D1398"/>
  <c r="D378"/>
  <c r="D984"/>
  <c r="D985" s="1"/>
  <c r="A173" i="11"/>
  <c r="D860" i="12" l="1"/>
  <c r="D861" s="1"/>
  <c r="D862" s="1"/>
  <c r="D863" s="1"/>
  <c r="D864" s="1"/>
  <c r="D865" s="1"/>
  <c r="D866" s="1"/>
  <c r="D867" s="1"/>
  <c r="D868" s="1"/>
  <c r="D869" s="1"/>
  <c r="D870" s="1"/>
  <c r="D871" s="1"/>
  <c r="D872" s="1"/>
  <c r="D873" s="1"/>
  <c r="D874" s="1"/>
  <c r="D875" s="1"/>
  <c r="D876" s="1"/>
  <c r="D877" s="1"/>
  <c r="D878" s="1"/>
  <c r="D879" s="1"/>
  <c r="D880" s="1"/>
  <c r="D881" s="1"/>
  <c r="D986"/>
  <c r="D987" s="1"/>
  <c r="D988" s="1"/>
  <c r="D989" s="1"/>
  <c r="D990" s="1"/>
  <c r="D991" s="1"/>
  <c r="D992" s="1"/>
  <c r="D993" s="1"/>
  <c r="C41"/>
  <c r="K40"/>
  <c r="D173"/>
  <c r="D1258"/>
  <c r="D1399"/>
  <c r="D379"/>
  <c r="D312"/>
  <c r="D664"/>
  <c r="A176" i="11"/>
  <c r="D380" i="12" l="1"/>
  <c r="D381" s="1"/>
  <c r="D382" s="1"/>
  <c r="D383" s="1"/>
  <c r="D384" s="1"/>
  <c r="D385" s="1"/>
  <c r="D386" s="1"/>
  <c r="C42"/>
  <c r="K41"/>
  <c r="D174"/>
  <c r="D1259"/>
  <c r="D1400"/>
  <c r="D550"/>
  <c r="D313"/>
  <c r="D314" s="1"/>
  <c r="D665"/>
  <c r="A179" i="11"/>
  <c r="D882" i="12" l="1"/>
  <c r="D883" s="1"/>
  <c r="D315"/>
  <c r="D316" s="1"/>
  <c r="D317" s="1"/>
  <c r="C43"/>
  <c r="K43" s="1"/>
  <c r="K42"/>
  <c r="D175"/>
  <c r="D1260"/>
  <c r="D1401"/>
  <c r="D551"/>
  <c r="D552" s="1"/>
  <c r="D994"/>
  <c r="A182" i="11"/>
  <c r="D884" i="12" l="1"/>
  <c r="D885" s="1"/>
  <c r="D886" s="1"/>
  <c r="D887" s="1"/>
  <c r="D888" s="1"/>
  <c r="D889" s="1"/>
  <c r="D890" s="1"/>
  <c r="D891" s="1"/>
  <c r="D892" s="1"/>
  <c r="D893" s="1"/>
  <c r="D894" s="1"/>
  <c r="D895" s="1"/>
  <c r="D896" s="1"/>
  <c r="D897" s="1"/>
  <c r="D898" s="1"/>
  <c r="D899" s="1"/>
  <c r="D900" s="1"/>
  <c r="D901" s="1"/>
  <c r="D902" s="1"/>
  <c r="D903" s="1"/>
  <c r="D904" s="1"/>
  <c r="D905" s="1"/>
  <c r="D553"/>
  <c r="D554" s="1"/>
  <c r="D318"/>
  <c r="D319" s="1"/>
  <c r="D320" s="1"/>
  <c r="C44"/>
  <c r="K44" s="1"/>
  <c r="D176"/>
  <c r="D177" s="1"/>
  <c r="D178" s="1"/>
  <c r="D179" s="1"/>
  <c r="D180" s="1"/>
  <c r="D181" s="1"/>
  <c r="D182" s="1"/>
  <c r="D1261"/>
  <c r="D1402"/>
  <c r="D995"/>
  <c r="A185" i="11"/>
  <c r="D906" i="12" l="1"/>
  <c r="D907" s="1"/>
  <c r="C45"/>
  <c r="K45" s="1"/>
  <c r="D555"/>
  <c r="D556" s="1"/>
  <c r="D557" s="1"/>
  <c r="D558" s="1"/>
  <c r="D183"/>
  <c r="D184" s="1"/>
  <c r="D185" s="1"/>
  <c r="D186" s="1"/>
  <c r="D187" s="1"/>
  <c r="D188" s="1"/>
  <c r="D1262"/>
  <c r="D1403"/>
  <c r="D321"/>
  <c r="A188" i="11"/>
  <c r="I882" i="12" l="1"/>
  <c r="D908"/>
  <c r="D909" s="1"/>
  <c r="D910" s="1"/>
  <c r="D911" s="1"/>
  <c r="D912" s="1"/>
  <c r="D913" s="1"/>
  <c r="D914" s="1"/>
  <c r="D915" s="1"/>
  <c r="D916" s="1"/>
  <c r="D917" s="1"/>
  <c r="D918" s="1"/>
  <c r="D919" s="1"/>
  <c r="D920" s="1"/>
  <c r="D921" s="1"/>
  <c r="D922" s="1"/>
  <c r="D923" s="1"/>
  <c r="D924" s="1"/>
  <c r="C46"/>
  <c r="C47" s="1"/>
  <c r="K47" s="1"/>
  <c r="D1263"/>
  <c r="D1264" s="1"/>
  <c r="D1265" s="1"/>
  <c r="D1266" s="1"/>
  <c r="D1267" s="1"/>
  <c r="D1268" s="1"/>
  <c r="D1404"/>
  <c r="D387"/>
  <c r="D322"/>
  <c r="D666"/>
  <c r="A191" i="11"/>
  <c r="D925" i="12" l="1"/>
  <c r="D926" s="1"/>
  <c r="D323"/>
  <c r="D324" s="1"/>
  <c r="D667"/>
  <c r="K46"/>
  <c r="C48"/>
  <c r="C49" s="1"/>
  <c r="D1269"/>
  <c r="D1270" s="1"/>
  <c r="D1271" s="1"/>
  <c r="D1272" s="1"/>
  <c r="D1273" s="1"/>
  <c r="D1274" s="1"/>
  <c r="D1275" s="1"/>
  <c r="D1276" s="1"/>
  <c r="D1277" s="1"/>
  <c r="D1405"/>
  <c r="D559"/>
  <c r="A194" i="11"/>
  <c r="I906" i="12" l="1"/>
  <c r="D927"/>
  <c r="D928" s="1"/>
  <c r="D929" s="1"/>
  <c r="D930" s="1"/>
  <c r="D931" s="1"/>
  <c r="D325"/>
  <c r="D326" s="1"/>
  <c r="K48"/>
  <c r="D1278"/>
  <c r="D1406"/>
  <c r="D1407" s="1"/>
  <c r="D1408" s="1"/>
  <c r="D1409" s="1"/>
  <c r="D1410" s="1"/>
  <c r="D1411" s="1"/>
  <c r="D1412" s="1"/>
  <c r="D560"/>
  <c r="D388"/>
  <c r="C50"/>
  <c r="K49"/>
  <c r="A197" i="11"/>
  <c r="W203" i="12"/>
  <c r="D189" l="1"/>
  <c r="D190" s="1"/>
  <c r="M57" i="11"/>
  <c r="C59"/>
  <c r="D1279" i="12"/>
  <c r="D932"/>
  <c r="D389"/>
  <c r="D668"/>
  <c r="K50"/>
  <c r="C51"/>
  <c r="A200" i="11"/>
  <c r="D191" i="12" l="1"/>
  <c r="D192" s="1"/>
  <c r="D193" s="1"/>
  <c r="D194" s="1"/>
  <c r="D195" s="1"/>
  <c r="D196" s="1"/>
  <c r="D197" s="1"/>
  <c r="D198" s="1"/>
  <c r="G59" i="11"/>
  <c r="B56"/>
  <c r="H59"/>
  <c r="E59"/>
  <c r="F59"/>
  <c r="D1280" i="12"/>
  <c r="D1281" s="1"/>
  <c r="D1282" s="1"/>
  <c r="D1283" s="1"/>
  <c r="D1284" s="1"/>
  <c r="D1285" s="1"/>
  <c r="D1286" s="1"/>
  <c r="D1287" s="1"/>
  <c r="D1288" s="1"/>
  <c r="D1289" s="1"/>
  <c r="D1290" s="1"/>
  <c r="D1291" s="1"/>
  <c r="D1292" s="1"/>
  <c r="D1293" s="1"/>
  <c r="D1294" s="1"/>
  <c r="D1295" s="1"/>
  <c r="D1296" s="1"/>
  <c r="D1297" s="1"/>
  <c r="D1298" s="1"/>
  <c r="D1299" s="1"/>
  <c r="D1300" s="1"/>
  <c r="D1301" s="1"/>
  <c r="D1302" s="1"/>
  <c r="D1303" s="1"/>
  <c r="D669"/>
  <c r="D670" s="1"/>
  <c r="D933"/>
  <c r="D996"/>
  <c r="D327"/>
  <c r="C52"/>
  <c r="K51"/>
  <c r="A203" i="11"/>
  <c r="I323" i="12" l="1"/>
  <c r="I189"/>
  <c r="D199"/>
  <c r="D934"/>
  <c r="D935" s="1"/>
  <c r="D936" s="1"/>
  <c r="D997"/>
  <c r="D671"/>
  <c r="K52"/>
  <c r="C53"/>
  <c r="K53" s="1"/>
  <c r="A206" i="11"/>
  <c r="D200" i="12" l="1"/>
  <c r="D201" s="1"/>
  <c r="D937"/>
  <c r="D938" s="1"/>
  <c r="D939" s="1"/>
  <c r="D940" s="1"/>
  <c r="D941" s="1"/>
  <c r="D942" s="1"/>
  <c r="D943" s="1"/>
  <c r="D998"/>
  <c r="D561"/>
  <c r="D328"/>
  <c r="L24" i="11"/>
  <c r="C54" i="12"/>
  <c r="A209" i="11"/>
  <c r="H198" i="12" l="1"/>
  <c r="D999"/>
  <c r="D562"/>
  <c r="D329"/>
  <c r="D330" s="1"/>
  <c r="D331" s="1"/>
  <c r="D332" s="1"/>
  <c r="H114"/>
  <c r="B114" s="1"/>
  <c r="U114" s="1"/>
  <c r="C55"/>
  <c r="K54"/>
  <c r="A212" i="11"/>
  <c r="D1304" i="12" l="1"/>
  <c r="D333"/>
  <c r="D334" s="1"/>
  <c r="D1000"/>
  <c r="D563"/>
  <c r="D390"/>
  <c r="K55"/>
  <c r="C56"/>
  <c r="A215" i="11"/>
  <c r="D1305" i="12" l="1"/>
  <c r="D672"/>
  <c r="D673" s="1"/>
  <c r="D1306"/>
  <c r="D1307" s="1"/>
  <c r="D1308" s="1"/>
  <c r="D1309" s="1"/>
  <c r="D1310" s="1"/>
  <c r="D1311" s="1"/>
  <c r="D1312" s="1"/>
  <c r="D1313" s="1"/>
  <c r="D1314" s="1"/>
  <c r="D1315" s="1"/>
  <c r="D1316" s="1"/>
  <c r="D1317" s="1"/>
  <c r="D1318" s="1"/>
  <c r="D1319" s="1"/>
  <c r="D1320" s="1"/>
  <c r="D1321" s="1"/>
  <c r="D1322" s="1"/>
  <c r="D1323" s="1"/>
  <c r="D1001"/>
  <c r="D564"/>
  <c r="D391"/>
  <c r="C57"/>
  <c r="K56"/>
  <c r="A218" i="11"/>
  <c r="D674" i="12" l="1"/>
  <c r="D675" s="1"/>
  <c r="D676" s="1"/>
  <c r="D677" s="1"/>
  <c r="D678" s="1"/>
  <c r="D679" s="1"/>
  <c r="D335"/>
  <c r="D1002"/>
  <c r="D565"/>
  <c r="D392"/>
  <c r="K57"/>
  <c r="C58"/>
  <c r="A221" i="11"/>
  <c r="D1324" i="12" l="1"/>
  <c r="D336"/>
  <c r="D1003"/>
  <c r="D566"/>
  <c r="D393"/>
  <c r="K58"/>
  <c r="C59"/>
  <c r="A224" i="11"/>
  <c r="I1304" i="12" l="1"/>
  <c r="D1325"/>
  <c r="D337"/>
  <c r="D1004"/>
  <c r="D567"/>
  <c r="D394"/>
  <c r="K59"/>
  <c r="C60"/>
  <c r="A227" i="11"/>
  <c r="D1326" i="12" l="1"/>
  <c r="D1327" s="1"/>
  <c r="D1328" s="1"/>
  <c r="D1329" s="1"/>
  <c r="D1330" s="1"/>
  <c r="D1331" s="1"/>
  <c r="D1332" s="1"/>
  <c r="D1333" s="1"/>
  <c r="D1334" s="1"/>
  <c r="D1335" s="1"/>
  <c r="D1336" s="1"/>
  <c r="D1337" s="1"/>
  <c r="D1338" s="1"/>
  <c r="D1339" s="1"/>
  <c r="D1340" s="1"/>
  <c r="D1341" s="1"/>
  <c r="D1342" s="1"/>
  <c r="D1343" s="1"/>
  <c r="D1005"/>
  <c r="D1006" s="1"/>
  <c r="D1007" s="1"/>
  <c r="D568"/>
  <c r="D395"/>
  <c r="K60"/>
  <c r="C61"/>
  <c r="A230" i="11"/>
  <c r="H1324" i="12" l="1"/>
  <c r="D1008"/>
  <c r="D1009" s="1"/>
  <c r="D1010" s="1"/>
  <c r="D1011" s="1"/>
  <c r="D1012" s="1"/>
  <c r="D569"/>
  <c r="D396"/>
  <c r="C62"/>
  <c r="K61"/>
  <c r="A233" i="11"/>
  <c r="D1013" i="12" l="1"/>
  <c r="D1014" s="1"/>
  <c r="D570"/>
  <c r="D397"/>
  <c r="C63"/>
  <c r="K62"/>
  <c r="A236" i="11"/>
  <c r="D1015" i="12" l="1"/>
  <c r="D571"/>
  <c r="D398"/>
  <c r="K63"/>
  <c r="C64"/>
  <c r="A239" i="11"/>
  <c r="D1016" i="12" l="1"/>
  <c r="D572"/>
  <c r="D399"/>
  <c r="C65"/>
  <c r="K64"/>
  <c r="A242" i="11"/>
  <c r="D1017" i="12" l="1"/>
  <c r="D573"/>
  <c r="D574" s="1"/>
  <c r="D575" s="1"/>
  <c r="D576" s="1"/>
  <c r="D577" s="1"/>
  <c r="D578" s="1"/>
  <c r="D400"/>
  <c r="C66"/>
  <c r="K66" s="1"/>
  <c r="K65"/>
  <c r="A245" i="11"/>
  <c r="D1018" i="12" l="1"/>
  <c r="D579"/>
  <c r="D401"/>
  <c r="C67"/>
  <c r="A248" i="11"/>
  <c r="D1019" i="12" l="1"/>
  <c r="D402"/>
  <c r="D403" s="1"/>
  <c r="D404" s="1"/>
  <c r="D405" s="1"/>
  <c r="D406" s="1"/>
  <c r="D407" s="1"/>
  <c r="D408" s="1"/>
  <c r="K67"/>
  <c r="C68"/>
  <c r="A251" i="11"/>
  <c r="D1020" i="12" l="1"/>
  <c r="K68"/>
  <c r="C69"/>
  <c r="A254" i="11"/>
  <c r="K69" i="12" l="1"/>
  <c r="C70"/>
  <c r="A257" i="11"/>
  <c r="D1021" i="12" l="1"/>
  <c r="D1022" s="1"/>
  <c r="D580"/>
  <c r="D581" s="1"/>
  <c r="C71"/>
  <c r="C72" s="1"/>
  <c r="K70"/>
  <c r="A260" i="11"/>
  <c r="D1023" i="12" l="1"/>
  <c r="D1024" s="1"/>
  <c r="D1025" s="1"/>
  <c r="D1026" s="1"/>
  <c r="D582"/>
  <c r="D583" s="1"/>
  <c r="D584" s="1"/>
  <c r="D585" s="1"/>
  <c r="K72"/>
  <c r="C73"/>
  <c r="K73" s="1"/>
  <c r="K71"/>
  <c r="A263" i="11"/>
  <c r="D1028" i="12" l="1"/>
  <c r="D586"/>
  <c r="C74"/>
  <c r="K74" s="1"/>
  <c r="A266" i="11"/>
  <c r="D1029" i="12" l="1"/>
  <c r="D587"/>
  <c r="C75"/>
  <c r="C76" s="1"/>
  <c r="A269" i="11"/>
  <c r="D1030" i="12" l="1"/>
  <c r="D1031" s="1"/>
  <c r="D1032" s="1"/>
  <c r="D1033" s="1"/>
  <c r="D1034" s="1"/>
  <c r="D1035" s="1"/>
  <c r="D1036" s="1"/>
  <c r="D1037" s="1"/>
  <c r="D1038" s="1"/>
  <c r="D1039" s="1"/>
  <c r="D1040" s="1"/>
  <c r="D1041" s="1"/>
  <c r="D1042" s="1"/>
  <c r="D1043" s="1"/>
  <c r="D1044" s="1"/>
  <c r="D1045" s="1"/>
  <c r="D1046" s="1"/>
  <c r="D1047" s="1"/>
  <c r="D1048" s="1"/>
  <c r="D1049" s="1"/>
  <c r="D1050" s="1"/>
  <c r="D1051" s="1"/>
  <c r="D1052" s="1"/>
  <c r="D1053" s="1"/>
  <c r="D1054" s="1"/>
  <c r="D1055" s="1"/>
  <c r="D588"/>
  <c r="K75"/>
  <c r="K76"/>
  <c r="A272" i="11"/>
  <c r="D589" i="12" l="1"/>
  <c r="C77"/>
  <c r="A275" i="11"/>
  <c r="D1056" i="12" l="1"/>
  <c r="D590"/>
  <c r="K77"/>
  <c r="C78"/>
  <c r="A278" i="11"/>
  <c r="D1057" i="12" l="1"/>
  <c r="D591"/>
  <c r="K78"/>
  <c r="C79"/>
  <c r="A281" i="11"/>
  <c r="D1058" i="12" l="1"/>
  <c r="D592"/>
  <c r="D593" s="1"/>
  <c r="D594" s="1"/>
  <c r="D595" s="1"/>
  <c r="D596" s="1"/>
  <c r="D597" s="1"/>
  <c r="D598" s="1"/>
  <c r="D599" s="1"/>
  <c r="D600" s="1"/>
  <c r="D601" s="1"/>
  <c r="D602" s="1"/>
  <c r="D603" s="1"/>
  <c r="C80"/>
  <c r="K79"/>
  <c r="A284" i="11"/>
  <c r="D1059" i="12" l="1"/>
  <c r="D604"/>
  <c r="C81"/>
  <c r="K80"/>
  <c r="A287" i="11"/>
  <c r="D1060" i="12" l="1"/>
  <c r="D605"/>
  <c r="K81"/>
  <c r="C82"/>
  <c r="A290" i="11"/>
  <c r="D1061" i="12" l="1"/>
  <c r="D606"/>
  <c r="C83"/>
  <c r="K82"/>
  <c r="A293" i="11"/>
  <c r="D1062" i="12" l="1"/>
  <c r="D607"/>
  <c r="K83"/>
  <c r="A296" i="11"/>
  <c r="D1063" i="12" l="1"/>
  <c r="D608"/>
  <c r="A299" i="11"/>
  <c r="C84" i="12" l="1"/>
  <c r="K84" s="1"/>
  <c r="D1064"/>
  <c r="D609"/>
  <c r="A302" i="11"/>
  <c r="D1065" i="12" l="1"/>
  <c r="D610"/>
  <c r="A305" i="11"/>
  <c r="D1066" i="12" l="1"/>
  <c r="D1067" s="1"/>
  <c r="D1068" s="1"/>
  <c r="D1069" s="1"/>
  <c r="D1070" s="1"/>
  <c r="D1071" s="1"/>
  <c r="D1072" s="1"/>
  <c r="D1073" s="1"/>
  <c r="D1074" s="1"/>
  <c r="D611"/>
  <c r="D612" s="1"/>
  <c r="D613" s="1"/>
  <c r="D614" s="1"/>
  <c r="D615" s="1"/>
  <c r="D616" s="1"/>
  <c r="D617" s="1"/>
  <c r="D618" s="1"/>
  <c r="D619" s="1"/>
  <c r="D620" s="1"/>
  <c r="D621" s="1"/>
  <c r="D622" s="1"/>
  <c r="A308" i="11"/>
  <c r="D1075" i="12" l="1"/>
  <c r="D623"/>
  <c r="A311" i="11"/>
  <c r="D1076" i="12" l="1"/>
  <c r="D624"/>
  <c r="A314" i="11"/>
  <c r="D625" i="12" l="1"/>
  <c r="A317" i="11"/>
  <c r="D626" i="12" l="1"/>
  <c r="A320" i="11"/>
  <c r="D627" i="12" l="1"/>
  <c r="A323" i="11"/>
  <c r="D628" i="12" l="1"/>
  <c r="D629" s="1"/>
  <c r="D630" s="1"/>
  <c r="D631" s="1"/>
  <c r="D632" s="1"/>
  <c r="D633" s="1"/>
  <c r="D634" s="1"/>
  <c r="D635" s="1"/>
  <c r="D636" s="1"/>
  <c r="D637" s="1"/>
  <c r="D638" s="1"/>
  <c r="D639" s="1"/>
  <c r="D640" s="1"/>
  <c r="A326" i="11"/>
  <c r="D1077" i="12" l="1"/>
  <c r="A329" i="11"/>
  <c r="D1078" i="12" l="1"/>
  <c r="A332" i="11"/>
  <c r="D1079" i="12" l="1"/>
  <c r="A335" i="11"/>
  <c r="D1080" i="12" l="1"/>
  <c r="A338" i="11"/>
  <c r="D1081" i="12" l="1"/>
  <c r="D1082" s="1"/>
  <c r="D1083" s="1"/>
  <c r="D1084" s="1"/>
  <c r="D1085" s="1"/>
  <c r="D1086" s="1"/>
  <c r="D1087" s="1"/>
  <c r="D1088" s="1"/>
  <c r="D1089" s="1"/>
  <c r="D1090" s="1"/>
  <c r="D1091" s="1"/>
  <c r="D1092" s="1"/>
  <c r="D1093" s="1"/>
  <c r="D1094" s="1"/>
  <c r="A341" i="11"/>
  <c r="A344" l="1"/>
  <c r="A347" l="1"/>
  <c r="A350" l="1"/>
  <c r="D1095" i="12" l="1"/>
  <c r="A353" i="11"/>
  <c r="D1096" i="12" l="1"/>
  <c r="A356" i="11"/>
  <c r="D1097" i="12" l="1"/>
  <c r="A359" i="11"/>
  <c r="D1098" i="12" l="1"/>
  <c r="A362" i="11"/>
  <c r="D1099" i="12" l="1"/>
  <c r="A365" i="11"/>
  <c r="D1100" i="12" l="1"/>
  <c r="A368" i="11"/>
  <c r="D1101" i="12" l="1"/>
  <c r="D1102" s="1"/>
  <c r="D1103" s="1"/>
  <c r="D1104" s="1"/>
  <c r="D1105" s="1"/>
  <c r="D1106" s="1"/>
  <c r="D1107" s="1"/>
  <c r="D1108" s="1"/>
  <c r="D1109" s="1"/>
  <c r="D1110" s="1"/>
  <c r="D1111" s="1"/>
  <c r="D1112" s="1"/>
  <c r="D1113" s="1"/>
  <c r="D1114" s="1"/>
  <c r="D1115" s="1"/>
  <c r="D1116" s="1"/>
  <c r="D1117" s="1"/>
  <c r="D1118" s="1"/>
  <c r="D1119" s="1"/>
  <c r="A371" i="11"/>
  <c r="A374" l="1"/>
  <c r="D1120" i="12" l="1"/>
  <c r="D1121" s="1"/>
  <c r="A377" i="11"/>
  <c r="D1122" i="12" l="1"/>
  <c r="D1123" s="1"/>
  <c r="A380" i="11"/>
  <c r="A383" l="1"/>
  <c r="A386" l="1"/>
  <c r="A389" l="1"/>
  <c r="A392" l="1"/>
  <c r="A395" l="1"/>
  <c r="A398" l="1"/>
  <c r="I44" l="1"/>
  <c r="D44" s="1"/>
  <c r="I53"/>
  <c r="I41"/>
  <c r="D41" s="1"/>
  <c r="I50"/>
  <c r="D50" s="1"/>
  <c r="I47"/>
  <c r="D47" s="1"/>
  <c r="A401"/>
  <c r="A404" l="1"/>
  <c r="A407" l="1"/>
  <c r="A410" l="1"/>
  <c r="D1124" i="12" l="1"/>
  <c r="A413" i="11"/>
  <c r="D1125" i="12" l="1"/>
  <c r="I1120"/>
  <c r="D1126"/>
  <c r="D1127" s="1"/>
  <c r="A416" i="11"/>
  <c r="A419" l="1"/>
  <c r="D1129" i="12" l="1"/>
  <c r="A422" i="11"/>
  <c r="D1130" i="12" l="1"/>
  <c r="D1131" s="1"/>
  <c r="D1132" s="1"/>
  <c r="D1133" s="1"/>
  <c r="D1134" s="1"/>
  <c r="D1135" s="1"/>
  <c r="D1136" s="1"/>
  <c r="D1137" s="1"/>
  <c r="D1138" s="1"/>
  <c r="D1139" s="1"/>
  <c r="D1140" s="1"/>
  <c r="D1141" s="1"/>
  <c r="A425" i="11"/>
  <c r="D1142" i="12" l="1"/>
  <c r="D1143" s="1"/>
  <c r="A428" i="11"/>
  <c r="I1129" i="12" l="1"/>
  <c r="D1144"/>
  <c r="A431" i="11"/>
  <c r="D1145" i="12" l="1"/>
  <c r="D1146" s="1"/>
  <c r="A434" i="11"/>
  <c r="I1142" i="12" l="1"/>
  <c r="D1147"/>
  <c r="I38" i="11"/>
  <c r="D38" s="1"/>
  <c r="J29"/>
  <c r="D1148" i="12" l="1"/>
  <c r="D1149" s="1"/>
  <c r="D1150" s="1"/>
  <c r="D1151" s="1"/>
  <c r="D1152" s="1"/>
  <c r="D1153" s="1"/>
  <c r="D1154" s="1"/>
  <c r="D1155" s="1"/>
  <c r="D1156" s="1"/>
  <c r="D1157" s="1"/>
  <c r="D1158" s="1"/>
  <c r="D1159" s="1"/>
  <c r="D1160" s="1"/>
  <c r="D1161" s="1"/>
  <c r="D1162" s="1"/>
  <c r="D1163" s="1"/>
  <c r="D1164" s="1"/>
  <c r="D1165" s="1"/>
  <c r="D1166" s="1"/>
  <c r="I29" i="11"/>
  <c r="D29" s="1"/>
  <c r="I1145" i="12" l="1"/>
  <c r="D1167"/>
  <c r="D1168" s="1"/>
  <c r="D1169" s="1"/>
  <c r="D1170" s="1"/>
  <c r="D1171" s="1"/>
  <c r="D1172" s="1"/>
  <c r="D1173" s="1"/>
  <c r="D1174" s="1"/>
  <c r="D1175" s="1"/>
  <c r="D1176" s="1"/>
  <c r="D1177" s="1"/>
  <c r="D1178" s="1"/>
  <c r="D1179" s="1"/>
  <c r="D1180" s="1"/>
  <c r="D1181" s="1"/>
  <c r="D1182" s="1"/>
  <c r="D1183" s="1"/>
  <c r="D1184" s="1"/>
  <c r="D1185" s="1"/>
  <c r="D1186" s="1"/>
  <c r="D1187" s="1"/>
  <c r="D1188" s="1"/>
  <c r="D1189" s="1"/>
  <c r="D1190" s="1"/>
  <c r="D1191" s="1"/>
  <c r="D1192" s="1"/>
  <c r="D1193" s="1"/>
  <c r="D1194" s="1"/>
  <c r="D1195" s="1"/>
  <c r="J35" i="11"/>
  <c r="D1196" i="12" l="1"/>
  <c r="D1197" s="1"/>
  <c r="D1198" s="1"/>
  <c r="D1199" s="1"/>
  <c r="D1200" s="1"/>
  <c r="I1165"/>
  <c r="D1201"/>
  <c r="D680"/>
  <c r="G680"/>
  <c r="G681" s="1"/>
  <c r="G682" s="1"/>
  <c r="G683" s="1"/>
  <c r="E680"/>
  <c r="E681" s="1"/>
  <c r="E682" s="1"/>
  <c r="E683" s="1"/>
  <c r="F680"/>
  <c r="F681" s="1"/>
  <c r="F682" s="1"/>
  <c r="F683" s="1"/>
  <c r="I1195" l="1"/>
  <c r="D1202"/>
  <c r="D681"/>
  <c r="D682" s="1"/>
  <c r="D1203" l="1"/>
  <c r="I1198"/>
  <c r="D683"/>
  <c r="D1204" l="1"/>
  <c r="D684"/>
  <c r="D1205" l="1"/>
  <c r="H1129" s="1"/>
  <c r="B1129" s="1"/>
  <c r="U1129" s="1"/>
  <c r="D685"/>
  <c r="H1195" l="1"/>
  <c r="B1195" s="1"/>
  <c r="U1195" s="1"/>
  <c r="H1202"/>
  <c r="H1198"/>
  <c r="B1198" s="1"/>
  <c r="U1198" s="1"/>
  <c r="D686"/>
  <c r="D687" l="1"/>
  <c r="D688" l="1"/>
  <c r="D689" l="1"/>
  <c r="D690" l="1"/>
  <c r="D691" l="1"/>
  <c r="D692" l="1"/>
  <c r="E698" l="1"/>
  <c r="E699" s="1"/>
  <c r="F698"/>
  <c r="F699" s="1"/>
  <c r="G698" l="1"/>
  <c r="G699" s="1"/>
  <c r="D698" l="1"/>
  <c r="D699" l="1"/>
  <c r="D700" l="1"/>
  <c r="D701" s="1"/>
  <c r="D702" l="1"/>
  <c r="D703" s="1"/>
  <c r="D704" s="1"/>
  <c r="I700" l="1"/>
  <c r="D705"/>
  <c r="D706" s="1"/>
  <c r="D707" l="1"/>
  <c r="I704" l="1"/>
  <c r="D708"/>
  <c r="D709" l="1"/>
  <c r="D710" l="1"/>
  <c r="D711" l="1"/>
  <c r="D712" l="1"/>
  <c r="D713" l="1"/>
  <c r="D714" s="1"/>
  <c r="D715" l="1"/>
  <c r="D716" s="1"/>
  <c r="E711" l="1"/>
  <c r="E712" s="1"/>
  <c r="F711"/>
  <c r="F712" s="1"/>
  <c r="D717" l="1"/>
  <c r="G711"/>
  <c r="D718" l="1"/>
  <c r="I713"/>
  <c r="G712"/>
  <c r="D719" l="1"/>
  <c r="D720" s="1"/>
  <c r="D721" s="1"/>
  <c r="D722" s="1"/>
  <c r="D723" s="1"/>
  <c r="P28" i="11"/>
  <c r="Q28" s="1"/>
  <c r="I717" i="12" l="1"/>
  <c r="D724"/>
  <c r="R28" i="11"/>
  <c r="D725" i="12" l="1"/>
  <c r="D726" s="1"/>
  <c r="D727" s="1"/>
  <c r="D728" s="1"/>
  <c r="D729" s="1"/>
  <c r="D730" s="1"/>
  <c r="D731" s="1"/>
  <c r="D732" s="1"/>
  <c r="D733" s="1"/>
  <c r="D734" s="1"/>
  <c r="D735" s="1"/>
  <c r="D736" s="1"/>
  <c r="D737" s="1"/>
  <c r="D738" s="1"/>
  <c r="D739" s="1"/>
  <c r="D740" s="1"/>
  <c r="D741" s="1"/>
  <c r="D742" s="1"/>
  <c r="S28" i="11"/>
  <c r="T28" l="1"/>
  <c r="D743" i="12" l="1"/>
  <c r="U28" i="11"/>
  <c r="D744" i="12" l="1"/>
  <c r="D745" s="1"/>
  <c r="D746" s="1"/>
  <c r="D747" s="1"/>
  <c r="D748" s="1"/>
  <c r="D749" s="1"/>
  <c r="D750" s="1"/>
  <c r="D751" s="1"/>
  <c r="V28" i="11"/>
  <c r="W28" l="1"/>
  <c r="D752" i="12" l="1"/>
  <c r="D753" s="1"/>
  <c r="I743" l="1"/>
  <c r="D754"/>
  <c r="D755" s="1"/>
  <c r="D756" s="1"/>
  <c r="D757" s="1"/>
  <c r="D758" s="1"/>
  <c r="D759" s="1"/>
  <c r="D760" s="1"/>
  <c r="D761" s="1"/>
  <c r="D762" s="1"/>
  <c r="D763" s="1"/>
  <c r="D764" s="1"/>
  <c r="D765" s="1"/>
  <c r="D766" s="1"/>
  <c r="D767" s="1"/>
  <c r="D768" s="1"/>
  <c r="D769" s="1"/>
  <c r="D770" s="1"/>
  <c r="D771" l="1"/>
  <c r="D772" s="1"/>
  <c r="I752" l="1"/>
  <c r="D773"/>
  <c r="D774" s="1"/>
  <c r="D775" s="1"/>
  <c r="D776" l="1"/>
  <c r="D777" l="1"/>
  <c r="D778" l="1"/>
  <c r="C85"/>
  <c r="C86" s="1"/>
  <c r="C87" s="1"/>
  <c r="C88" s="1"/>
  <c r="C89" s="1"/>
  <c r="C90" s="1"/>
  <c r="C91" s="1"/>
  <c r="C92" s="1"/>
  <c r="C93" s="1"/>
  <c r="C94" s="1"/>
  <c r="C95" s="1"/>
  <c r="C96" s="1"/>
  <c r="L27" i="11"/>
  <c r="D779" i="12" l="1"/>
  <c r="C97"/>
  <c r="K97" s="1"/>
  <c r="K85"/>
  <c r="K86"/>
  <c r="K87"/>
  <c r="K90"/>
  <c r="K95"/>
  <c r="K88"/>
  <c r="K89"/>
  <c r="K91"/>
  <c r="K94"/>
  <c r="K92"/>
  <c r="K96"/>
  <c r="K93"/>
  <c r="C98" l="1"/>
  <c r="C99" l="1"/>
  <c r="K98"/>
  <c r="D780" l="1"/>
  <c r="D781" s="1"/>
  <c r="C100"/>
  <c r="K99"/>
  <c r="D782" l="1"/>
  <c r="D783" s="1"/>
  <c r="D784" s="1"/>
  <c r="D785" s="1"/>
  <c r="D786" s="1"/>
  <c r="D787" s="1"/>
  <c r="D788" s="1"/>
  <c r="D789" s="1"/>
  <c r="D790" s="1"/>
  <c r="D791" s="1"/>
  <c r="D792" s="1"/>
  <c r="D793" s="1"/>
  <c r="D794" s="1"/>
  <c r="D795" s="1"/>
  <c r="D796" s="1"/>
  <c r="D797" s="1"/>
  <c r="D798" s="1"/>
  <c r="C101"/>
  <c r="K100"/>
  <c r="H780" l="1"/>
  <c r="C102"/>
  <c r="K101"/>
  <c r="C103" l="1"/>
  <c r="K102"/>
  <c r="C104" l="1"/>
  <c r="K103"/>
  <c r="C105" l="1"/>
  <c r="K104"/>
  <c r="C106" l="1"/>
  <c r="K105"/>
  <c r="C107" l="1"/>
  <c r="K106"/>
  <c r="C108" l="1"/>
  <c r="K107"/>
  <c r="C109" l="1"/>
  <c r="K108"/>
  <c r="C110" l="1"/>
  <c r="K109"/>
  <c r="C111" l="1"/>
  <c r="K110"/>
  <c r="C112" l="1"/>
  <c r="K111"/>
  <c r="C113" l="1"/>
  <c r="K112"/>
  <c r="K113" l="1"/>
  <c r="L30" i="11" s="1"/>
  <c r="C114" i="12"/>
  <c r="K114" l="1"/>
  <c r="L33" i="11" s="1"/>
  <c r="C115" i="12"/>
  <c r="C116" l="1"/>
  <c r="K115"/>
  <c r="C117" l="1"/>
  <c r="K116"/>
  <c r="C118" l="1"/>
  <c r="K117"/>
  <c r="C119" l="1"/>
  <c r="K118"/>
  <c r="C120" l="1"/>
  <c r="K119"/>
  <c r="C121" l="1"/>
  <c r="K120"/>
  <c r="C122" l="1"/>
  <c r="K121"/>
  <c r="K122" l="1"/>
  <c r="C123"/>
  <c r="C124" l="1"/>
  <c r="K123"/>
  <c r="K124" l="1"/>
  <c r="C125"/>
  <c r="K125" l="1"/>
  <c r="C126"/>
  <c r="K126" l="1"/>
  <c r="C127"/>
  <c r="K127" l="1"/>
  <c r="C128"/>
  <c r="K128" l="1"/>
  <c r="C129"/>
  <c r="C130" l="1"/>
  <c r="K130" s="1"/>
  <c r="K129"/>
  <c r="C131" l="1"/>
  <c r="C132" l="1"/>
  <c r="K131"/>
  <c r="C133" l="1"/>
  <c r="K132"/>
  <c r="K133" l="1"/>
  <c r="C134"/>
  <c r="K134" l="1"/>
  <c r="C135"/>
  <c r="K135" l="1"/>
  <c r="C136"/>
  <c r="C137" l="1"/>
  <c r="K136"/>
  <c r="K137" l="1"/>
  <c r="C138" l="1"/>
  <c r="K138" s="1"/>
  <c r="C139" l="1"/>
  <c r="C140" s="1"/>
  <c r="C141" s="1"/>
  <c r="K140" l="1"/>
  <c r="K139"/>
  <c r="C142"/>
  <c r="K142" s="1"/>
  <c r="K141"/>
  <c r="C143" l="1"/>
  <c r="C144" l="1"/>
  <c r="C145" s="1"/>
  <c r="K145" s="1"/>
  <c r="K143"/>
  <c r="K144" l="1"/>
  <c r="C146" l="1"/>
  <c r="K146" l="1"/>
  <c r="C147" l="1"/>
  <c r="K147" s="1"/>
  <c r="L39" i="11" s="1"/>
  <c r="C148" i="12" l="1"/>
  <c r="C149" s="1"/>
  <c r="C150" s="1"/>
  <c r="K150" s="1"/>
  <c r="C151" l="1"/>
  <c r="K151" s="1"/>
  <c r="K149"/>
  <c r="K148"/>
  <c r="C152" l="1"/>
  <c r="K152" s="1"/>
  <c r="L42" i="11"/>
  <c r="C153" i="12"/>
  <c r="C154" l="1"/>
  <c r="K153"/>
  <c r="K154" l="1"/>
  <c r="C155"/>
  <c r="C156" l="1"/>
  <c r="K155"/>
  <c r="C157" l="1"/>
  <c r="K156"/>
  <c r="C158" l="1"/>
  <c r="K157"/>
  <c r="C159" l="1"/>
  <c r="K158"/>
  <c r="C160" l="1"/>
  <c r="K159"/>
  <c r="C161" l="1"/>
  <c r="K160"/>
  <c r="C162" l="1"/>
  <c r="K161"/>
  <c r="C163" l="1"/>
  <c r="K162"/>
  <c r="C164" l="1"/>
  <c r="K164" s="1"/>
  <c r="K163"/>
  <c r="C165" l="1"/>
  <c r="C166" l="1"/>
  <c r="K165"/>
  <c r="C167" l="1"/>
  <c r="K166"/>
  <c r="K167" l="1"/>
  <c r="C168"/>
  <c r="C169" l="1"/>
  <c r="K168"/>
  <c r="C170" l="1"/>
  <c r="K170" s="1"/>
  <c r="K169"/>
  <c r="C171" l="1"/>
  <c r="L45" i="11" l="1"/>
  <c r="C172" i="12"/>
  <c r="K171"/>
  <c r="K172" l="1"/>
  <c r="C173"/>
  <c r="C174" l="1"/>
  <c r="K173"/>
  <c r="K174" l="1"/>
  <c r="C175"/>
  <c r="K175" l="1"/>
  <c r="C176"/>
  <c r="K176" l="1"/>
  <c r="C177"/>
  <c r="K177" l="1"/>
  <c r="C178"/>
  <c r="C179" l="1"/>
  <c r="K178"/>
  <c r="K179" l="1"/>
  <c r="C180"/>
  <c r="C181" l="1"/>
  <c r="K180"/>
  <c r="K181" l="1"/>
  <c r="C182"/>
  <c r="K182" l="1"/>
  <c r="C183"/>
  <c r="K183" s="1"/>
  <c r="C184" l="1"/>
  <c r="K184" l="1"/>
  <c r="C185"/>
  <c r="K185" l="1"/>
  <c r="C186"/>
  <c r="K186" l="1"/>
  <c r="C187"/>
  <c r="C188" l="1"/>
  <c r="K187"/>
  <c r="K188" l="1"/>
  <c r="G468" l="1"/>
  <c r="G469" s="1"/>
  <c r="E468"/>
  <c r="E469" s="1"/>
  <c r="E470" s="1"/>
  <c r="E251" s="1"/>
  <c r="E252" s="1"/>
  <c r="E253" s="1"/>
  <c r="E254" s="1"/>
  <c r="E255" s="1"/>
  <c r="E256" s="1"/>
  <c r="E257" s="1"/>
  <c r="E258" s="1"/>
  <c r="E259" s="1"/>
  <c r="E260" s="1"/>
  <c r="E261" s="1"/>
  <c r="F468"/>
  <c r="F469" s="1"/>
  <c r="F470" s="1"/>
  <c r="F251" s="1"/>
  <c r="F252" s="1"/>
  <c r="F253" s="1"/>
  <c r="F254" s="1"/>
  <c r="F255" s="1"/>
  <c r="F256" s="1"/>
  <c r="F257" s="1"/>
  <c r="F258" s="1"/>
  <c r="F259" s="1"/>
  <c r="F260" s="1"/>
  <c r="F261" s="1"/>
  <c r="E262" l="1"/>
  <c r="E263" s="1"/>
  <c r="E264" s="1"/>
  <c r="E265" s="1"/>
  <c r="E266" s="1"/>
  <c r="E267" s="1"/>
  <c r="E268" s="1"/>
  <c r="E269" s="1"/>
  <c r="F262"/>
  <c r="F263" s="1"/>
  <c r="F264" s="1"/>
  <c r="F265" s="1"/>
  <c r="F266" s="1"/>
  <c r="F267" s="1"/>
  <c r="F268" s="1"/>
  <c r="F269" s="1"/>
  <c r="G470"/>
  <c r="G251" s="1"/>
  <c r="G252" s="1"/>
  <c r="G253" s="1"/>
  <c r="G254" s="1"/>
  <c r="G255" s="1"/>
  <c r="G256" s="1"/>
  <c r="G257" s="1"/>
  <c r="G258" s="1"/>
  <c r="G259" s="1"/>
  <c r="G260" s="1"/>
  <c r="G261" s="1"/>
  <c r="G262" l="1"/>
  <c r="G263" s="1"/>
  <c r="G264" s="1"/>
  <c r="G265" s="1"/>
  <c r="G266" s="1"/>
  <c r="G267" s="1"/>
  <c r="G268" s="1"/>
  <c r="G269" s="1"/>
  <c r="C189" l="1"/>
  <c r="K189" s="1"/>
  <c r="C190" l="1"/>
  <c r="C191" l="1"/>
  <c r="K190"/>
  <c r="C192" l="1"/>
  <c r="K191"/>
  <c r="C193" l="1"/>
  <c r="K193" s="1"/>
  <c r="K192"/>
  <c r="C194" l="1"/>
  <c r="C195" l="1"/>
  <c r="K194"/>
  <c r="C196" l="1"/>
  <c r="K196" s="1"/>
  <c r="K195"/>
  <c r="C197" l="1"/>
  <c r="K197" l="1"/>
  <c r="C198" l="1"/>
  <c r="K198" s="1"/>
  <c r="L51" i="11" s="1"/>
  <c r="C199" i="12" l="1"/>
  <c r="K199" s="1"/>
  <c r="C200" l="1"/>
  <c r="C201" s="1"/>
  <c r="K201" s="1"/>
  <c r="K200" l="1"/>
  <c r="C202"/>
  <c r="K202" s="1"/>
  <c r="L54" i="11" s="1"/>
  <c r="C203" i="12" l="1"/>
  <c r="K203" s="1"/>
  <c r="L57" i="11" s="1"/>
  <c r="C204" i="12" l="1"/>
  <c r="K204" s="1"/>
  <c r="C205" l="1"/>
  <c r="K205" s="1"/>
  <c r="C206" l="1"/>
  <c r="C207" s="1"/>
  <c r="K206" l="1"/>
  <c r="K207"/>
  <c r="C208"/>
  <c r="K208" l="1"/>
  <c r="C209"/>
  <c r="K209" l="1"/>
  <c r="C210"/>
  <c r="K210" l="1"/>
  <c r="C211"/>
  <c r="K211" l="1"/>
  <c r="C212"/>
  <c r="K212" l="1"/>
  <c r="C213"/>
  <c r="K213" l="1"/>
  <c r="C214"/>
  <c r="K214" l="1"/>
  <c r="C215"/>
  <c r="K215" l="1"/>
  <c r="C216"/>
  <c r="K216" l="1"/>
  <c r="C217"/>
  <c r="K217" l="1"/>
  <c r="C218"/>
  <c r="C219" l="1"/>
  <c r="K219" s="1"/>
  <c r="K218"/>
  <c r="C220" l="1"/>
  <c r="K220" l="1"/>
  <c r="C221"/>
  <c r="K221" l="1"/>
  <c r="C222"/>
  <c r="K222" l="1"/>
  <c r="C223"/>
  <c r="K223" l="1"/>
  <c r="C224"/>
  <c r="C225" l="1"/>
  <c r="K224"/>
  <c r="C226" l="1"/>
  <c r="K225"/>
  <c r="C227" l="1"/>
  <c r="K226"/>
  <c r="C228" l="1"/>
  <c r="K227"/>
  <c r="C229" l="1"/>
  <c r="K228"/>
  <c r="K229" l="1"/>
  <c r="C230" l="1"/>
  <c r="K230" s="1"/>
  <c r="C231" l="1"/>
  <c r="C232" s="1"/>
  <c r="K231" l="1"/>
  <c r="C233"/>
  <c r="K232"/>
  <c r="K233" l="1"/>
  <c r="C234"/>
  <c r="C235" l="1"/>
  <c r="K234"/>
  <c r="K235" l="1"/>
  <c r="C236"/>
  <c r="K236" l="1"/>
  <c r="C237"/>
  <c r="K237" l="1"/>
  <c r="C238"/>
  <c r="K238" l="1"/>
  <c r="C239"/>
  <c r="C240" l="1"/>
  <c r="K239"/>
  <c r="C241" l="1"/>
  <c r="K240"/>
  <c r="K241" l="1"/>
  <c r="C242"/>
  <c r="K242" s="1"/>
  <c r="C243" l="1"/>
  <c r="K243" l="1"/>
  <c r="C244"/>
  <c r="K244" l="1"/>
  <c r="C245"/>
  <c r="C246" l="1"/>
  <c r="K245"/>
  <c r="K246" l="1"/>
  <c r="C247"/>
  <c r="C248" l="1"/>
  <c r="K247"/>
  <c r="C249" l="1"/>
  <c r="K248"/>
  <c r="K249" l="1"/>
  <c r="J32" i="11" l="1"/>
  <c r="W230" i="12"/>
  <c r="M60" i="11" l="1"/>
  <c r="C62"/>
  <c r="L60"/>
  <c r="E62" l="1"/>
  <c r="B59"/>
  <c r="G62"/>
  <c r="F62"/>
  <c r="H62"/>
  <c r="W250" i="12" l="1"/>
  <c r="W270" s="1"/>
  <c r="M66" i="11" l="1"/>
  <c r="C68"/>
  <c r="F68" s="1"/>
  <c r="M63"/>
  <c r="W271" i="12"/>
  <c r="M69" i="11" s="1"/>
  <c r="C65"/>
  <c r="G65" s="1"/>
  <c r="C71"/>
  <c r="H68" l="1"/>
  <c r="B65"/>
  <c r="G68"/>
  <c r="E65"/>
  <c r="E68" s="1"/>
  <c r="F65"/>
  <c r="B62"/>
  <c r="H65"/>
  <c r="E71"/>
  <c r="B68"/>
  <c r="F71"/>
  <c r="G71"/>
  <c r="H71"/>
  <c r="W283" i="12"/>
  <c r="C74" i="11" l="1"/>
  <c r="M72"/>
  <c r="W293" i="12" l="1"/>
  <c r="M75" i="11" s="1"/>
  <c r="B71"/>
  <c r="F74"/>
  <c r="E74"/>
  <c r="H74"/>
  <c r="G74"/>
  <c r="C77"/>
  <c r="G77" s="1"/>
  <c r="W296" i="12" l="1"/>
  <c r="M78" i="11" s="1"/>
  <c r="H77"/>
  <c r="B74"/>
  <c r="E77"/>
  <c r="F77"/>
  <c r="C80" l="1"/>
  <c r="H80" s="1"/>
  <c r="W300" i="12"/>
  <c r="C83" i="11" s="1"/>
  <c r="G80"/>
  <c r="F80" l="1"/>
  <c r="F83" s="1"/>
  <c r="B77"/>
  <c r="E80"/>
  <c r="E83" s="1"/>
  <c r="M81"/>
  <c r="G83"/>
  <c r="H83"/>
  <c r="B80"/>
  <c r="W311" i="12"/>
  <c r="M84" i="11" l="1"/>
  <c r="C86"/>
  <c r="W320" i="12"/>
  <c r="C89" i="11" l="1"/>
  <c r="B86" s="1"/>
  <c r="E86"/>
  <c r="H86"/>
  <c r="F86"/>
  <c r="B83"/>
  <c r="G86"/>
  <c r="M87"/>
  <c r="W323" i="12" l="1"/>
  <c r="C92" i="11" s="1"/>
  <c r="E89"/>
  <c r="H89"/>
  <c r="F89"/>
  <c r="G89"/>
  <c r="M48"/>
  <c r="M90" l="1"/>
  <c r="H92"/>
  <c r="B89"/>
  <c r="E92"/>
  <c r="G92"/>
  <c r="F92"/>
  <c r="W327" i="12"/>
  <c r="M93" i="11" s="1"/>
  <c r="W338" i="12" l="1"/>
  <c r="M96" i="11" s="1"/>
  <c r="C95"/>
  <c r="G95" s="1"/>
  <c r="B92" l="1"/>
  <c r="C98"/>
  <c r="B95" s="1"/>
  <c r="P94" s="1"/>
  <c r="Q94" s="1"/>
  <c r="R94" s="1"/>
  <c r="S94" s="1"/>
  <c r="T94" s="1"/>
  <c r="U94" s="1"/>
  <c r="V94" s="1"/>
  <c r="W94" s="1"/>
  <c r="H95"/>
  <c r="F95"/>
  <c r="E95"/>
  <c r="W339" i="12"/>
  <c r="C101" i="11" s="1"/>
  <c r="H98" l="1"/>
  <c r="F98"/>
  <c r="F101" s="1"/>
  <c r="E98"/>
  <c r="E101" s="1"/>
  <c r="G98"/>
  <c r="M99"/>
  <c r="B98"/>
  <c r="H101"/>
  <c r="G101"/>
  <c r="W365" i="12"/>
  <c r="M102" i="11" l="1"/>
  <c r="C104"/>
  <c r="W368" i="12" l="1"/>
  <c r="M105" i="11" s="1"/>
  <c r="F104"/>
  <c r="G104"/>
  <c r="E104"/>
  <c r="B101"/>
  <c r="H104"/>
  <c r="C107"/>
  <c r="H107" s="1"/>
  <c r="W387" i="12" l="1"/>
  <c r="M108" i="11" s="1"/>
  <c r="E107"/>
  <c r="C110"/>
  <c r="H110" s="1"/>
  <c r="G107"/>
  <c r="B104"/>
  <c r="F107"/>
  <c r="E110" l="1"/>
  <c r="F110"/>
  <c r="B107"/>
  <c r="G110"/>
  <c r="W390" i="12"/>
  <c r="C113" i="11" l="1"/>
  <c r="M111"/>
  <c r="B110" l="1"/>
  <c r="H113"/>
  <c r="E113"/>
  <c r="G113"/>
  <c r="F113"/>
  <c r="W409" i="12"/>
  <c r="M114" i="11" l="1"/>
  <c r="C116"/>
  <c r="W410" i="12"/>
  <c r="M117" i="11" l="1"/>
  <c r="F116"/>
  <c r="E116"/>
  <c r="B113"/>
  <c r="H116"/>
  <c r="G116"/>
  <c r="C119"/>
  <c r="B116" s="1"/>
  <c r="W437" i="12" l="1"/>
  <c r="M120" i="11" s="1"/>
  <c r="G119"/>
  <c r="F119"/>
  <c r="E119"/>
  <c r="H119"/>
  <c r="C122" l="1"/>
  <c r="E122" s="1"/>
  <c r="W440" i="12"/>
  <c r="C125" i="11" s="1"/>
  <c r="F122" l="1"/>
  <c r="B119"/>
  <c r="M123"/>
  <c r="G122"/>
  <c r="H122"/>
  <c r="G125"/>
  <c r="H125"/>
  <c r="B122"/>
  <c r="F125"/>
  <c r="E125"/>
  <c r="W444" i="12"/>
  <c r="W464" s="1"/>
  <c r="W467" l="1"/>
  <c r="W471" s="1"/>
  <c r="M135" i="11" s="1"/>
  <c r="C128"/>
  <c r="M129"/>
  <c r="M132"/>
  <c r="M126"/>
  <c r="C131"/>
  <c r="C137" l="1"/>
  <c r="C134"/>
  <c r="B134" s="1"/>
  <c r="W491" i="12"/>
  <c r="W492" s="1"/>
  <c r="C143" i="11" s="1"/>
  <c r="H143" s="1"/>
  <c r="H134"/>
  <c r="G137"/>
  <c r="H137"/>
  <c r="G128"/>
  <c r="H128"/>
  <c r="B128"/>
  <c r="F128"/>
  <c r="B125"/>
  <c r="E128"/>
  <c r="H131"/>
  <c r="G131"/>
  <c r="G134" l="1"/>
  <c r="B131"/>
  <c r="M138"/>
  <c r="W518" i="12"/>
  <c r="C146" i="11" s="1"/>
  <c r="M141"/>
  <c r="C140"/>
  <c r="G143"/>
  <c r="I95"/>
  <c r="E131"/>
  <c r="E134" s="1"/>
  <c r="E137" s="1"/>
  <c r="F131"/>
  <c r="W527" i="12" l="1"/>
  <c r="M147" i="11" s="1"/>
  <c r="M144"/>
  <c r="B137"/>
  <c r="G140"/>
  <c r="H140"/>
  <c r="E140"/>
  <c r="E143" s="1"/>
  <c r="E146" s="1"/>
  <c r="B140"/>
  <c r="G146"/>
  <c r="B143"/>
  <c r="H146"/>
  <c r="F134"/>
  <c r="F137" s="1"/>
  <c r="C149" l="1"/>
  <c r="E149" s="1"/>
  <c r="W530" i="12"/>
  <c r="C152" i="11" s="1"/>
  <c r="F140"/>
  <c r="H149" l="1"/>
  <c r="B146"/>
  <c r="G149"/>
  <c r="E152"/>
  <c r="W549" i="12"/>
  <c r="M153" i="11" s="1"/>
  <c r="M150"/>
  <c r="H152"/>
  <c r="B149"/>
  <c r="G152"/>
  <c r="F143"/>
  <c r="C155" l="1"/>
  <c r="B152" s="1"/>
  <c r="W558" i="12"/>
  <c r="F146" i="11"/>
  <c r="G155" l="1"/>
  <c r="H155"/>
  <c r="E155"/>
  <c r="M156"/>
  <c r="C158"/>
  <c r="F149"/>
  <c r="W561" i="12" l="1"/>
  <c r="M159" i="11" s="1"/>
  <c r="E158"/>
  <c r="G158"/>
  <c r="H158"/>
  <c r="B155"/>
  <c r="F152"/>
  <c r="C161" l="1"/>
  <c r="B158" s="1"/>
  <c r="W580" i="12"/>
  <c r="M162" i="11" s="1"/>
  <c r="F155"/>
  <c r="E161" l="1"/>
  <c r="C164"/>
  <c r="H164" s="1"/>
  <c r="G161"/>
  <c r="H161"/>
  <c r="W603" i="12"/>
  <c r="M165" i="11" s="1"/>
  <c r="F158"/>
  <c r="F161" s="1"/>
  <c r="F164" l="1"/>
  <c r="G164"/>
  <c r="B161"/>
  <c r="E164"/>
  <c r="C167"/>
  <c r="W622" i="12"/>
  <c r="E167" i="11" l="1"/>
  <c r="B164"/>
  <c r="H167"/>
  <c r="F167"/>
  <c r="G167"/>
  <c r="W641" i="12"/>
  <c r="M168" i="11"/>
  <c r="C170"/>
  <c r="F170" s="1"/>
  <c r="G170" l="1"/>
  <c r="B167"/>
  <c r="H170"/>
  <c r="E170"/>
  <c r="W642" i="12"/>
  <c r="C173" i="11"/>
  <c r="F173" s="1"/>
  <c r="M171"/>
  <c r="M174" l="1"/>
  <c r="W650" i="12"/>
  <c r="C176" i="11"/>
  <c r="B170"/>
  <c r="H173"/>
  <c r="G173"/>
  <c r="E173"/>
  <c r="B173" l="1"/>
  <c r="G176"/>
  <c r="E176"/>
  <c r="H176"/>
  <c r="M177"/>
  <c r="C179"/>
  <c r="W653" i="12"/>
  <c r="F176" i="11"/>
  <c r="F179" l="1"/>
  <c r="C182"/>
  <c r="M180"/>
  <c r="W657" i="12"/>
  <c r="H179" i="11"/>
  <c r="G179"/>
  <c r="E179"/>
  <c r="B179"/>
  <c r="B176"/>
  <c r="F182" l="1"/>
  <c r="W663" i="12"/>
  <c r="M186" i="11" s="1"/>
  <c r="E182"/>
  <c r="M183"/>
  <c r="C185"/>
  <c r="F185" s="1"/>
  <c r="G182"/>
  <c r="H182"/>
  <c r="W666" i="12" l="1"/>
  <c r="C191" i="11" s="1"/>
  <c r="G191" s="1"/>
  <c r="C188"/>
  <c r="B185" s="1"/>
  <c r="G185"/>
  <c r="H185"/>
  <c r="E185"/>
  <c r="B182"/>
  <c r="H191" l="1"/>
  <c r="W672" i="12"/>
  <c r="C194" i="11" s="1"/>
  <c r="G194" s="1"/>
  <c r="M189"/>
  <c r="M192"/>
  <c r="F188"/>
  <c r="B188"/>
  <c r="E188"/>
  <c r="E191" s="1"/>
  <c r="G188"/>
  <c r="H188"/>
  <c r="W684" i="12"/>
  <c r="M195" i="11" s="1"/>
  <c r="F191"/>
  <c r="H194" l="1"/>
  <c r="B191"/>
  <c r="E194"/>
  <c r="W693" i="12"/>
  <c r="M198" i="11" s="1"/>
  <c r="C197"/>
  <c r="H197" s="1"/>
  <c r="F194"/>
  <c r="C200" l="1"/>
  <c r="B197" s="1"/>
  <c r="G197"/>
  <c r="E197"/>
  <c r="B194"/>
  <c r="W694" i="12"/>
  <c r="F197" i="11"/>
  <c r="G200" l="1"/>
  <c r="H200"/>
  <c r="E200"/>
  <c r="C203"/>
  <c r="M201"/>
  <c r="F200"/>
  <c r="B200" l="1"/>
  <c r="E203"/>
  <c r="H203"/>
  <c r="G203"/>
  <c r="F203"/>
  <c r="W700" i="12" l="1"/>
  <c r="C206" i="11" l="1"/>
  <c r="M204"/>
  <c r="W704" i="12"/>
  <c r="B203" i="11" l="1"/>
  <c r="G206"/>
  <c r="E206"/>
  <c r="H206"/>
  <c r="F206"/>
  <c r="M207"/>
  <c r="C209"/>
  <c r="F209" s="1"/>
  <c r="W707" i="12"/>
  <c r="H209" i="11" l="1"/>
  <c r="E209"/>
  <c r="B206"/>
  <c r="G209"/>
  <c r="C212"/>
  <c r="M210"/>
  <c r="F212" l="1"/>
  <c r="G212"/>
  <c r="H212"/>
  <c r="E212"/>
  <c r="B209"/>
  <c r="W713" i="12"/>
  <c r="M213" i="11" l="1"/>
  <c r="C215"/>
  <c r="J92"/>
  <c r="W717" i="12" l="1"/>
  <c r="C218" i="11" s="1"/>
  <c r="F215"/>
  <c r="B212"/>
  <c r="H215"/>
  <c r="E215"/>
  <c r="G215"/>
  <c r="M216" l="1"/>
  <c r="F218"/>
  <c r="H218"/>
  <c r="E218"/>
  <c r="B215"/>
  <c r="G218"/>
  <c r="W720" i="12"/>
  <c r="J155" i="11"/>
  <c r="M219" l="1"/>
  <c r="C221"/>
  <c r="W743" i="12"/>
  <c r="C224" i="11" l="1"/>
  <c r="B221" s="1"/>
  <c r="F221"/>
  <c r="G221"/>
  <c r="H221"/>
  <c r="E221"/>
  <c r="B218"/>
  <c r="M222"/>
  <c r="W752" i="12" l="1"/>
  <c r="M225" i="11" s="1"/>
  <c r="H224"/>
  <c r="E224"/>
  <c r="F224"/>
  <c r="G224"/>
  <c r="W771" i="12" l="1"/>
  <c r="M228" i="11" s="1"/>
  <c r="C227"/>
  <c r="E227" s="1"/>
  <c r="C230" l="1"/>
  <c r="H230" s="1"/>
  <c r="G227"/>
  <c r="B224"/>
  <c r="H227"/>
  <c r="F227"/>
  <c r="W780" i="12"/>
  <c r="F230" i="11" l="1"/>
  <c r="G230"/>
  <c r="B227"/>
  <c r="E230"/>
  <c r="M231"/>
  <c r="C233"/>
  <c r="E233" l="1"/>
  <c r="F233"/>
  <c r="H233"/>
  <c r="G233"/>
  <c r="B230"/>
  <c r="W799" i="12"/>
  <c r="C236" i="11" l="1"/>
  <c r="M234"/>
  <c r="E236" l="1"/>
  <c r="H236"/>
  <c r="F236"/>
  <c r="B233"/>
  <c r="G236"/>
  <c r="W800" i="12" l="1"/>
  <c r="C239" i="11" l="1"/>
  <c r="M237"/>
  <c r="W828" i="12" l="1"/>
  <c r="M240" i="11" s="1"/>
  <c r="B236"/>
  <c r="E239"/>
  <c r="F239"/>
  <c r="G239"/>
  <c r="H239"/>
  <c r="C242" l="1"/>
  <c r="H242" s="1"/>
  <c r="W831" i="12"/>
  <c r="M243" i="11" s="1"/>
  <c r="E242"/>
  <c r="B239"/>
  <c r="G242" l="1"/>
  <c r="F242"/>
  <c r="C245"/>
  <c r="B242" s="1"/>
  <c r="W855" i="12"/>
  <c r="E245" i="11" l="1"/>
  <c r="G245"/>
  <c r="F245"/>
  <c r="H245"/>
  <c r="C248"/>
  <c r="M246"/>
  <c r="W858" i="12" l="1"/>
  <c r="M249" i="11" s="1"/>
  <c r="H248"/>
  <c r="G248"/>
  <c r="F248"/>
  <c r="B245"/>
  <c r="E248"/>
  <c r="C251" l="1"/>
  <c r="G251" s="1"/>
  <c r="W882" i="12"/>
  <c r="B248" i="11" l="1"/>
  <c r="E251"/>
  <c r="F251"/>
  <c r="H251"/>
  <c r="C254"/>
  <c r="M252"/>
  <c r="G254" l="1"/>
  <c r="H254"/>
  <c r="E254"/>
  <c r="F254"/>
  <c r="B251"/>
  <c r="W906" i="12"/>
  <c r="J224" i="11"/>
  <c r="M255" l="1"/>
  <c r="C257"/>
  <c r="G257" l="1"/>
  <c r="B254"/>
  <c r="F257"/>
  <c r="E257"/>
  <c r="H257"/>
  <c r="W925" i="12"/>
  <c r="M258" i="11" l="1"/>
  <c r="C260"/>
  <c r="E260" l="1"/>
  <c r="F260"/>
  <c r="H260"/>
  <c r="B257"/>
  <c r="G260"/>
  <c r="W944" i="12"/>
  <c r="C263" i="11" l="1"/>
  <c r="M261"/>
  <c r="F263" l="1"/>
  <c r="G263"/>
  <c r="H263"/>
  <c r="E263"/>
  <c r="J221" s="1"/>
  <c r="B260"/>
  <c r="W945" i="12" l="1"/>
  <c r="C266" i="11" l="1"/>
  <c r="M264"/>
  <c r="W971" i="12"/>
  <c r="G266" i="11" l="1"/>
  <c r="E266"/>
  <c r="F266"/>
  <c r="B263"/>
  <c r="H266"/>
  <c r="M267"/>
  <c r="C269"/>
  <c r="H269" s="1"/>
  <c r="W974" i="12" l="1"/>
  <c r="C272" i="11" s="1"/>
  <c r="G269"/>
  <c r="B266"/>
  <c r="F269"/>
  <c r="E269"/>
  <c r="M270" l="1"/>
  <c r="H272"/>
  <c r="G272"/>
  <c r="B269"/>
  <c r="F272"/>
  <c r="E272"/>
  <c r="W993" i="12"/>
  <c r="C275" i="11" l="1"/>
  <c r="M273"/>
  <c r="W996" i="12" l="1"/>
  <c r="M276" i="11" s="1"/>
  <c r="H275"/>
  <c r="G275"/>
  <c r="E275"/>
  <c r="F275"/>
  <c r="B272"/>
  <c r="C278" l="1"/>
  <c r="B275" s="1"/>
  <c r="W1015" i="12"/>
  <c r="M279" i="11" s="1"/>
  <c r="C281" l="1"/>
  <c r="B278" s="1"/>
  <c r="F278"/>
  <c r="G278"/>
  <c r="E278"/>
  <c r="H278"/>
  <c r="W1021" i="12"/>
  <c r="C284" i="11" s="1"/>
  <c r="H284" s="1"/>
  <c r="G281"/>
  <c r="H281"/>
  <c r="E281" l="1"/>
  <c r="F281"/>
  <c r="F284" s="1"/>
  <c r="M282"/>
  <c r="B281"/>
  <c r="E284"/>
  <c r="G284"/>
  <c r="W1027" i="12"/>
  <c r="M285" i="11" l="1"/>
  <c r="C287"/>
  <c r="H287" l="1"/>
  <c r="E287"/>
  <c r="F287"/>
  <c r="B284"/>
  <c r="G287"/>
  <c r="W1028" i="12" l="1"/>
  <c r="M288" i="11" l="1"/>
  <c r="C290"/>
  <c r="W1053" i="12"/>
  <c r="C293" i="11" l="1"/>
  <c r="H293" s="1"/>
  <c r="E290"/>
  <c r="G290"/>
  <c r="B287"/>
  <c r="H290"/>
  <c r="F290"/>
  <c r="M291"/>
  <c r="W1056" i="12" l="1"/>
  <c r="C296" i="11" s="1"/>
  <c r="B290"/>
  <c r="G293"/>
  <c r="E293"/>
  <c r="F293"/>
  <c r="G296" l="1"/>
  <c r="B293"/>
  <c r="M294"/>
  <c r="W1074" i="12"/>
  <c r="M297" i="11" s="1"/>
  <c r="F296"/>
  <c r="H296"/>
  <c r="E296"/>
  <c r="C299"/>
  <c r="W1077" i="12" l="1"/>
  <c r="C302" i="11" s="1"/>
  <c r="B299" s="1"/>
  <c r="E299"/>
  <c r="F299"/>
  <c r="G299"/>
  <c r="B296"/>
  <c r="H299"/>
  <c r="M300" l="1"/>
  <c r="H302"/>
  <c r="F302"/>
  <c r="G302"/>
  <c r="E302"/>
  <c r="W1095" i="12"/>
  <c r="M303" i="11" l="1"/>
  <c r="C305"/>
  <c r="F305" l="1"/>
  <c r="G305"/>
  <c r="B302"/>
  <c r="E305"/>
  <c r="H305"/>
  <c r="W1120" i="12" l="1"/>
  <c r="M306" i="11" l="1"/>
  <c r="C308" l="1"/>
  <c r="B305" l="1"/>
  <c r="H308"/>
  <c r="G308"/>
  <c r="E308"/>
  <c r="F308"/>
  <c r="W1124" i="12"/>
  <c r="M309" i="11" l="1"/>
  <c r="C311"/>
  <c r="F311" s="1"/>
  <c r="W1128" i="12"/>
  <c r="E311" i="11" l="1"/>
  <c r="C314"/>
  <c r="G311"/>
  <c r="H311"/>
  <c r="B308"/>
  <c r="W1129" i="12"/>
  <c r="M312" i="11"/>
  <c r="J227"/>
  <c r="J200"/>
  <c r="M315" l="1"/>
  <c r="C317"/>
  <c r="H314"/>
  <c r="G314"/>
  <c r="B311"/>
  <c r="E314"/>
  <c r="F314"/>
  <c r="E317" l="1"/>
  <c r="G317"/>
  <c r="F317"/>
  <c r="B314"/>
  <c r="H317"/>
  <c r="W1142" i="12"/>
  <c r="C320" i="11" l="1"/>
  <c r="F320" s="1"/>
  <c r="W1145" i="12"/>
  <c r="M321" i="11" s="1"/>
  <c r="M318"/>
  <c r="C323"/>
  <c r="E320"/>
  <c r="W1165" i="12" l="1"/>
  <c r="F323" i="11"/>
  <c r="H323"/>
  <c r="E323"/>
  <c r="G323"/>
  <c r="M324"/>
  <c r="C326"/>
  <c r="W1185" i="12"/>
  <c r="C329" i="11" s="1"/>
  <c r="H320"/>
  <c r="G320"/>
  <c r="B317"/>
  <c r="B320"/>
  <c r="H329" l="1"/>
  <c r="G329"/>
  <c r="M327"/>
  <c r="W1195" i="12"/>
  <c r="E326" i="11"/>
  <c r="E329" s="1"/>
  <c r="B326"/>
  <c r="B323"/>
  <c r="G326"/>
  <c r="F326"/>
  <c r="F329" s="1"/>
  <c r="H326"/>
  <c r="D250" i="12"/>
  <c r="W1198" l="1"/>
  <c r="D251"/>
  <c r="W1202" l="1"/>
  <c r="D252"/>
  <c r="W1206" l="1"/>
  <c r="W1207" s="1"/>
  <c r="D253"/>
  <c r="W1231" l="1"/>
  <c r="D254"/>
  <c r="W1234" l="1"/>
  <c r="W1254" s="1"/>
  <c r="W1257" s="1"/>
  <c r="W1277" s="1"/>
  <c r="W1304" s="1"/>
  <c r="D255"/>
  <c r="W1324" l="1"/>
  <c r="W1344" s="1"/>
  <c r="D256"/>
  <c r="W1345" l="1"/>
  <c r="W1369" s="1"/>
  <c r="M372" i="11" s="1"/>
  <c r="D257" i="12"/>
  <c r="M369" i="11" l="1"/>
  <c r="C374"/>
  <c r="H374" s="1"/>
  <c r="W1372" i="12"/>
  <c r="M375" i="11" s="1"/>
  <c r="G374"/>
  <c r="M345"/>
  <c r="M339"/>
  <c r="C338"/>
  <c r="M330"/>
  <c r="C332"/>
  <c r="C335"/>
  <c r="M333"/>
  <c r="C341"/>
  <c r="M336"/>
  <c r="M342"/>
  <c r="C344"/>
  <c r="C347"/>
  <c r="C350"/>
  <c r="M351"/>
  <c r="C353"/>
  <c r="M348"/>
  <c r="M354"/>
  <c r="M357"/>
  <c r="C356"/>
  <c r="C359"/>
  <c r="M360"/>
  <c r="C362"/>
  <c r="M363"/>
  <c r="C365"/>
  <c r="C368"/>
  <c r="M366"/>
  <c r="C371"/>
  <c r="D258" i="12"/>
  <c r="C377" i="11" l="1"/>
  <c r="W1391" i="12"/>
  <c r="M378" i="11"/>
  <c r="C380"/>
  <c r="B368"/>
  <c r="H368"/>
  <c r="G368"/>
  <c r="H362"/>
  <c r="G362"/>
  <c r="H356"/>
  <c r="G356"/>
  <c r="B356"/>
  <c r="H353"/>
  <c r="G353"/>
  <c r="B353"/>
  <c r="G344"/>
  <c r="H344"/>
  <c r="G371"/>
  <c r="H371"/>
  <c r="B371"/>
  <c r="B362"/>
  <c r="G365"/>
  <c r="H365"/>
  <c r="B365"/>
  <c r="B344"/>
  <c r="G347"/>
  <c r="H347"/>
  <c r="B347"/>
  <c r="G341"/>
  <c r="H341"/>
  <c r="B341"/>
  <c r="H332"/>
  <c r="B332"/>
  <c r="G332"/>
  <c r="E332"/>
  <c r="B329"/>
  <c r="F332"/>
  <c r="B350"/>
  <c r="G350"/>
  <c r="H350"/>
  <c r="H359"/>
  <c r="G359"/>
  <c r="B359"/>
  <c r="G335"/>
  <c r="H335"/>
  <c r="B335"/>
  <c r="H338"/>
  <c r="B338"/>
  <c r="G338"/>
  <c r="D259" i="12"/>
  <c r="B374" i="11" l="1"/>
  <c r="G377"/>
  <c r="H377"/>
  <c r="G380"/>
  <c r="H380"/>
  <c r="B377"/>
  <c r="W1394" i="12"/>
  <c r="M381" i="11" s="1"/>
  <c r="F335"/>
  <c r="F338" s="1"/>
  <c r="F341" s="1"/>
  <c r="F344" s="1"/>
  <c r="E335"/>
  <c r="D260" i="12"/>
  <c r="C383" i="11" l="1"/>
  <c r="G383" s="1"/>
  <c r="E338"/>
  <c r="F347"/>
  <c r="D261" i="12"/>
  <c r="H383" i="11" l="1"/>
  <c r="B380"/>
  <c r="E341"/>
  <c r="F350"/>
  <c r="D262" i="12"/>
  <c r="F353" i="11" l="1"/>
  <c r="E344"/>
  <c r="D263" i="12"/>
  <c r="E347" i="11" l="1"/>
  <c r="F356"/>
  <c r="D264" i="12"/>
  <c r="F359" i="11" l="1"/>
  <c r="E350"/>
  <c r="F362" l="1"/>
  <c r="E353"/>
  <c r="D265" i="12"/>
  <c r="D266" s="1"/>
  <c r="F365" i="11" l="1"/>
  <c r="F368" s="1"/>
  <c r="E356"/>
  <c r="D267" i="12"/>
  <c r="F371" i="11" l="1"/>
  <c r="E359"/>
  <c r="D268" i="12"/>
  <c r="F374" i="11" l="1"/>
  <c r="E362"/>
  <c r="D269" i="12"/>
  <c r="F377" i="11" l="1"/>
  <c r="E365"/>
  <c r="F380" l="1"/>
  <c r="E368"/>
  <c r="E371" s="1"/>
  <c r="F383" l="1"/>
  <c r="E374"/>
  <c r="E377" s="1"/>
  <c r="E380" s="1"/>
  <c r="E383" s="1"/>
  <c r="J230" l="1"/>
  <c r="J185"/>
  <c r="J182"/>
  <c r="J179"/>
  <c r="J209"/>
  <c r="J359" l="1"/>
  <c r="J305" l="1"/>
  <c r="J302" l="1"/>
  <c r="J362"/>
  <c r="J356"/>
  <c r="W1413" i="12" l="1"/>
  <c r="J293" i="11"/>
  <c r="J62"/>
  <c r="J65"/>
  <c r="J335"/>
  <c r="C386" l="1"/>
  <c r="M384"/>
  <c r="J290"/>
  <c r="J215"/>
  <c r="J212"/>
  <c r="J308"/>
  <c r="J203"/>
  <c r="J332"/>
  <c r="J149"/>
  <c r="J206"/>
  <c r="J152"/>
  <c r="H386" l="1"/>
  <c r="E386"/>
  <c r="G386"/>
  <c r="B383"/>
  <c r="F386"/>
  <c r="W1414" i="12"/>
  <c r="M387" i="11" l="1"/>
  <c r="C389"/>
  <c r="W1418" i="12"/>
  <c r="G389" i="11" l="1"/>
  <c r="H389"/>
  <c r="E389"/>
  <c r="F389"/>
  <c r="B386"/>
  <c r="M390"/>
  <c r="C392"/>
  <c r="G392" l="1"/>
  <c r="E392"/>
  <c r="F392"/>
  <c r="H392"/>
  <c r="B389"/>
  <c r="W1425" i="12"/>
  <c r="M393" i="11" l="1"/>
  <c r="C395"/>
  <c r="W1430" i="12"/>
  <c r="C398" i="11" s="1"/>
  <c r="G398" l="1"/>
  <c r="H398"/>
  <c r="B392"/>
  <c r="H395"/>
  <c r="G395"/>
  <c r="F395"/>
  <c r="F398" s="1"/>
  <c r="E395"/>
  <c r="E398" s="1"/>
  <c r="B395"/>
  <c r="M396"/>
  <c r="I12" i="12"/>
  <c r="I113"/>
  <c r="W1431" l="1"/>
  <c r="M399" i="11" l="1"/>
  <c r="C401"/>
  <c r="M402" l="1"/>
  <c r="W1436" i="12"/>
  <c r="C404" i="11"/>
  <c r="G401"/>
  <c r="E401"/>
  <c r="H401"/>
  <c r="F401"/>
  <c r="B398"/>
  <c r="B401"/>
  <c r="W1441" i="12"/>
  <c r="C407" i="11" s="1"/>
  <c r="B404" l="1"/>
  <c r="G407"/>
  <c r="H407"/>
  <c r="M405"/>
  <c r="G404"/>
  <c r="F404"/>
  <c r="F407" s="1"/>
  <c r="E404"/>
  <c r="E407" s="1"/>
  <c r="H404"/>
  <c r="W1442" i="12" l="1"/>
  <c r="M408" i="11" l="1"/>
  <c r="C410"/>
  <c r="W1447" i="12" l="1"/>
  <c r="H410" i="11"/>
  <c r="G410"/>
  <c r="F410"/>
  <c r="E410"/>
  <c r="B407"/>
  <c r="M411" l="1"/>
  <c r="C413"/>
  <c r="W1472" i="12" l="1"/>
  <c r="H413" i="11"/>
  <c r="G413"/>
  <c r="B410"/>
  <c r="F413"/>
  <c r="E413"/>
  <c r="J122"/>
  <c r="J119"/>
  <c r="J89"/>
  <c r="J125"/>
  <c r="J389"/>
  <c r="J401"/>
  <c r="J398"/>
  <c r="J257"/>
  <c r="J218"/>
  <c r="J188"/>
  <c r="J296"/>
  <c r="J263"/>
  <c r="J191"/>
  <c r="J299"/>
  <c r="J266"/>
  <c r="J194"/>
  <c r="J269"/>
  <c r="J158"/>
  <c r="J197"/>
  <c r="J137"/>
  <c r="J161"/>
  <c r="J371"/>
  <c r="J275"/>
  <c r="J140"/>
  <c r="J164"/>
  <c r="J113"/>
  <c r="J59"/>
  <c r="J143"/>
  <c r="J167"/>
  <c r="J281"/>
  <c r="J116"/>
  <c r="J146"/>
  <c r="J170"/>
  <c r="J284"/>
  <c r="J287"/>
  <c r="W1490" i="12" l="1"/>
  <c r="M414" i="11"/>
  <c r="C416"/>
  <c r="W2860" i="12"/>
  <c r="M432" i="11"/>
  <c r="M420"/>
  <c r="M426"/>
  <c r="C422"/>
  <c r="C428"/>
  <c r="C434"/>
  <c r="C419"/>
  <c r="C425"/>
  <c r="C431"/>
  <c r="M417"/>
  <c r="M423"/>
  <c r="M429"/>
  <c r="J95"/>
  <c r="D95" s="1"/>
  <c r="I71"/>
  <c r="I101"/>
  <c r="J68"/>
  <c r="J98"/>
  <c r="J173"/>
  <c r="J236"/>
  <c r="J341"/>
  <c r="J368"/>
  <c r="J314"/>
  <c r="I74"/>
  <c r="I104"/>
  <c r="J71"/>
  <c r="J101"/>
  <c r="I77"/>
  <c r="I107"/>
  <c r="J74"/>
  <c r="D74" s="1"/>
  <c r="J104"/>
  <c r="D104" s="1"/>
  <c r="I80"/>
  <c r="J53"/>
  <c r="D53" s="1"/>
  <c r="J77"/>
  <c r="I59"/>
  <c r="D59" s="1"/>
  <c r="I83"/>
  <c r="J86"/>
  <c r="J56"/>
  <c r="J80"/>
  <c r="I110"/>
  <c r="I179"/>
  <c r="D179" s="1"/>
  <c r="J83"/>
  <c r="J107"/>
  <c r="J176"/>
  <c r="J344"/>
  <c r="J317"/>
  <c r="J239"/>
  <c r="I113"/>
  <c r="D113" s="1"/>
  <c r="I131"/>
  <c r="I182"/>
  <c r="D182" s="1"/>
  <c r="J353"/>
  <c r="J110"/>
  <c r="J128"/>
  <c r="J320"/>
  <c r="J374"/>
  <c r="J242"/>
  <c r="J347"/>
  <c r="J272"/>
  <c r="I134"/>
  <c r="I185"/>
  <c r="D185" s="1"/>
  <c r="J131"/>
  <c r="D131" s="1"/>
  <c r="J350"/>
  <c r="J245"/>
  <c r="J323"/>
  <c r="I137"/>
  <c r="D137" s="1"/>
  <c r="I188"/>
  <c r="I251"/>
  <c r="D188"/>
  <c r="J134"/>
  <c r="D134" s="1"/>
  <c r="J248"/>
  <c r="J326"/>
  <c r="J380"/>
  <c r="J329"/>
  <c r="J428"/>
  <c r="J377"/>
  <c r="J278"/>
  <c r="J410"/>
  <c r="J251"/>
  <c r="J431"/>
  <c r="J425"/>
  <c r="J254"/>
  <c r="J386"/>
  <c r="I353"/>
  <c r="I155"/>
  <c r="D155" s="1"/>
  <c r="I128"/>
  <c r="D128" s="1"/>
  <c r="I125"/>
  <c r="D125" s="1"/>
  <c r="I92"/>
  <c r="D92" s="1"/>
  <c r="I290"/>
  <c r="D290" s="1"/>
  <c r="I89"/>
  <c r="D89" s="1"/>
  <c r="I65"/>
  <c r="D65" s="1"/>
  <c r="I35"/>
  <c r="D35" s="1"/>
  <c r="J434"/>
  <c r="I254"/>
  <c r="I257"/>
  <c r="D257" s="1"/>
  <c r="I293"/>
  <c r="D293" s="1"/>
  <c r="I356"/>
  <c r="D356" s="1"/>
  <c r="I218"/>
  <c r="D218" s="1"/>
  <c r="I260"/>
  <c r="I326"/>
  <c r="I296"/>
  <c r="D296" s="1"/>
  <c r="I359"/>
  <c r="D359" s="1"/>
  <c r="I221"/>
  <c r="D221" s="1"/>
  <c r="I425"/>
  <c r="I389"/>
  <c r="D389" s="1"/>
  <c r="I224"/>
  <c r="D224" s="1"/>
  <c r="I428"/>
  <c r="I299"/>
  <c r="D299" s="1"/>
  <c r="I266"/>
  <c r="D266" s="1"/>
  <c r="I362"/>
  <c r="D362" s="1"/>
  <c r="I329"/>
  <c r="I191"/>
  <c r="D191" s="1"/>
  <c r="I365"/>
  <c r="I332"/>
  <c r="D332" s="1"/>
  <c r="I392"/>
  <c r="I302"/>
  <c r="D302" s="1"/>
  <c r="I194"/>
  <c r="D194" s="1"/>
  <c r="I431"/>
  <c r="I269"/>
  <c r="D269" s="1"/>
  <c r="I227"/>
  <c r="D227" s="1"/>
  <c r="I395"/>
  <c r="I335"/>
  <c r="D335" s="1"/>
  <c r="I272"/>
  <c r="I197"/>
  <c r="D197" s="1"/>
  <c r="I434"/>
  <c r="I305"/>
  <c r="D305" s="1"/>
  <c r="I230"/>
  <c r="D230" s="1"/>
  <c r="I158"/>
  <c r="D158" s="1"/>
  <c r="I371"/>
  <c r="D371" s="1"/>
  <c r="I338"/>
  <c r="I233"/>
  <c r="I275"/>
  <c r="D275" s="1"/>
  <c r="I308"/>
  <c r="D308" s="1"/>
  <c r="I161"/>
  <c r="D161" s="1"/>
  <c r="I374"/>
  <c r="D374" s="1"/>
  <c r="I278"/>
  <c r="D278" s="1"/>
  <c r="I401"/>
  <c r="D401" s="1"/>
  <c r="I164"/>
  <c r="D164" s="1"/>
  <c r="I311"/>
  <c r="I203"/>
  <c r="D203" s="1"/>
  <c r="I404"/>
  <c r="I206"/>
  <c r="D206" s="1"/>
  <c r="I239"/>
  <c r="D239" s="1"/>
  <c r="I143"/>
  <c r="D143" s="1"/>
  <c r="I281"/>
  <c r="D281" s="1"/>
  <c r="I377"/>
  <c r="I344"/>
  <c r="I167"/>
  <c r="D167" s="1"/>
  <c r="I242"/>
  <c r="D242" s="1"/>
  <c r="I347"/>
  <c r="D347" s="1"/>
  <c r="I209"/>
  <c r="D209" s="1"/>
  <c r="I170"/>
  <c r="D170" s="1"/>
  <c r="I317"/>
  <c r="D317" s="1"/>
  <c r="I380"/>
  <c r="I284"/>
  <c r="D284" s="1"/>
  <c r="I146"/>
  <c r="D146" s="1"/>
  <c r="I245"/>
  <c r="I350"/>
  <c r="I320"/>
  <c r="I212"/>
  <c r="D212" s="1"/>
  <c r="I149"/>
  <c r="D149" s="1"/>
  <c r="I383"/>
  <c r="I119"/>
  <c r="D119" s="1"/>
  <c r="I323"/>
  <c r="I215"/>
  <c r="D215" s="1"/>
  <c r="I176"/>
  <c r="I122"/>
  <c r="D122" s="1"/>
  <c r="I62"/>
  <c r="D62" s="1"/>
  <c r="I152"/>
  <c r="D152" s="1"/>
  <c r="I86"/>
  <c r="D86" s="1"/>
  <c r="I248"/>
  <c r="D248" s="1"/>
  <c r="D80" l="1"/>
  <c r="H416"/>
  <c r="B413"/>
  <c r="E416"/>
  <c r="G416"/>
  <c r="D350"/>
  <c r="D425"/>
  <c r="D107"/>
  <c r="F416"/>
  <c r="E425"/>
  <c r="F425"/>
  <c r="G425"/>
  <c r="H425"/>
  <c r="B425"/>
  <c r="H434"/>
  <c r="G434"/>
  <c r="E434"/>
  <c r="F434"/>
  <c r="J392" s="1"/>
  <c r="D392" s="1"/>
  <c r="B434"/>
  <c r="G422"/>
  <c r="H422"/>
  <c r="B422"/>
  <c r="F431"/>
  <c r="E431"/>
  <c r="G431"/>
  <c r="H431"/>
  <c r="B431"/>
  <c r="G419"/>
  <c r="E419"/>
  <c r="H419"/>
  <c r="F419"/>
  <c r="B419"/>
  <c r="B416"/>
  <c r="E428"/>
  <c r="B428"/>
  <c r="H428"/>
  <c r="F428"/>
  <c r="G428"/>
  <c r="D245"/>
  <c r="D344"/>
  <c r="D83"/>
  <c r="D71"/>
  <c r="D77"/>
  <c r="D101"/>
  <c r="D176"/>
  <c r="D323"/>
  <c r="D320"/>
  <c r="D272"/>
  <c r="D326"/>
  <c r="D353"/>
  <c r="D251"/>
  <c r="D110"/>
  <c r="D380"/>
  <c r="D428"/>
  <c r="D377"/>
  <c r="D329"/>
  <c r="D434"/>
  <c r="D431"/>
  <c r="D254"/>
  <c r="J413" l="1"/>
  <c r="J404"/>
  <c r="D404" s="1"/>
  <c r="F422"/>
  <c r="J395"/>
  <c r="D395" s="1"/>
  <c r="J260"/>
  <c r="D260" s="1"/>
  <c r="J233"/>
  <c r="D233" s="1"/>
  <c r="J311"/>
  <c r="D311" s="1"/>
  <c r="J383"/>
  <c r="D383" s="1"/>
  <c r="I413"/>
  <c r="D413" s="1"/>
  <c r="I416"/>
  <c r="J365"/>
  <c r="D365" s="1"/>
  <c r="J338"/>
  <c r="D338" s="1"/>
  <c r="J419"/>
  <c r="J416"/>
  <c r="D416" s="1"/>
  <c r="I410"/>
  <c r="D410" s="1"/>
  <c r="I32"/>
  <c r="D32" s="1"/>
  <c r="E422"/>
  <c r="I98" s="1"/>
  <c r="D98" s="1"/>
  <c r="I422"/>
  <c r="D1414" i="12"/>
  <c r="I68" i="11" l="1"/>
  <c r="D68" s="1"/>
  <c r="I368"/>
  <c r="D368" s="1"/>
  <c r="J422"/>
  <c r="D422" s="1"/>
  <c r="I419"/>
  <c r="I236"/>
  <c r="D236" s="1"/>
  <c r="I56"/>
  <c r="D56" s="1"/>
  <c r="I341"/>
  <c r="D341" s="1"/>
  <c r="I386"/>
  <c r="D386" s="1"/>
  <c r="I287"/>
  <c r="D287" s="1"/>
  <c r="I116"/>
  <c r="D116" s="1"/>
  <c r="I314"/>
  <c r="D314" s="1"/>
  <c r="I263"/>
  <c r="D263" s="1"/>
  <c r="J407"/>
  <c r="D419"/>
  <c r="I398"/>
  <c r="D398" s="1"/>
  <c r="I173"/>
  <c r="D173" s="1"/>
  <c r="I20"/>
  <c r="D20" s="1"/>
  <c r="I407"/>
  <c r="D407" s="1"/>
  <c r="I200"/>
  <c r="D200" s="1"/>
  <c r="I140"/>
  <c r="D140" s="1"/>
  <c r="D1415" i="12"/>
  <c r="D1416" l="1"/>
  <c r="D1417" l="1"/>
  <c r="D1418" l="1"/>
  <c r="D1419" l="1"/>
  <c r="D1420" l="1"/>
  <c r="D1421" l="1"/>
  <c r="D1422" l="1"/>
  <c r="D1423" s="1"/>
  <c r="D1424" l="1"/>
  <c r="D1425" l="1"/>
  <c r="D1426" l="1"/>
  <c r="D1431"/>
  <c r="D1427" l="1"/>
  <c r="D1432"/>
  <c r="D1428" l="1"/>
  <c r="D1433"/>
  <c r="H1425" l="1"/>
  <c r="D1429"/>
  <c r="D1434"/>
  <c r="D1435" l="1"/>
  <c r="D1436" l="1"/>
  <c r="D1437" l="1"/>
  <c r="D1442"/>
  <c r="D1438" l="1"/>
  <c r="D1439" l="1"/>
  <c r="D1440" l="1"/>
  <c r="H1436" s="1"/>
  <c r="D1443" l="1"/>
  <c r="D1444" l="1"/>
  <c r="D1445" l="1"/>
  <c r="D1446" l="1"/>
  <c r="D1447" l="1"/>
  <c r="D1448" s="1"/>
  <c r="H1021"/>
  <c r="H1145"/>
  <c r="B1145" s="1"/>
  <c r="U1145" s="1"/>
  <c r="H1165"/>
  <c r="B1165" s="1"/>
  <c r="U1165" s="1"/>
  <c r="H1124"/>
  <c r="H1142"/>
  <c r="B1142" s="1"/>
  <c r="U1142" s="1"/>
  <c r="I1185"/>
  <c r="H1185"/>
  <c r="H1120"/>
  <c r="B1120" s="1"/>
  <c r="U1120" s="1"/>
  <c r="H1394"/>
  <c r="I1391"/>
  <c r="H1391"/>
  <c r="I1372"/>
  <c r="H1372"/>
  <c r="I1369"/>
  <c r="H1369"/>
  <c r="I1345"/>
  <c r="H1345"/>
  <c r="H1304"/>
  <c r="B1304" s="1"/>
  <c r="U1304" s="1"/>
  <c r="I1277"/>
  <c r="H1277"/>
  <c r="I1257"/>
  <c r="H1257"/>
  <c r="I1254"/>
  <c r="H1254"/>
  <c r="I1234"/>
  <c r="H1234"/>
  <c r="I1231"/>
  <c r="H1231"/>
  <c r="I1207"/>
  <c r="H1207"/>
  <c r="I1095"/>
  <c r="H1095"/>
  <c r="I1077"/>
  <c r="H1077"/>
  <c r="I1074"/>
  <c r="H1074"/>
  <c r="I1056"/>
  <c r="H1056"/>
  <c r="I1053"/>
  <c r="H1053"/>
  <c r="I1021"/>
  <c r="B1021" s="1"/>
  <c r="U1021" s="1"/>
  <c r="I1028"/>
  <c r="H1028"/>
  <c r="I1015"/>
  <c r="H1015"/>
  <c r="I996"/>
  <c r="H996"/>
  <c r="I993"/>
  <c r="H993"/>
  <c r="I974"/>
  <c r="H974"/>
  <c r="I971"/>
  <c r="H971"/>
  <c r="I945"/>
  <c r="H945"/>
  <c r="H925"/>
  <c r="H882"/>
  <c r="B882" s="1"/>
  <c r="U882" s="1"/>
  <c r="H906"/>
  <c r="B906" s="1"/>
  <c r="U906" s="1"/>
  <c r="I858"/>
  <c r="H858"/>
  <c r="I855"/>
  <c r="H855"/>
  <c r="H828"/>
  <c r="B828" s="1"/>
  <c r="U828" s="1"/>
  <c r="I831"/>
  <c r="H831"/>
  <c r="I800"/>
  <c r="H800"/>
  <c r="I771"/>
  <c r="H771"/>
  <c r="H743"/>
  <c r="B743" s="1"/>
  <c r="U743" s="1"/>
  <c r="H752"/>
  <c r="B752" s="1"/>
  <c r="U752" s="1"/>
  <c r="I720"/>
  <c r="H720"/>
  <c r="H713"/>
  <c r="B713" s="1"/>
  <c r="U713" s="1"/>
  <c r="H717"/>
  <c r="B717" s="1"/>
  <c r="U717" s="1"/>
  <c r="H707"/>
  <c r="I707"/>
  <c r="H700"/>
  <c r="B700" s="1"/>
  <c r="U700" s="1"/>
  <c r="H704"/>
  <c r="B704" s="1"/>
  <c r="U704" s="1"/>
  <c r="I694"/>
  <c r="H694"/>
  <c r="I684"/>
  <c r="H684"/>
  <c r="H672"/>
  <c r="I672"/>
  <c r="I666"/>
  <c r="H666"/>
  <c r="I663"/>
  <c r="H663"/>
  <c r="I657"/>
  <c r="H657"/>
  <c r="I653"/>
  <c r="H653"/>
  <c r="H642"/>
  <c r="B642" s="1"/>
  <c r="U642" s="1"/>
  <c r="I650"/>
  <c r="H650"/>
  <c r="I622"/>
  <c r="H622"/>
  <c r="I603"/>
  <c r="H603"/>
  <c r="I580"/>
  <c r="H580"/>
  <c r="I561"/>
  <c r="H561"/>
  <c r="I558"/>
  <c r="H558"/>
  <c r="I549"/>
  <c r="H549"/>
  <c r="I530"/>
  <c r="H530"/>
  <c r="I527"/>
  <c r="H527"/>
  <c r="I518"/>
  <c r="H518"/>
  <c r="I492"/>
  <c r="H492"/>
  <c r="I440"/>
  <c r="I410"/>
  <c r="H390"/>
  <c r="I387"/>
  <c r="H387"/>
  <c r="H365"/>
  <c r="B365" s="1"/>
  <c r="U365" s="1"/>
  <c r="I368"/>
  <c r="H368"/>
  <c r="I339"/>
  <c r="H339"/>
  <c r="H323"/>
  <c r="B323" s="1"/>
  <c r="U323" s="1"/>
  <c r="H327"/>
  <c r="I320"/>
  <c r="H320"/>
  <c r="I311"/>
  <c r="H311"/>
  <c r="I300"/>
  <c r="H300"/>
  <c r="H293"/>
  <c r="B293" s="1"/>
  <c r="U293" s="1"/>
  <c r="H296"/>
  <c r="B296" s="1"/>
  <c r="U296" s="1"/>
  <c r="I283"/>
  <c r="H283"/>
  <c r="I271"/>
  <c r="H271"/>
  <c r="I250"/>
  <c r="H250"/>
  <c r="I230"/>
  <c r="H230"/>
  <c r="I203"/>
  <c r="H203"/>
  <c r="H189"/>
  <c r="B189" s="1"/>
  <c r="U189" s="1"/>
  <c r="I198"/>
  <c r="B198" s="1"/>
  <c r="U198" s="1"/>
  <c r="I170"/>
  <c r="H170"/>
  <c r="H147"/>
  <c r="B147" s="1"/>
  <c r="U147" s="1"/>
  <c r="I151"/>
  <c r="H151"/>
  <c r="I138"/>
  <c r="H138"/>
  <c r="I13"/>
  <c r="H13"/>
  <c r="H53"/>
  <c r="B53" s="1"/>
  <c r="U53" s="1"/>
  <c r="H84"/>
  <c r="I84"/>
  <c r="D1449" l="1"/>
  <c r="D1450" s="1"/>
  <c r="D1451" s="1"/>
  <c r="D1452" s="1"/>
  <c r="D1453" s="1"/>
  <c r="D1454" s="1"/>
  <c r="D1455" s="1"/>
  <c r="D1456" s="1"/>
  <c r="D1457" s="1"/>
  <c r="D1458" s="1"/>
  <c r="D1459" s="1"/>
  <c r="D1460" s="1"/>
  <c r="D1461" s="1"/>
  <c r="D1462" s="1"/>
  <c r="D1463" s="1"/>
  <c r="D1464" s="1"/>
  <c r="D1465" s="1"/>
  <c r="D1466" s="1"/>
  <c r="D1467" s="1"/>
  <c r="D1468" s="1"/>
  <c r="D1469" s="1"/>
  <c r="D1470" s="1"/>
  <c r="D1471" s="1"/>
  <c r="I1442"/>
  <c r="I1431"/>
  <c r="H1431"/>
  <c r="I1414"/>
  <c r="H1414"/>
  <c r="I1418"/>
  <c r="H1418"/>
  <c r="B1185"/>
  <c r="U1185" s="1"/>
  <c r="B1391"/>
  <c r="U1391" s="1"/>
  <c r="B1372"/>
  <c r="U1372" s="1"/>
  <c r="B1369"/>
  <c r="U1369" s="1"/>
  <c r="B1345"/>
  <c r="U1345" s="1"/>
  <c r="B1277"/>
  <c r="U1277" s="1"/>
  <c r="B1257"/>
  <c r="U1257" s="1"/>
  <c r="B1254"/>
  <c r="U1254" s="1"/>
  <c r="B1234"/>
  <c r="U1234" s="1"/>
  <c r="B1231"/>
  <c r="U1231" s="1"/>
  <c r="B1207"/>
  <c r="U1207" s="1"/>
  <c r="B1095"/>
  <c r="U1095" s="1"/>
  <c r="B1077"/>
  <c r="U1077" s="1"/>
  <c r="B1074"/>
  <c r="U1074" s="1"/>
  <c r="B1056"/>
  <c r="U1056" s="1"/>
  <c r="B1053"/>
  <c r="U1053" s="1"/>
  <c r="B1015"/>
  <c r="U1015" s="1"/>
  <c r="B1028"/>
  <c r="U1028" s="1"/>
  <c r="B996"/>
  <c r="U996" s="1"/>
  <c r="B993"/>
  <c r="U993" s="1"/>
  <c r="B974"/>
  <c r="U974" s="1"/>
  <c r="B971"/>
  <c r="U971" s="1"/>
  <c r="B945"/>
  <c r="U945" s="1"/>
  <c r="B858"/>
  <c r="U858" s="1"/>
  <c r="B855"/>
  <c r="U855" s="1"/>
  <c r="B831"/>
  <c r="U831" s="1"/>
  <c r="B800"/>
  <c r="U800" s="1"/>
  <c r="B771"/>
  <c r="U771" s="1"/>
  <c r="B720"/>
  <c r="U720" s="1"/>
  <c r="B707"/>
  <c r="U707" s="1"/>
  <c r="B684"/>
  <c r="U684" s="1"/>
  <c r="B694"/>
  <c r="U694" s="1"/>
  <c r="B672"/>
  <c r="U672" s="1"/>
  <c r="B666"/>
  <c r="U666" s="1"/>
  <c r="B663"/>
  <c r="U663" s="1"/>
  <c r="B657"/>
  <c r="U657" s="1"/>
  <c r="B653"/>
  <c r="U653" s="1"/>
  <c r="B622"/>
  <c r="U622" s="1"/>
  <c r="B650"/>
  <c r="U650" s="1"/>
  <c r="B603"/>
  <c r="U603" s="1"/>
  <c r="B580"/>
  <c r="U580" s="1"/>
  <c r="B561"/>
  <c r="U561" s="1"/>
  <c r="B558"/>
  <c r="U558" s="1"/>
  <c r="B549"/>
  <c r="U549" s="1"/>
  <c r="B530"/>
  <c r="U530" s="1"/>
  <c r="B527"/>
  <c r="U527" s="1"/>
  <c r="B518"/>
  <c r="U518" s="1"/>
  <c r="B492"/>
  <c r="U492" s="1"/>
  <c r="B387"/>
  <c r="U387" s="1"/>
  <c r="B368"/>
  <c r="U368" s="1"/>
  <c r="B339"/>
  <c r="U339" s="1"/>
  <c r="B320"/>
  <c r="U320" s="1"/>
  <c r="B311"/>
  <c r="U311" s="1"/>
  <c r="B300"/>
  <c r="U300" s="1"/>
  <c r="B283"/>
  <c r="U283" s="1"/>
  <c r="B250"/>
  <c r="U250" s="1"/>
  <c r="B271"/>
  <c r="U271" s="1"/>
  <c r="B230"/>
  <c r="U230" s="1"/>
  <c r="B203"/>
  <c r="U203" s="1"/>
  <c r="B170"/>
  <c r="U170" s="1"/>
  <c r="K47" i="11" s="1"/>
  <c r="N45" s="1"/>
  <c r="B151" i="12"/>
  <c r="U151" s="1"/>
  <c r="B138"/>
  <c r="U138" s="1"/>
  <c r="B13"/>
  <c r="U13" s="1"/>
  <c r="B84"/>
  <c r="U84" s="1"/>
  <c r="K29" i="11" s="1"/>
  <c r="N27" s="1"/>
  <c r="D1472" i="12" l="1"/>
  <c r="D1473" s="1"/>
  <c r="I1436"/>
  <c r="B1436" s="1"/>
  <c r="U1436" s="1"/>
  <c r="I1447"/>
  <c r="B1418"/>
  <c r="U1418" s="1"/>
  <c r="B1414"/>
  <c r="U1414" s="1"/>
  <c r="B1431"/>
  <c r="U1431" s="1"/>
  <c r="K50" i="11"/>
  <c r="N48" s="1"/>
  <c r="K44"/>
  <c r="N42" s="1"/>
  <c r="P47"/>
  <c r="R47"/>
  <c r="W47"/>
  <c r="S47"/>
  <c r="V47"/>
  <c r="T47"/>
  <c r="U47"/>
  <c r="Q47"/>
  <c r="K41"/>
  <c r="N39" s="1"/>
  <c r="K38"/>
  <c r="N36" s="1"/>
  <c r="P29"/>
  <c r="S29"/>
  <c r="Q29"/>
  <c r="R29"/>
  <c r="U29"/>
  <c r="W29"/>
  <c r="T29"/>
  <c r="V29"/>
  <c r="K26"/>
  <c r="N24" s="1"/>
  <c r="K23"/>
  <c r="N21" s="1"/>
  <c r="D1474" i="12" l="1"/>
  <c r="D1475"/>
  <c r="T50" i="11"/>
  <c r="V50"/>
  <c r="Q50"/>
  <c r="R50"/>
  <c r="P50"/>
  <c r="S50"/>
  <c r="U50"/>
  <c r="W50"/>
  <c r="U41"/>
  <c r="Q41"/>
  <c r="T41"/>
  <c r="V41"/>
  <c r="W41"/>
  <c r="R41"/>
  <c r="S41"/>
  <c r="P41"/>
  <c r="S44"/>
  <c r="T44"/>
  <c r="V44"/>
  <c r="R44"/>
  <c r="Q44"/>
  <c r="P44"/>
  <c r="W44"/>
  <c r="U44"/>
  <c r="U38"/>
  <c r="Q38"/>
  <c r="R38"/>
  <c r="T38"/>
  <c r="S38"/>
  <c r="V38"/>
  <c r="W38"/>
  <c r="P38"/>
  <c r="P26"/>
  <c r="S26"/>
  <c r="T26"/>
  <c r="U26"/>
  <c r="V26"/>
  <c r="W26"/>
  <c r="R26"/>
  <c r="Q26"/>
  <c r="Q23"/>
  <c r="S23"/>
  <c r="W23"/>
  <c r="P23"/>
  <c r="T23"/>
  <c r="V23"/>
  <c r="R23"/>
  <c r="U23"/>
  <c r="D1476" i="12" l="1"/>
  <c r="D456"/>
  <c r="D1477" l="1"/>
  <c r="D457"/>
  <c r="D1478" l="1"/>
  <c r="D458"/>
  <c r="D1479" l="1"/>
  <c r="D459"/>
  <c r="D1480" l="1"/>
  <c r="D460"/>
  <c r="D461" s="1"/>
  <c r="D1481" l="1"/>
  <c r="D462"/>
  <c r="D1482" l="1"/>
  <c r="D463"/>
  <c r="D1483" l="1"/>
  <c r="D1484" s="1"/>
  <c r="D1485" s="1"/>
  <c r="D1486" s="1"/>
  <c r="D1487" s="1"/>
  <c r="D1488" s="1"/>
  <c r="D1489" s="1"/>
  <c r="D1490" s="1"/>
  <c r="D464"/>
  <c r="D1491" l="1"/>
  <c r="D465"/>
  <c r="D1492" l="1"/>
  <c r="D466"/>
  <c r="D1493" l="1"/>
  <c r="D467"/>
  <c r="I464" s="1"/>
  <c r="D1494" l="1"/>
  <c r="D468"/>
  <c r="D469" s="1"/>
  <c r="D1495" l="1"/>
  <c r="D470"/>
  <c r="D1496" l="1"/>
  <c r="D471"/>
  <c r="D1497" l="1"/>
  <c r="D472"/>
  <c r="D1498" l="1"/>
  <c r="D473"/>
  <c r="D1499" l="1"/>
  <c r="D474"/>
  <c r="D1500" l="1"/>
  <c r="D1501" s="1"/>
  <c r="D1502" s="1"/>
  <c r="D1503" s="1"/>
  <c r="D475"/>
  <c r="I1490" l="1"/>
  <c r="H1490"/>
  <c r="I1425"/>
  <c r="B1425" s="1"/>
  <c r="U1425" s="1"/>
  <c r="I1472"/>
  <c r="H1472"/>
  <c r="H1447"/>
  <c r="B1447" s="1"/>
  <c r="U1447" s="1"/>
  <c r="I1324"/>
  <c r="B1324" s="1"/>
  <c r="U1324" s="1"/>
  <c r="I925"/>
  <c r="B925" s="1"/>
  <c r="U925" s="1"/>
  <c r="I1202"/>
  <c r="B1202" s="1"/>
  <c r="U1202" s="1"/>
  <c r="I780"/>
  <c r="B780" s="1"/>
  <c r="U780" s="1"/>
  <c r="I1394"/>
  <c r="B1394" s="1"/>
  <c r="U1394" s="1"/>
  <c r="I1124"/>
  <c r="B1124" s="1"/>
  <c r="U1124" s="1"/>
  <c r="H1442"/>
  <c r="B1442" s="1"/>
  <c r="U1442" s="1"/>
  <c r="D476"/>
  <c r="B1490" l="1"/>
  <c r="U1490" s="1"/>
  <c r="B1472"/>
  <c r="U1472" s="1"/>
  <c r="D477"/>
  <c r="D478" s="1"/>
  <c r="D479" s="1"/>
  <c r="D480" l="1"/>
  <c r="D481" l="1"/>
  <c r="D482" l="1"/>
  <c r="D483" l="1"/>
  <c r="D484" l="1"/>
  <c r="D485" l="1"/>
  <c r="D486" l="1"/>
  <c r="D487" l="1"/>
  <c r="D488" l="1"/>
  <c r="D489" l="1"/>
  <c r="D490" l="1"/>
  <c r="I471" l="1"/>
  <c r="H471"/>
  <c r="H464"/>
  <c r="B464" s="1"/>
  <c r="U464" s="1"/>
  <c r="I467"/>
  <c r="H467"/>
  <c r="I444"/>
  <c r="H444"/>
  <c r="H437"/>
  <c r="B437" s="1"/>
  <c r="U437" s="1"/>
  <c r="H440"/>
  <c r="B440" s="1"/>
  <c r="U440" s="1"/>
  <c r="I390"/>
  <c r="B390" s="1"/>
  <c r="U390" s="1"/>
  <c r="H410"/>
  <c r="B410" s="1"/>
  <c r="U410" s="1"/>
  <c r="I327"/>
  <c r="B327" s="1"/>
  <c r="U327" s="1"/>
  <c r="K53" i="11"/>
  <c r="N51" s="1"/>
  <c r="B471" i="12" l="1"/>
  <c r="U471" s="1"/>
  <c r="B467"/>
  <c r="U467" s="1"/>
  <c r="B444"/>
  <c r="U444" s="1"/>
  <c r="K95" i="11"/>
  <c r="N93" s="1"/>
  <c r="Q53"/>
  <c r="W53"/>
  <c r="R53"/>
  <c r="T53"/>
  <c r="S53"/>
  <c r="P53"/>
  <c r="V53"/>
  <c r="U53"/>
  <c r="P95" l="1"/>
  <c r="R95"/>
  <c r="T95"/>
  <c r="V95"/>
  <c r="Q95"/>
  <c r="S95"/>
  <c r="U95"/>
  <c r="W95"/>
  <c r="L426" l="1"/>
  <c r="L429"/>
  <c r="K35" l="1"/>
  <c r="N33" s="1"/>
  <c r="K260"/>
  <c r="N258" s="1"/>
  <c r="K257"/>
  <c r="N255" s="1"/>
  <c r="K224"/>
  <c r="N222" s="1"/>
  <c r="K221"/>
  <c r="N219" s="1"/>
  <c r="K362"/>
  <c r="N360" s="1"/>
  <c r="K359"/>
  <c r="N357" s="1"/>
  <c r="K230"/>
  <c r="N228" s="1"/>
  <c r="K227"/>
  <c r="N225" s="1"/>
  <c r="K197"/>
  <c r="N195" s="1"/>
  <c r="K194"/>
  <c r="N192" s="1"/>
  <c r="K365"/>
  <c r="N363" s="1"/>
  <c r="K335"/>
  <c r="N333" s="1"/>
  <c r="K164"/>
  <c r="N162" s="1"/>
  <c r="K161"/>
  <c r="N159" s="1"/>
  <c r="K233"/>
  <c r="N231" s="1"/>
  <c r="K311"/>
  <c r="N309" s="1"/>
  <c r="K308"/>
  <c r="N306" s="1"/>
  <c r="K338"/>
  <c r="N336" s="1"/>
  <c r="K170"/>
  <c r="N168" s="1"/>
  <c r="K167"/>
  <c r="N165" s="1"/>
  <c r="K284"/>
  <c r="N282" s="1"/>
  <c r="K389" l="1"/>
  <c r="N387" s="1"/>
  <c r="K392"/>
  <c r="N390" s="1"/>
  <c r="K434"/>
  <c r="N432" s="1"/>
  <c r="L432" l="1"/>
  <c r="K80" l="1"/>
  <c r="N78" s="1"/>
  <c r="K77"/>
  <c r="N75" s="1"/>
  <c r="K89"/>
  <c r="N87" s="1"/>
  <c r="K83"/>
  <c r="N81" s="1"/>
  <c r="K62"/>
  <c r="N60" s="1"/>
  <c r="K65"/>
  <c r="N63" s="1"/>
  <c r="K404"/>
  <c r="N402" s="1"/>
  <c r="K377"/>
  <c r="N375" s="1"/>
  <c r="K272"/>
  <c r="N270" s="1"/>
  <c r="K113"/>
  <c r="N111" s="1"/>
  <c r="K110"/>
  <c r="N108" s="1"/>
  <c r="K350"/>
  <c r="N348" s="1"/>
  <c r="K248"/>
  <c r="N246" s="1"/>
  <c r="K245"/>
  <c r="N243" s="1"/>
  <c r="K326"/>
  <c r="N324" s="1"/>
  <c r="K185"/>
  <c r="N183" s="1"/>
  <c r="K182"/>
  <c r="N180" s="1"/>
  <c r="K299"/>
  <c r="N297" s="1"/>
  <c r="K296"/>
  <c r="N294" s="1"/>
  <c r="K212"/>
  <c r="N210" s="1"/>
  <c r="K209"/>
  <c r="N207" s="1"/>
  <c r="K134"/>
  <c r="N132" s="1"/>
  <c r="K131"/>
  <c r="N129" s="1"/>
  <c r="K152"/>
  <c r="N150" s="1"/>
  <c r="K149"/>
  <c r="N147" s="1"/>
  <c r="K353"/>
  <c r="N351" s="1"/>
  <c r="K356"/>
  <c r="N354" s="1"/>
  <c r="K278"/>
  <c r="N276" s="1"/>
  <c r="K275"/>
  <c r="N273" s="1"/>
  <c r="K254"/>
  <c r="N252" s="1"/>
  <c r="K251"/>
  <c r="N249" s="1"/>
  <c r="K332"/>
  <c r="N330" s="1"/>
  <c r="K329"/>
  <c r="N327" s="1"/>
  <c r="K191"/>
  <c r="N189" s="1"/>
  <c r="K188"/>
  <c r="N186" s="1"/>
  <c r="K305"/>
  <c r="N303" s="1"/>
  <c r="K302"/>
  <c r="N300" s="1"/>
  <c r="K218"/>
  <c r="N216" s="1"/>
  <c r="K215"/>
  <c r="N213" s="1"/>
  <c r="K137"/>
  <c r="N135" s="1"/>
  <c r="K158"/>
  <c r="N156" s="1"/>
  <c r="K155"/>
  <c r="N153" s="1"/>
  <c r="K383"/>
  <c r="N381" s="1"/>
  <c r="K380"/>
  <c r="N378" s="1"/>
  <c r="K281"/>
  <c r="N279" s="1"/>
  <c r="K128"/>
  <c r="N126" s="1"/>
  <c r="K92"/>
  <c r="N90" s="1"/>
  <c r="K86"/>
  <c r="N84" s="1"/>
  <c r="K428" l="1"/>
  <c r="N426" s="1"/>
  <c r="K425"/>
  <c r="N423" s="1"/>
  <c r="K431"/>
  <c r="N429" s="1"/>
  <c r="P91" l="1"/>
  <c r="Q91" s="1"/>
  <c r="R91" s="1"/>
  <c r="S91" s="1"/>
  <c r="T91" s="1"/>
  <c r="U91" s="1"/>
  <c r="V91" s="1"/>
  <c r="W91" s="1"/>
  <c r="P232"/>
  <c r="P233" s="1"/>
  <c r="Q92" l="1"/>
  <c r="R92"/>
  <c r="S92"/>
  <c r="U92"/>
  <c r="W92"/>
  <c r="T92"/>
  <c r="V92"/>
  <c r="P92"/>
  <c r="Q232" l="1"/>
  <c r="Q233" s="1"/>
  <c r="P229"/>
  <c r="P230" s="1"/>
  <c r="P364"/>
  <c r="P365" s="1"/>
  <c r="P169"/>
  <c r="P170" s="1"/>
  <c r="Q229" l="1"/>
  <c r="Q230" s="1"/>
  <c r="Q364"/>
  <c r="R232"/>
  <c r="R229" l="1"/>
  <c r="R230" s="1"/>
  <c r="R233"/>
  <c r="S232"/>
  <c r="Q365"/>
  <c r="R364"/>
  <c r="S229" l="1"/>
  <c r="S230" s="1"/>
  <c r="R365"/>
  <c r="S364"/>
  <c r="S233"/>
  <c r="T232"/>
  <c r="T229" l="1"/>
  <c r="T230" s="1"/>
  <c r="T233"/>
  <c r="U232"/>
  <c r="S365"/>
  <c r="T364"/>
  <c r="U229" l="1"/>
  <c r="U230" s="1"/>
  <c r="T365"/>
  <c r="U364"/>
  <c r="U233"/>
  <c r="V232"/>
  <c r="V229" l="1"/>
  <c r="V230" s="1"/>
  <c r="V233"/>
  <c r="W232"/>
  <c r="U365"/>
  <c r="V364"/>
  <c r="W229" l="1"/>
  <c r="W230" s="1"/>
  <c r="V365"/>
  <c r="W364"/>
  <c r="W233"/>
  <c r="W365" l="1"/>
  <c r="Q169" l="1"/>
  <c r="R169" s="1"/>
  <c r="S169" s="1"/>
  <c r="T169" s="1"/>
  <c r="U169" s="1"/>
  <c r="V169" s="1"/>
  <c r="W169" s="1"/>
  <c r="P226"/>
  <c r="P227" s="1"/>
  <c r="P166"/>
  <c r="P167" s="1"/>
  <c r="R170" l="1"/>
  <c r="V170"/>
  <c r="T170"/>
  <c r="S170"/>
  <c r="U170"/>
  <c r="Q170"/>
  <c r="W170"/>
  <c r="Q166"/>
  <c r="Q167" s="1"/>
  <c r="R166" l="1"/>
  <c r="R167" s="1"/>
  <c r="S166" l="1"/>
  <c r="S167" s="1"/>
  <c r="T166" l="1"/>
  <c r="T167" s="1"/>
  <c r="U166" l="1"/>
  <c r="U167" s="1"/>
  <c r="V166" l="1"/>
  <c r="V167" s="1"/>
  <c r="W166" l="1"/>
  <c r="W167" s="1"/>
  <c r="Q226" l="1"/>
  <c r="R226" s="1"/>
  <c r="R227" s="1"/>
  <c r="P361"/>
  <c r="Q361" s="1"/>
  <c r="Q227"/>
  <c r="P310"/>
  <c r="P311" s="1"/>
  <c r="P259"/>
  <c r="P260" s="1"/>
  <c r="P358"/>
  <c r="P359" s="1"/>
  <c r="P223"/>
  <c r="P224" s="1"/>
  <c r="P391"/>
  <c r="P392" s="1"/>
  <c r="P337"/>
  <c r="P338" s="1"/>
  <c r="P362" l="1"/>
  <c r="R361"/>
  <c r="S361" s="1"/>
  <c r="Q362"/>
  <c r="S226"/>
  <c r="Q310"/>
  <c r="Q223"/>
  <c r="Q358"/>
  <c r="Q259"/>
  <c r="Q337"/>
  <c r="Q391"/>
  <c r="R362" l="1"/>
  <c r="T226"/>
  <c r="S227"/>
  <c r="Q392"/>
  <c r="R391"/>
  <c r="Q338"/>
  <c r="R337"/>
  <c r="Q359"/>
  <c r="R358"/>
  <c r="Q311"/>
  <c r="R310"/>
  <c r="T361"/>
  <c r="S362"/>
  <c r="Q260"/>
  <c r="R259"/>
  <c r="Q224"/>
  <c r="R223"/>
  <c r="T227" l="1"/>
  <c r="U226"/>
  <c r="U361"/>
  <c r="T362"/>
  <c r="R224"/>
  <c r="S223"/>
  <c r="R260"/>
  <c r="S259"/>
  <c r="R311"/>
  <c r="S310"/>
  <c r="R359"/>
  <c r="S358"/>
  <c r="R338"/>
  <c r="S337"/>
  <c r="R392"/>
  <c r="S391"/>
  <c r="U227" l="1"/>
  <c r="V226"/>
  <c r="V361"/>
  <c r="U362"/>
  <c r="S392"/>
  <c r="T391"/>
  <c r="S338"/>
  <c r="T337"/>
  <c r="S359"/>
  <c r="T358"/>
  <c r="S311"/>
  <c r="T310"/>
  <c r="S260"/>
  <c r="T259"/>
  <c r="S224"/>
  <c r="T223"/>
  <c r="W226" l="1"/>
  <c r="V227"/>
  <c r="W361"/>
  <c r="V362"/>
  <c r="T224"/>
  <c r="U223"/>
  <c r="T260"/>
  <c r="U259"/>
  <c r="T311"/>
  <c r="U310"/>
  <c r="T359"/>
  <c r="U358"/>
  <c r="T338"/>
  <c r="U337"/>
  <c r="T392"/>
  <c r="U391"/>
  <c r="W227" l="1"/>
  <c r="W362"/>
  <c r="U392"/>
  <c r="V391"/>
  <c r="U338"/>
  <c r="V337"/>
  <c r="U359"/>
  <c r="V358"/>
  <c r="U311"/>
  <c r="V310"/>
  <c r="U260"/>
  <c r="V259"/>
  <c r="U224"/>
  <c r="V223"/>
  <c r="V224" l="1"/>
  <c r="W223"/>
  <c r="V260"/>
  <c r="W259"/>
  <c r="V311"/>
  <c r="W310"/>
  <c r="V359"/>
  <c r="W358"/>
  <c r="V338"/>
  <c r="W337"/>
  <c r="V392"/>
  <c r="W391"/>
  <c r="W392" l="1"/>
  <c r="W338"/>
  <c r="W359"/>
  <c r="W311"/>
  <c r="W260"/>
  <c r="W224"/>
  <c r="P163" l="1"/>
  <c r="Q163" s="1"/>
  <c r="P196"/>
  <c r="Q196" s="1"/>
  <c r="P164" l="1"/>
  <c r="P197"/>
  <c r="R163"/>
  <c r="Q164"/>
  <c r="R196"/>
  <c r="Q197"/>
  <c r="S196" l="1"/>
  <c r="R197"/>
  <c r="S163"/>
  <c r="R164"/>
  <c r="S164" l="1"/>
  <c r="T163"/>
  <c r="S197"/>
  <c r="T196"/>
  <c r="U196" l="1"/>
  <c r="T197"/>
  <c r="U163"/>
  <c r="T164"/>
  <c r="U164" l="1"/>
  <c r="V163"/>
  <c r="U197"/>
  <c r="V196"/>
  <c r="W196" l="1"/>
  <c r="V197"/>
  <c r="W163"/>
  <c r="V164"/>
  <c r="W164" l="1"/>
  <c r="W197"/>
  <c r="P34" l="1"/>
  <c r="Q34" l="1"/>
  <c r="R34" l="1"/>
  <c r="S34" l="1"/>
  <c r="T34" l="1"/>
  <c r="U34" l="1"/>
  <c r="V34" l="1"/>
  <c r="W34" l="1"/>
  <c r="S35" l="1"/>
  <c r="R35"/>
  <c r="Q35"/>
  <c r="P35"/>
  <c r="U35"/>
  <c r="T35"/>
  <c r="W35"/>
  <c r="V35"/>
  <c r="P160" l="1"/>
  <c r="P161" s="1"/>
  <c r="Q160" l="1"/>
  <c r="Q161" s="1"/>
  <c r="R160" l="1"/>
  <c r="R161" s="1"/>
  <c r="S160" l="1"/>
  <c r="S161" s="1"/>
  <c r="T160" l="1"/>
  <c r="T161" s="1"/>
  <c r="U160" l="1"/>
  <c r="U161" s="1"/>
  <c r="V160" l="1"/>
  <c r="V161" s="1"/>
  <c r="W160" l="1"/>
  <c r="W161" s="1"/>
  <c r="P193" l="1"/>
  <c r="Q193" s="1"/>
  <c r="P194" l="1"/>
  <c r="R193"/>
  <c r="Q194"/>
  <c r="S193" l="1"/>
  <c r="R194"/>
  <c r="T193" l="1"/>
  <c r="S194"/>
  <c r="U193" l="1"/>
  <c r="T194"/>
  <c r="V193" l="1"/>
  <c r="U194"/>
  <c r="P220"/>
  <c r="Q220" s="1"/>
  <c r="P221" l="1"/>
  <c r="W193"/>
  <c r="V194"/>
  <c r="R220"/>
  <c r="Q221"/>
  <c r="W194" l="1"/>
  <c r="S220"/>
  <c r="R221"/>
  <c r="T220" l="1"/>
  <c r="S221"/>
  <c r="U220" l="1"/>
  <c r="T221"/>
  <c r="V220" l="1"/>
  <c r="U221"/>
  <c r="W220" l="1"/>
  <c r="V221"/>
  <c r="W221" l="1"/>
  <c r="P256" l="1"/>
  <c r="Q256" s="1"/>
  <c r="P257" l="1"/>
  <c r="R256"/>
  <c r="Q257"/>
  <c r="S256" l="1"/>
  <c r="R257"/>
  <c r="T256" l="1"/>
  <c r="S257"/>
  <c r="U256" l="1"/>
  <c r="T257"/>
  <c r="V256" l="1"/>
  <c r="U257"/>
  <c r="W256" l="1"/>
  <c r="V257"/>
  <c r="W257" l="1"/>
  <c r="P283" l="1"/>
  <c r="P284" s="1"/>
  <c r="Q283" l="1"/>
  <c r="Q284" s="1"/>
  <c r="R283" l="1"/>
  <c r="R284" s="1"/>
  <c r="S283" l="1"/>
  <c r="S284" s="1"/>
  <c r="T283" l="1"/>
  <c r="T284" s="1"/>
  <c r="U283" l="1"/>
  <c r="U284" s="1"/>
  <c r="V283" l="1"/>
  <c r="V284" s="1"/>
  <c r="W283" l="1"/>
  <c r="W284" s="1"/>
  <c r="P307" l="1"/>
  <c r="P308" s="1"/>
  <c r="P280"/>
  <c r="P281" s="1"/>
  <c r="Q307" l="1"/>
  <c r="Q308" l="1"/>
  <c r="R307"/>
  <c r="R308" l="1"/>
  <c r="S307"/>
  <c r="S308" l="1"/>
  <c r="T307"/>
  <c r="T308" l="1"/>
  <c r="U307"/>
  <c r="U308" l="1"/>
  <c r="V307"/>
  <c r="W307" l="1"/>
  <c r="V308"/>
  <c r="W308" l="1"/>
  <c r="P334" l="1"/>
  <c r="P335" s="1"/>
  <c r="Q334" l="1"/>
  <c r="Q335" l="1"/>
  <c r="R334"/>
  <c r="R335" l="1"/>
  <c r="S334"/>
  <c r="S335" l="1"/>
  <c r="T334"/>
  <c r="T335" l="1"/>
  <c r="U334"/>
  <c r="U335" l="1"/>
  <c r="V334"/>
  <c r="V335" l="1"/>
  <c r="W334"/>
  <c r="W335" l="1"/>
  <c r="P388" l="1"/>
  <c r="Q388" s="1"/>
  <c r="P389" l="1"/>
  <c r="R388"/>
  <c r="Q389"/>
  <c r="S388" l="1"/>
  <c r="R389"/>
  <c r="T388" l="1"/>
  <c r="S389"/>
  <c r="U388" l="1"/>
  <c r="T389"/>
  <c r="V388" l="1"/>
  <c r="U389"/>
  <c r="W388" l="1"/>
  <c r="V389"/>
  <c r="W389" l="1"/>
  <c r="P433" l="1"/>
  <c r="Q433" s="1"/>
  <c r="P425" l="1"/>
  <c r="P424" s="1"/>
  <c r="P434"/>
  <c r="R433"/>
  <c r="Q434"/>
  <c r="Q425"/>
  <c r="Q424" l="1"/>
  <c r="S433"/>
  <c r="R434"/>
  <c r="R425"/>
  <c r="R424" s="1"/>
  <c r="T433" l="1"/>
  <c r="S434"/>
  <c r="S425"/>
  <c r="S424" s="1"/>
  <c r="U433" l="1"/>
  <c r="T434"/>
  <c r="T425"/>
  <c r="T424" s="1"/>
  <c r="V433" l="1"/>
  <c r="U434"/>
  <c r="U425"/>
  <c r="U424" s="1"/>
  <c r="W433" l="1"/>
  <c r="V434"/>
  <c r="V425"/>
  <c r="V424" s="1"/>
  <c r="W434" l="1"/>
  <c r="W425"/>
  <c r="W424" s="1"/>
  <c r="Q431" l="1"/>
  <c r="Q430" s="1"/>
  <c r="R431" l="1"/>
  <c r="R430" l="1"/>
  <c r="S431"/>
  <c r="S430" l="1"/>
  <c r="T431"/>
  <c r="T430" l="1"/>
  <c r="U431"/>
  <c r="U430" l="1"/>
  <c r="V431"/>
  <c r="V430" l="1"/>
  <c r="W431"/>
  <c r="W430" l="1"/>
  <c r="P157"/>
  <c r="Q157" s="1"/>
  <c r="P190"/>
  <c r="Q190" s="1"/>
  <c r="P217"/>
  <c r="Q217" s="1"/>
  <c r="P253"/>
  <c r="Q253" s="1"/>
  <c r="Q280"/>
  <c r="R280" s="1"/>
  <c r="P304"/>
  <c r="Q304" s="1"/>
  <c r="P331"/>
  <c r="Q331" s="1"/>
  <c r="P154"/>
  <c r="P155" s="1"/>
  <c r="P214"/>
  <c r="P215" s="1"/>
  <c r="P187"/>
  <c r="P188" s="1"/>
  <c r="P136"/>
  <c r="P137" s="1"/>
  <c r="P158" l="1"/>
  <c r="P218"/>
  <c r="Q281"/>
  <c r="P305"/>
  <c r="P332"/>
  <c r="P254"/>
  <c r="P191"/>
  <c r="Q136"/>
  <c r="Q137" s="1"/>
  <c r="Q187"/>
  <c r="R187" s="1"/>
  <c r="S187" s="1"/>
  <c r="Q154"/>
  <c r="R154" s="1"/>
  <c r="S154" s="1"/>
  <c r="P133"/>
  <c r="P134" s="1"/>
  <c r="R155"/>
  <c r="Q305"/>
  <c r="R304"/>
  <c r="R253"/>
  <c r="Q254"/>
  <c r="R190"/>
  <c r="Q191"/>
  <c r="Q332"/>
  <c r="R331"/>
  <c r="S280"/>
  <c r="R281"/>
  <c r="R217"/>
  <c r="Q218"/>
  <c r="R157"/>
  <c r="Q158"/>
  <c r="Q214"/>
  <c r="Q188" l="1"/>
  <c r="Q155"/>
  <c r="R136"/>
  <c r="S136" s="1"/>
  <c r="R188"/>
  <c r="Q133"/>
  <c r="Q134" s="1"/>
  <c r="S331"/>
  <c r="R332"/>
  <c r="S304"/>
  <c r="R305"/>
  <c r="T154"/>
  <c r="S155"/>
  <c r="Q215"/>
  <c r="R214"/>
  <c r="R158"/>
  <c r="S157"/>
  <c r="R218"/>
  <c r="S217"/>
  <c r="S281"/>
  <c r="T280"/>
  <c r="R191"/>
  <c r="S190"/>
  <c r="R254"/>
  <c r="S253"/>
  <c r="S188"/>
  <c r="T187"/>
  <c r="R137" l="1"/>
  <c r="T155"/>
  <c r="U154"/>
  <c r="S305"/>
  <c r="T304"/>
  <c r="S332"/>
  <c r="T331"/>
  <c r="T136"/>
  <c r="S137"/>
  <c r="T188"/>
  <c r="U187"/>
  <c r="T253"/>
  <c r="S254"/>
  <c r="T190"/>
  <c r="S191"/>
  <c r="U280"/>
  <c r="T281"/>
  <c r="T217"/>
  <c r="S218"/>
  <c r="T157"/>
  <c r="S158"/>
  <c r="S214"/>
  <c r="R215"/>
  <c r="R133"/>
  <c r="R134" s="1"/>
  <c r="U188" l="1"/>
  <c r="V187"/>
  <c r="S133"/>
  <c r="S134" s="1"/>
  <c r="U331"/>
  <c r="T332"/>
  <c r="U304"/>
  <c r="T305"/>
  <c r="U155"/>
  <c r="V154"/>
  <c r="S215"/>
  <c r="T214"/>
  <c r="T158"/>
  <c r="U157"/>
  <c r="T218"/>
  <c r="U217"/>
  <c r="U281"/>
  <c r="V280"/>
  <c r="T191"/>
  <c r="U190"/>
  <c r="T254"/>
  <c r="U253"/>
  <c r="T137"/>
  <c r="U136"/>
  <c r="U137" l="1"/>
  <c r="V136"/>
  <c r="V253"/>
  <c r="U254"/>
  <c r="V190"/>
  <c r="U191"/>
  <c r="W280"/>
  <c r="W281" s="1"/>
  <c r="V281"/>
  <c r="V217"/>
  <c r="U218"/>
  <c r="V157"/>
  <c r="U158"/>
  <c r="T215"/>
  <c r="U214"/>
  <c r="V155"/>
  <c r="W154"/>
  <c r="W155" s="1"/>
  <c r="V188"/>
  <c r="W187"/>
  <c r="W188" s="1"/>
  <c r="U305"/>
  <c r="V304"/>
  <c r="U332"/>
  <c r="V331"/>
  <c r="T133"/>
  <c r="T134" s="1"/>
  <c r="W331" l="1"/>
  <c r="W332" s="1"/>
  <c r="V332"/>
  <c r="W304"/>
  <c r="W305" s="1"/>
  <c r="V305"/>
  <c r="U215"/>
  <c r="V214"/>
  <c r="V137"/>
  <c r="W136"/>
  <c r="W137" s="1"/>
  <c r="V158"/>
  <c r="W157"/>
  <c r="W158" s="1"/>
  <c r="V218"/>
  <c r="W217"/>
  <c r="W218" s="1"/>
  <c r="V191"/>
  <c r="W190"/>
  <c r="W191" s="1"/>
  <c r="V254"/>
  <c r="W253"/>
  <c r="W254" s="1"/>
  <c r="U133"/>
  <c r="U134" s="1"/>
  <c r="W214" l="1"/>
  <c r="W215" s="1"/>
  <c r="V215"/>
  <c r="V133"/>
  <c r="W133" s="1"/>
  <c r="W134" s="1"/>
  <c r="V134" l="1"/>
  <c r="P431"/>
  <c r="P430"/>
  <c r="P301" l="1"/>
  <c r="W428" l="1"/>
  <c r="W427" s="1"/>
  <c r="V428"/>
  <c r="V427" s="1"/>
  <c r="U428"/>
  <c r="U427" s="1"/>
  <c r="T428"/>
  <c r="T427" s="1"/>
  <c r="S428"/>
  <c r="S427" s="1"/>
  <c r="R428"/>
  <c r="R427" s="1"/>
  <c r="Q428"/>
  <c r="Q427" s="1"/>
  <c r="P428"/>
  <c r="P427" s="1"/>
  <c r="Q301"/>
  <c r="Q302" s="1"/>
  <c r="L8"/>
  <c r="P382"/>
  <c r="P383" s="1"/>
  <c r="P250"/>
  <c r="P251" s="1"/>
  <c r="P355"/>
  <c r="Q355" s="1"/>
  <c r="P328"/>
  <c r="P329" s="1"/>
  <c r="P277"/>
  <c r="Q277" s="1"/>
  <c r="P211"/>
  <c r="P212" s="1"/>
  <c r="R301" l="1"/>
  <c r="R302" s="1"/>
  <c r="Q328"/>
  <c r="Q329" s="1"/>
  <c r="Q250"/>
  <c r="Q251" s="1"/>
  <c r="P278"/>
  <c r="Q278"/>
  <c r="R277"/>
  <c r="Q356"/>
  <c r="R355"/>
  <c r="P247"/>
  <c r="P248" s="1"/>
  <c r="P356"/>
  <c r="Q382"/>
  <c r="R328" l="1"/>
  <c r="R329" s="1"/>
  <c r="S301"/>
  <c r="T301" s="1"/>
  <c r="R250"/>
  <c r="S250" s="1"/>
  <c r="R356"/>
  <c r="S355"/>
  <c r="R278"/>
  <c r="S277"/>
  <c r="Q383"/>
  <c r="R382"/>
  <c r="S302" l="1"/>
  <c r="S328"/>
  <c r="T328" s="1"/>
  <c r="R251"/>
  <c r="T302"/>
  <c r="U301"/>
  <c r="S251"/>
  <c r="T250"/>
  <c r="S329"/>
  <c r="R383"/>
  <c r="S382"/>
  <c r="S278"/>
  <c r="T277"/>
  <c r="S356"/>
  <c r="T355"/>
  <c r="T356" l="1"/>
  <c r="U355"/>
  <c r="T278"/>
  <c r="U277"/>
  <c r="S383"/>
  <c r="T382"/>
  <c r="T329"/>
  <c r="U328"/>
  <c r="T251"/>
  <c r="U250"/>
  <c r="U302"/>
  <c r="V301"/>
  <c r="V302" l="1"/>
  <c r="W301"/>
  <c r="W302" s="1"/>
  <c r="U251"/>
  <c r="V250"/>
  <c r="U329"/>
  <c r="V328"/>
  <c r="T383"/>
  <c r="U382"/>
  <c r="U278"/>
  <c r="V277"/>
  <c r="U356"/>
  <c r="V355"/>
  <c r="V356" l="1"/>
  <c r="W355"/>
  <c r="W356" s="1"/>
  <c r="V278"/>
  <c r="W277"/>
  <c r="W278" s="1"/>
  <c r="U383"/>
  <c r="V382"/>
  <c r="V329"/>
  <c r="W328"/>
  <c r="W329" s="1"/>
  <c r="V251"/>
  <c r="W250"/>
  <c r="W251" s="1"/>
  <c r="V383" l="1"/>
  <c r="W382"/>
  <c r="W383" s="1"/>
  <c r="P302" l="1"/>
  <c r="P298"/>
  <c r="P299" s="1"/>
  <c r="P325"/>
  <c r="P326" s="1"/>
  <c r="P151"/>
  <c r="P152" s="1"/>
  <c r="P184"/>
  <c r="P185" s="1"/>
  <c r="P274"/>
  <c r="P275" s="1"/>
  <c r="P352"/>
  <c r="P353" s="1"/>
  <c r="P379"/>
  <c r="P380" s="1"/>
  <c r="Q211"/>
  <c r="Q212" s="1"/>
  <c r="Q247"/>
  <c r="Q248" s="1"/>
  <c r="Q325" l="1"/>
  <c r="Q326" s="1"/>
  <c r="Q184"/>
  <c r="Q185" s="1"/>
  <c r="Q298"/>
  <c r="Q299" s="1"/>
  <c r="Q352"/>
  <c r="Q353" s="1"/>
  <c r="R211"/>
  <c r="Q379"/>
  <c r="Q274"/>
  <c r="Q151"/>
  <c r="R247"/>
  <c r="R325" l="1"/>
  <c r="R326" s="1"/>
  <c r="R184"/>
  <c r="R185" s="1"/>
  <c r="R352"/>
  <c r="R353" s="1"/>
  <c r="R298"/>
  <c r="R299" s="1"/>
  <c r="S325"/>
  <c r="S211"/>
  <c r="R212"/>
  <c r="Q275"/>
  <c r="R274"/>
  <c r="Q152"/>
  <c r="R151"/>
  <c r="Q380"/>
  <c r="R379"/>
  <c r="R248"/>
  <c r="S247"/>
  <c r="S352" l="1"/>
  <c r="S184"/>
  <c r="S185" s="1"/>
  <c r="S298"/>
  <c r="T298" s="1"/>
  <c r="S326"/>
  <c r="T325"/>
  <c r="S212"/>
  <c r="T211"/>
  <c r="T352"/>
  <c r="S353"/>
  <c r="S379"/>
  <c r="R380"/>
  <c r="S151"/>
  <c r="R152"/>
  <c r="S274"/>
  <c r="R275"/>
  <c r="T247"/>
  <c r="S248"/>
  <c r="T184"/>
  <c r="S299" l="1"/>
  <c r="T326"/>
  <c r="U325"/>
  <c r="U352"/>
  <c r="T353"/>
  <c r="U211"/>
  <c r="T212"/>
  <c r="T274"/>
  <c r="S275"/>
  <c r="T151"/>
  <c r="S152"/>
  <c r="T379"/>
  <c r="S380"/>
  <c r="U298"/>
  <c r="T299"/>
  <c r="U184"/>
  <c r="T185"/>
  <c r="U247"/>
  <c r="T248"/>
  <c r="V325" l="1"/>
  <c r="U326"/>
  <c r="V352"/>
  <c r="U353"/>
  <c r="V211"/>
  <c r="U212"/>
  <c r="T380"/>
  <c r="U379"/>
  <c r="T152"/>
  <c r="U151"/>
  <c r="T275"/>
  <c r="U274"/>
  <c r="V247"/>
  <c r="U248"/>
  <c r="V184"/>
  <c r="U185"/>
  <c r="V298"/>
  <c r="U299"/>
  <c r="W325" l="1"/>
  <c r="W326" s="1"/>
  <c r="V326"/>
  <c r="W211"/>
  <c r="W212" s="1"/>
  <c r="V212"/>
  <c r="W352"/>
  <c r="W353" s="1"/>
  <c r="V353"/>
  <c r="V274"/>
  <c r="U275"/>
  <c r="V151"/>
  <c r="U152"/>
  <c r="V379"/>
  <c r="U380"/>
  <c r="V299"/>
  <c r="W298"/>
  <c r="W299" s="1"/>
  <c r="V185"/>
  <c r="W184"/>
  <c r="W185" s="1"/>
  <c r="V248"/>
  <c r="W247"/>
  <c r="W248" s="1"/>
  <c r="W379" l="1"/>
  <c r="W380" s="1"/>
  <c r="V380"/>
  <c r="W151"/>
  <c r="W152" s="1"/>
  <c r="V152"/>
  <c r="W274"/>
  <c r="W275" s="1"/>
  <c r="V275"/>
  <c r="P376" l="1"/>
  <c r="P244"/>
  <c r="P245" s="1"/>
  <c r="P64"/>
  <c r="P65" s="1"/>
  <c r="P349"/>
  <c r="P350" s="1"/>
  <c r="P181"/>
  <c r="P182" s="1"/>
  <c r="P88"/>
  <c r="P89" s="1"/>
  <c r="P148"/>
  <c r="P149" s="1"/>
  <c r="P403"/>
  <c r="P404" s="1"/>
  <c r="P112"/>
  <c r="P295"/>
  <c r="P296" s="1"/>
  <c r="P271"/>
  <c r="Q271" s="1"/>
  <c r="P130"/>
  <c r="P131" s="1"/>
  <c r="P208"/>
  <c r="P209" s="1"/>
  <c r="Q295" l="1"/>
  <c r="Q296" s="1"/>
  <c r="Q88"/>
  <c r="R88" s="1"/>
  <c r="R295"/>
  <c r="P113"/>
  <c r="Q112"/>
  <c r="Q148"/>
  <c r="Q244"/>
  <c r="Q272"/>
  <c r="R271"/>
  <c r="P61"/>
  <c r="P62" s="1"/>
  <c r="Q130"/>
  <c r="P272"/>
  <c r="Q376"/>
  <c r="R376" s="1"/>
  <c r="P377"/>
  <c r="Q208"/>
  <c r="Q64"/>
  <c r="Q181"/>
  <c r="Q349"/>
  <c r="Q403"/>
  <c r="Q89" l="1"/>
  <c r="S271"/>
  <c r="R272"/>
  <c r="R244"/>
  <c r="Q245"/>
  <c r="S88"/>
  <c r="R89"/>
  <c r="S295"/>
  <c r="R296"/>
  <c r="R403"/>
  <c r="Q404"/>
  <c r="Q182"/>
  <c r="R181"/>
  <c r="Q209"/>
  <c r="R208"/>
  <c r="R377"/>
  <c r="S376"/>
  <c r="R349"/>
  <c r="Q350"/>
  <c r="Q65"/>
  <c r="R64"/>
  <c r="Q131"/>
  <c r="R130"/>
  <c r="R148"/>
  <c r="Q149"/>
  <c r="Q113"/>
  <c r="R112"/>
  <c r="R113" l="1"/>
  <c r="S112"/>
  <c r="S148"/>
  <c r="R149"/>
  <c r="Q61"/>
  <c r="Q62" s="1"/>
  <c r="R350"/>
  <c r="S349"/>
  <c r="R404"/>
  <c r="S403"/>
  <c r="S296"/>
  <c r="T295"/>
  <c r="T88"/>
  <c r="S89"/>
  <c r="R245"/>
  <c r="S244"/>
  <c r="T271"/>
  <c r="S272"/>
  <c r="S130"/>
  <c r="R131"/>
  <c r="R65"/>
  <c r="S64"/>
  <c r="S377"/>
  <c r="T376"/>
  <c r="S208"/>
  <c r="R209"/>
  <c r="R182"/>
  <c r="S181"/>
  <c r="T208" l="1"/>
  <c r="S209"/>
  <c r="R61"/>
  <c r="R62" s="1"/>
  <c r="T130"/>
  <c r="S131"/>
  <c r="T272"/>
  <c r="U271"/>
  <c r="T89"/>
  <c r="U88"/>
  <c r="T148"/>
  <c r="S149"/>
  <c r="T181"/>
  <c r="S182"/>
  <c r="T377"/>
  <c r="U376"/>
  <c r="T64"/>
  <c r="S65"/>
  <c r="S245"/>
  <c r="T244"/>
  <c r="T296"/>
  <c r="U295"/>
  <c r="T403"/>
  <c r="S404"/>
  <c r="S350"/>
  <c r="T349"/>
  <c r="S113"/>
  <c r="T112"/>
  <c r="T113" l="1"/>
  <c r="U112"/>
  <c r="T350"/>
  <c r="U349"/>
  <c r="U296"/>
  <c r="V295"/>
  <c r="T245"/>
  <c r="U244"/>
  <c r="S61"/>
  <c r="S62" s="1"/>
  <c r="U377"/>
  <c r="V376"/>
  <c r="U89"/>
  <c r="V88"/>
  <c r="U272"/>
  <c r="V271"/>
  <c r="T404"/>
  <c r="U403"/>
  <c r="T65"/>
  <c r="U64"/>
  <c r="T182"/>
  <c r="U181"/>
  <c r="T149"/>
  <c r="U148"/>
  <c r="T131"/>
  <c r="U130"/>
  <c r="T209"/>
  <c r="U208"/>
  <c r="U209" l="1"/>
  <c r="V208"/>
  <c r="U131"/>
  <c r="V130"/>
  <c r="U149"/>
  <c r="V148"/>
  <c r="U182"/>
  <c r="V181"/>
  <c r="U65"/>
  <c r="V64"/>
  <c r="U404"/>
  <c r="V403"/>
  <c r="V272"/>
  <c r="W271"/>
  <c r="W272" s="1"/>
  <c r="V89"/>
  <c r="W88"/>
  <c r="W89" s="1"/>
  <c r="V377"/>
  <c r="W376"/>
  <c r="W377" s="1"/>
  <c r="U245"/>
  <c r="V244"/>
  <c r="V296"/>
  <c r="W295"/>
  <c r="W296" s="1"/>
  <c r="U350"/>
  <c r="V349"/>
  <c r="U113"/>
  <c r="V112"/>
  <c r="T61"/>
  <c r="T62" s="1"/>
  <c r="U61" l="1"/>
  <c r="U62" s="1"/>
  <c r="W112"/>
  <c r="W113" s="1"/>
  <c r="V113"/>
  <c r="V350"/>
  <c r="W349"/>
  <c r="W350" s="1"/>
  <c r="V245"/>
  <c r="W244"/>
  <c r="W245" s="1"/>
  <c r="V404"/>
  <c r="W403"/>
  <c r="W404" s="1"/>
  <c r="W64"/>
  <c r="W65" s="1"/>
  <c r="V65"/>
  <c r="V182"/>
  <c r="W181"/>
  <c r="W182" s="1"/>
  <c r="W148"/>
  <c r="W149" s="1"/>
  <c r="V149"/>
  <c r="V131"/>
  <c r="W130"/>
  <c r="W131" s="1"/>
  <c r="W208"/>
  <c r="W209" s="1"/>
  <c r="V209"/>
  <c r="V61" l="1"/>
  <c r="W61" s="1"/>
  <c r="W62" s="1"/>
  <c r="V62" l="1"/>
  <c r="Q377"/>
  <c r="P85" l="1"/>
  <c r="Q85" s="1"/>
  <c r="P82"/>
  <c r="P83" s="1"/>
  <c r="P86" l="1"/>
  <c r="Q86"/>
  <c r="R85"/>
  <c r="S85" s="1"/>
  <c r="S86" s="1"/>
  <c r="Q82"/>
  <c r="T85" l="1"/>
  <c r="T86" s="1"/>
  <c r="R86"/>
  <c r="R82"/>
  <c r="Q83"/>
  <c r="U85" l="1"/>
  <c r="V85" s="1"/>
  <c r="S82"/>
  <c r="R83"/>
  <c r="U86" l="1"/>
  <c r="S83"/>
  <c r="T82"/>
  <c r="W85"/>
  <c r="W86" s="1"/>
  <c r="V86"/>
  <c r="T83" l="1"/>
  <c r="U82"/>
  <c r="U83" l="1"/>
  <c r="V82"/>
  <c r="V83" l="1"/>
  <c r="W82"/>
  <c r="W83" s="1"/>
  <c r="P79" l="1"/>
  <c r="Q79" s="1"/>
  <c r="P109"/>
  <c r="Q109" s="1"/>
  <c r="P127"/>
  <c r="Q127" s="1"/>
  <c r="P124"/>
  <c r="P106"/>
  <c r="Q106" s="1"/>
  <c r="P76"/>
  <c r="P77" s="1"/>
  <c r="P110" l="1"/>
  <c r="P80"/>
  <c r="P128"/>
  <c r="R127"/>
  <c r="Q128"/>
  <c r="R79"/>
  <c r="Q80"/>
  <c r="R109"/>
  <c r="Q110"/>
  <c r="Q76"/>
  <c r="R106"/>
  <c r="Q124"/>
  <c r="S109" l="1"/>
  <c r="R110"/>
  <c r="S79"/>
  <c r="R80"/>
  <c r="S127"/>
  <c r="R128"/>
  <c r="R124"/>
  <c r="Q77"/>
  <c r="R76"/>
  <c r="S106"/>
  <c r="S128" l="1"/>
  <c r="T127"/>
  <c r="T79"/>
  <c r="S80"/>
  <c r="S110"/>
  <c r="T109"/>
  <c r="T106"/>
  <c r="R77"/>
  <c r="S76"/>
  <c r="S124"/>
  <c r="S77" l="1"/>
  <c r="T76"/>
  <c r="U106"/>
  <c r="U79"/>
  <c r="T80"/>
  <c r="T124"/>
  <c r="U109"/>
  <c r="T110"/>
  <c r="U127"/>
  <c r="T128"/>
  <c r="U128" l="1"/>
  <c r="V127"/>
  <c r="V109"/>
  <c r="U110"/>
  <c r="V79"/>
  <c r="U80"/>
  <c r="U124"/>
  <c r="V106"/>
  <c r="T77"/>
  <c r="U76"/>
  <c r="W106" l="1"/>
  <c r="V124"/>
  <c r="V128"/>
  <c r="W127"/>
  <c r="W128" s="1"/>
  <c r="U77"/>
  <c r="V76"/>
  <c r="V80"/>
  <c r="W79"/>
  <c r="W80" s="1"/>
  <c r="W109"/>
  <c r="W110" s="1"/>
  <c r="V110"/>
  <c r="V77" l="1"/>
  <c r="W76"/>
  <c r="W77" s="1"/>
  <c r="W124"/>
  <c r="K74"/>
  <c r="N72" s="1"/>
  <c r="K107"/>
  <c r="N105" s="1"/>
  <c r="K125"/>
  <c r="N123" s="1"/>
  <c r="K104"/>
  <c r="N102" s="1"/>
  <c r="K122"/>
  <c r="N120" s="1"/>
  <c r="K146"/>
  <c r="N144" s="1"/>
  <c r="K179"/>
  <c r="N177" s="1"/>
  <c r="K206"/>
  <c r="N204" s="1"/>
  <c r="K242"/>
  <c r="N240" s="1"/>
  <c r="K269"/>
  <c r="N267" s="1"/>
  <c r="K293"/>
  <c r="N291" s="1"/>
  <c r="K347"/>
  <c r="N345" s="1"/>
  <c r="K374"/>
  <c r="N372" s="1"/>
  <c r="K413"/>
  <c r="N411" s="1"/>
  <c r="K422"/>
  <c r="N420" s="1"/>
  <c r="Q422"/>
  <c r="P422"/>
  <c r="V422"/>
  <c r="U422"/>
  <c r="T422"/>
  <c r="S422"/>
  <c r="R422"/>
  <c r="W422"/>
  <c r="W204"/>
  <c r="P412"/>
  <c r="P373"/>
  <c r="P268"/>
  <c r="P178"/>
  <c r="P145"/>
  <c r="P292"/>
  <c r="P346"/>
  <c r="P241"/>
  <c r="P205"/>
  <c r="P421"/>
  <c r="Q421"/>
  <c r="R421"/>
  <c r="S421"/>
  <c r="T421"/>
  <c r="W421"/>
  <c r="U421"/>
  <c r="V421"/>
  <c r="P121"/>
  <c r="L423"/>
  <c r="L36"/>
  <c r="P103"/>
  <c r="Q103" s="1"/>
  <c r="L48"/>
  <c r="P73"/>
  <c r="P74" s="1"/>
  <c r="P347" l="1"/>
  <c r="P122"/>
  <c r="P242"/>
  <c r="P179"/>
  <c r="C250" i="12"/>
  <c r="C251" s="1"/>
  <c r="P293" i="11"/>
  <c r="P146"/>
  <c r="P413"/>
  <c r="Q104"/>
  <c r="P206"/>
  <c r="P374"/>
  <c r="P104"/>
  <c r="Q292"/>
  <c r="Q145"/>
  <c r="Q146" s="1"/>
  <c r="Q178"/>
  <c r="Q179" s="1"/>
  <c r="P269"/>
  <c r="V125"/>
  <c r="T125"/>
  <c r="R125"/>
  <c r="P125"/>
  <c r="W125"/>
  <c r="U125"/>
  <c r="S125"/>
  <c r="Q125"/>
  <c r="Q73"/>
  <c r="Q121"/>
  <c r="Q205"/>
  <c r="Q241"/>
  <c r="Q346"/>
  <c r="R145"/>
  <c r="R178"/>
  <c r="Q268"/>
  <c r="Q412"/>
  <c r="Q373"/>
  <c r="V107"/>
  <c r="T107"/>
  <c r="R107"/>
  <c r="P107"/>
  <c r="W107"/>
  <c r="U107"/>
  <c r="S107"/>
  <c r="Q107"/>
  <c r="R103"/>
  <c r="C252" i="12" l="1"/>
  <c r="K251"/>
  <c r="K250"/>
  <c r="Q293" i="11"/>
  <c r="R292"/>
  <c r="Q374"/>
  <c r="R373"/>
  <c r="Q269"/>
  <c r="R268"/>
  <c r="S178"/>
  <c r="R179"/>
  <c r="R146"/>
  <c r="S145"/>
  <c r="Q242"/>
  <c r="R241"/>
  <c r="Q122"/>
  <c r="R121"/>
  <c r="Q74"/>
  <c r="R73"/>
  <c r="R104"/>
  <c r="S103"/>
  <c r="Q413"/>
  <c r="R412"/>
  <c r="Q347"/>
  <c r="R346"/>
  <c r="Q206"/>
  <c r="R205"/>
  <c r="L63" l="1"/>
  <c r="C253" i="12"/>
  <c r="K252"/>
  <c r="R293" i="11"/>
  <c r="S292"/>
  <c r="S179"/>
  <c r="T178"/>
  <c r="R206"/>
  <c r="S205"/>
  <c r="R347"/>
  <c r="S346"/>
  <c r="R413"/>
  <c r="S412"/>
  <c r="T103"/>
  <c r="S104"/>
  <c r="R74"/>
  <c r="S73"/>
  <c r="R122"/>
  <c r="S121"/>
  <c r="R242"/>
  <c r="S241"/>
  <c r="S146"/>
  <c r="T145"/>
  <c r="R269"/>
  <c r="S268"/>
  <c r="R374"/>
  <c r="S373"/>
  <c r="C254" i="12" l="1"/>
  <c r="K253"/>
  <c r="S293" i="11"/>
  <c r="T292"/>
  <c r="T104"/>
  <c r="U103"/>
  <c r="S374"/>
  <c r="T373"/>
  <c r="S269"/>
  <c r="T268"/>
  <c r="T146"/>
  <c r="U145"/>
  <c r="S242"/>
  <c r="T241"/>
  <c r="S122"/>
  <c r="T121"/>
  <c r="S74"/>
  <c r="T73"/>
  <c r="T412"/>
  <c r="S413"/>
  <c r="S347"/>
  <c r="T346"/>
  <c r="T205"/>
  <c r="S206"/>
  <c r="U178"/>
  <c r="T179"/>
  <c r="C255" i="12" l="1"/>
  <c r="K254"/>
  <c r="U292" i="11"/>
  <c r="T293"/>
  <c r="V178"/>
  <c r="U179"/>
  <c r="T206"/>
  <c r="U205"/>
  <c r="T413"/>
  <c r="U412"/>
  <c r="T347"/>
  <c r="U346"/>
  <c r="T74"/>
  <c r="U73"/>
  <c r="T122"/>
  <c r="U121"/>
  <c r="T242"/>
  <c r="U241"/>
  <c r="U146"/>
  <c r="V145"/>
  <c r="T269"/>
  <c r="U268"/>
  <c r="T374"/>
  <c r="U373"/>
  <c r="U104"/>
  <c r="V103"/>
  <c r="C256" i="12" l="1"/>
  <c r="K255"/>
  <c r="U293" i="11"/>
  <c r="V292"/>
  <c r="U413"/>
  <c r="V412"/>
  <c r="U206"/>
  <c r="V205"/>
  <c r="V179"/>
  <c r="W178"/>
  <c r="W179" s="1"/>
  <c r="V104"/>
  <c r="W103"/>
  <c r="W104" s="1"/>
  <c r="U374"/>
  <c r="V373"/>
  <c r="U269"/>
  <c r="V268"/>
  <c r="V146"/>
  <c r="W145"/>
  <c r="W146" s="1"/>
  <c r="U242"/>
  <c r="V241"/>
  <c r="U122"/>
  <c r="V121"/>
  <c r="U74"/>
  <c r="V73"/>
  <c r="U347"/>
  <c r="V346"/>
  <c r="C257" i="12" l="1"/>
  <c r="K256"/>
  <c r="W292" i="11"/>
  <c r="W293" s="1"/>
  <c r="V293"/>
  <c r="V347"/>
  <c r="W346"/>
  <c r="W347" s="1"/>
  <c r="V74"/>
  <c r="W73"/>
  <c r="W74" s="1"/>
  <c r="V122"/>
  <c r="W121"/>
  <c r="W122" s="1"/>
  <c r="V242"/>
  <c r="W241"/>
  <c r="W242" s="1"/>
  <c r="V269"/>
  <c r="W268"/>
  <c r="W269" s="1"/>
  <c r="V374"/>
  <c r="W373"/>
  <c r="W374" s="1"/>
  <c r="V206"/>
  <c r="W205"/>
  <c r="W206" s="1"/>
  <c r="V413"/>
  <c r="W412"/>
  <c r="W413" s="1"/>
  <c r="C258" i="12" l="1"/>
  <c r="K257"/>
  <c r="C259" l="1"/>
  <c r="K258"/>
  <c r="C260" l="1"/>
  <c r="K259"/>
  <c r="C261" l="1"/>
  <c r="K260"/>
  <c r="C262" l="1"/>
  <c r="K261"/>
  <c r="C263" l="1"/>
  <c r="K262"/>
  <c r="C264" l="1"/>
  <c r="K263"/>
  <c r="C265" l="1"/>
  <c r="K264"/>
  <c r="C266" l="1"/>
  <c r="K265"/>
  <c r="C267" l="1"/>
  <c r="K266"/>
  <c r="C268" l="1"/>
  <c r="K267"/>
  <c r="C269" l="1"/>
  <c r="K268"/>
  <c r="C270" l="1"/>
  <c r="K269"/>
  <c r="K270" l="1"/>
  <c r="C271"/>
  <c r="K271" s="1"/>
  <c r="L66" i="11" l="1"/>
  <c r="C272" i="12"/>
  <c r="L69" i="11" l="1"/>
  <c r="C273" i="12"/>
  <c r="K272"/>
  <c r="C274" l="1"/>
  <c r="K273"/>
  <c r="K274" l="1"/>
  <c r="C275"/>
  <c r="C276" l="1"/>
  <c r="K275"/>
  <c r="C277" l="1"/>
  <c r="K276"/>
  <c r="C278" l="1"/>
  <c r="K277"/>
  <c r="C279" l="1"/>
  <c r="K278"/>
  <c r="C280" l="1"/>
  <c r="K279"/>
  <c r="C281" l="1"/>
  <c r="K280"/>
  <c r="C282" l="1"/>
  <c r="K281"/>
  <c r="C283" l="1"/>
  <c r="K283" s="1"/>
  <c r="K282"/>
  <c r="C284" l="1"/>
  <c r="L72" i="11" l="1"/>
  <c r="C285" i="12"/>
  <c r="K284"/>
  <c r="C286" l="1"/>
  <c r="C287" s="1"/>
  <c r="K287" s="1"/>
  <c r="K285"/>
  <c r="C288" l="1"/>
  <c r="K286"/>
  <c r="C289" l="1"/>
  <c r="K288"/>
  <c r="C290" l="1"/>
  <c r="K289"/>
  <c r="C291" l="1"/>
  <c r="K290"/>
  <c r="K291" l="1"/>
  <c r="C292"/>
  <c r="K292" l="1"/>
  <c r="C293"/>
  <c r="K293" s="1"/>
  <c r="C294" l="1"/>
  <c r="L75" i="11" l="1"/>
  <c r="C295" i="12"/>
  <c r="K294"/>
  <c r="K295" l="1"/>
  <c r="C296"/>
  <c r="K296" s="1"/>
  <c r="C297" l="1"/>
  <c r="L78" i="11" l="1"/>
  <c r="C298" i="12"/>
  <c r="C299" s="1"/>
  <c r="K299" s="1"/>
  <c r="K297"/>
  <c r="K298" l="1"/>
  <c r="C300" l="1"/>
  <c r="K300" s="1"/>
  <c r="C301" l="1"/>
  <c r="L81" i="11" l="1"/>
  <c r="C302" i="12"/>
  <c r="K301"/>
  <c r="C303" l="1"/>
  <c r="K302"/>
  <c r="C304" l="1"/>
  <c r="K303"/>
  <c r="C305" l="1"/>
  <c r="K304"/>
  <c r="C306" l="1"/>
  <c r="K305"/>
  <c r="C307" l="1"/>
  <c r="K306"/>
  <c r="C308" l="1"/>
  <c r="K307"/>
  <c r="C309" l="1"/>
  <c r="K308"/>
  <c r="K309" l="1"/>
  <c r="C310"/>
  <c r="K310" l="1"/>
  <c r="C311"/>
  <c r="K311" s="1"/>
  <c r="C312" l="1"/>
  <c r="L84" i="11" l="1"/>
  <c r="C313" i="12"/>
  <c r="K312"/>
  <c r="K313" l="1"/>
  <c r="C314"/>
  <c r="C315" l="1"/>
  <c r="K314"/>
  <c r="C316" l="1"/>
  <c r="K315"/>
  <c r="C317" l="1"/>
  <c r="K316"/>
  <c r="C318" l="1"/>
  <c r="K317"/>
  <c r="C319" l="1"/>
  <c r="K318"/>
  <c r="C320" l="1"/>
  <c r="K320" s="1"/>
  <c r="K319"/>
  <c r="C321" l="1"/>
  <c r="L87" i="11" l="1"/>
  <c r="C322" i="12"/>
  <c r="K321"/>
  <c r="K322" l="1"/>
  <c r="C323"/>
  <c r="K323" s="1"/>
  <c r="C324" l="1"/>
  <c r="L90" i="11" l="1"/>
  <c r="C325" i="12"/>
  <c r="K324"/>
  <c r="C326" l="1"/>
  <c r="K325"/>
  <c r="K326" l="1"/>
  <c r="C327" l="1"/>
  <c r="K327" s="1"/>
  <c r="C328" l="1"/>
  <c r="L93" i="11" l="1"/>
  <c r="C329" i="12"/>
  <c r="K328"/>
  <c r="C330" l="1"/>
  <c r="K329"/>
  <c r="C331" l="1"/>
  <c r="K330"/>
  <c r="K331" l="1"/>
  <c r="C332"/>
  <c r="C333" l="1"/>
  <c r="K332"/>
  <c r="C334" l="1"/>
  <c r="K333"/>
  <c r="C335" l="1"/>
  <c r="K334"/>
  <c r="C336" l="1"/>
  <c r="K335"/>
  <c r="C337" l="1"/>
  <c r="K336"/>
  <c r="C338" l="1"/>
  <c r="K337"/>
  <c r="C339" l="1"/>
  <c r="K339" s="1"/>
  <c r="K338"/>
  <c r="L96" i="11" s="1"/>
  <c r="C340" i="12" l="1"/>
  <c r="L99" i="11"/>
  <c r="K340" i="12" l="1"/>
  <c r="C341"/>
  <c r="K341" l="1"/>
  <c r="C342"/>
  <c r="C343" l="1"/>
  <c r="K342"/>
  <c r="C344" l="1"/>
  <c r="K343"/>
  <c r="C345" l="1"/>
  <c r="K344"/>
  <c r="C346" l="1"/>
  <c r="K345"/>
  <c r="C347" l="1"/>
  <c r="K346"/>
  <c r="K347" l="1"/>
  <c r="C348"/>
  <c r="C349" l="1"/>
  <c r="K348"/>
  <c r="C350" l="1"/>
  <c r="K349"/>
  <c r="C351" l="1"/>
  <c r="K350"/>
  <c r="K351" l="1"/>
  <c r="C352"/>
  <c r="C353" l="1"/>
  <c r="K352"/>
  <c r="C354" l="1"/>
  <c r="K353"/>
  <c r="C355" l="1"/>
  <c r="K354"/>
  <c r="C356" l="1"/>
  <c r="K355"/>
  <c r="C357" l="1"/>
  <c r="K356"/>
  <c r="C358" l="1"/>
  <c r="K357"/>
  <c r="C359" l="1"/>
  <c r="K358"/>
  <c r="C360" l="1"/>
  <c r="K359"/>
  <c r="K360" l="1"/>
  <c r="C361"/>
  <c r="K361" l="1"/>
  <c r="C362"/>
  <c r="C363" l="1"/>
  <c r="K362"/>
  <c r="C364" l="1"/>
  <c r="K363"/>
  <c r="C365" l="1"/>
  <c r="K365" s="1"/>
  <c r="K364"/>
  <c r="C366" l="1"/>
  <c r="L102" i="11" l="1"/>
  <c r="C367" i="12"/>
  <c r="K366"/>
  <c r="K367" l="1"/>
  <c r="C368"/>
  <c r="K368" s="1"/>
  <c r="C369" l="1"/>
  <c r="L105" i="11"/>
  <c r="C370" i="12" l="1"/>
  <c r="K369"/>
  <c r="C371" l="1"/>
  <c r="K370"/>
  <c r="K371" l="1"/>
  <c r="C372"/>
  <c r="C373" l="1"/>
  <c r="K372"/>
  <c r="C374" l="1"/>
  <c r="K373"/>
  <c r="C375" l="1"/>
  <c r="K374"/>
  <c r="C376" l="1"/>
  <c r="K375"/>
  <c r="C377" l="1"/>
  <c r="K376"/>
  <c r="C378" l="1"/>
  <c r="K377"/>
  <c r="C379" l="1"/>
  <c r="K378"/>
  <c r="C380" l="1"/>
  <c r="K379"/>
  <c r="K380" l="1"/>
  <c r="C381"/>
  <c r="K381" l="1"/>
  <c r="C382"/>
  <c r="C383" l="1"/>
  <c r="K382"/>
  <c r="C384" l="1"/>
  <c r="K383"/>
  <c r="C385" l="1"/>
  <c r="K384"/>
  <c r="C386" l="1"/>
  <c r="K385"/>
  <c r="C387" l="1"/>
  <c r="K387" s="1"/>
  <c r="K386"/>
  <c r="C388" l="1"/>
  <c r="L108" i="11" l="1"/>
  <c r="C389" i="12"/>
  <c r="K388"/>
  <c r="C390" l="1"/>
  <c r="K390" s="1"/>
  <c r="K389"/>
  <c r="C391" l="1"/>
  <c r="L111" i="11"/>
  <c r="C392" i="12" l="1"/>
  <c r="K391"/>
  <c r="C393" l="1"/>
  <c r="K392"/>
  <c r="C394" l="1"/>
  <c r="K393"/>
  <c r="C395" l="1"/>
  <c r="K394"/>
  <c r="C396" l="1"/>
  <c r="K395"/>
  <c r="C397" l="1"/>
  <c r="K396"/>
  <c r="C398" l="1"/>
  <c r="K397"/>
  <c r="C399" l="1"/>
  <c r="K398"/>
  <c r="C400" l="1"/>
  <c r="K399"/>
  <c r="K400" l="1"/>
  <c r="C401"/>
  <c r="K401" l="1"/>
  <c r="C402"/>
  <c r="C403" l="1"/>
  <c r="K402"/>
  <c r="C404" l="1"/>
  <c r="K403"/>
  <c r="C405" l="1"/>
  <c r="K404"/>
  <c r="C406" l="1"/>
  <c r="K405"/>
  <c r="C407" l="1"/>
  <c r="K406"/>
  <c r="K407" l="1"/>
  <c r="C408"/>
  <c r="C409" l="1"/>
  <c r="K408"/>
  <c r="C410" l="1"/>
  <c r="K410" s="1"/>
  <c r="K409"/>
  <c r="L114" i="11" s="1"/>
  <c r="C411" i="12" l="1"/>
  <c r="L117" i="11"/>
  <c r="C412" i="12" l="1"/>
  <c r="K411"/>
  <c r="C413" l="1"/>
  <c r="K412"/>
  <c r="C414" l="1"/>
  <c r="K413"/>
  <c r="C415" l="1"/>
  <c r="K414"/>
  <c r="C416" l="1"/>
  <c r="K415"/>
  <c r="C417" l="1"/>
  <c r="K416"/>
  <c r="C418" l="1"/>
  <c r="K417"/>
  <c r="C419" l="1"/>
  <c r="K418"/>
  <c r="C420" l="1"/>
  <c r="K419"/>
  <c r="K420" l="1"/>
  <c r="C421"/>
  <c r="K421" l="1"/>
  <c r="C422"/>
  <c r="C423" l="1"/>
  <c r="K422"/>
  <c r="C424" l="1"/>
  <c r="K423"/>
  <c r="C425" l="1"/>
  <c r="K424"/>
  <c r="C426" l="1"/>
  <c r="K425"/>
  <c r="C427" l="1"/>
  <c r="K426"/>
  <c r="K427" l="1"/>
  <c r="C428"/>
  <c r="C429" l="1"/>
  <c r="K428"/>
  <c r="C430" l="1"/>
  <c r="K429"/>
  <c r="C431" l="1"/>
  <c r="K430"/>
  <c r="C432" l="1"/>
  <c r="K431"/>
  <c r="C433" l="1"/>
  <c r="K432"/>
  <c r="C434" l="1"/>
  <c r="K433"/>
  <c r="C435" l="1"/>
  <c r="K434"/>
  <c r="C436" l="1"/>
  <c r="K435"/>
  <c r="C437" l="1"/>
  <c r="K437" s="1"/>
  <c r="K436"/>
  <c r="C438" l="1"/>
  <c r="L120" i="11" l="1"/>
  <c r="C439" i="12"/>
  <c r="K438"/>
  <c r="C440" l="1"/>
  <c r="K440" s="1"/>
  <c r="K439"/>
  <c r="C441" l="1"/>
  <c r="L123" i="11" l="1"/>
  <c r="C442" i="12"/>
  <c r="K441"/>
  <c r="C443" l="1"/>
  <c r="K442"/>
  <c r="C444" l="1"/>
  <c r="K444" s="1"/>
  <c r="K443"/>
  <c r="C445" l="1"/>
  <c r="L126" i="11"/>
  <c r="C446" i="12" l="1"/>
  <c r="K445"/>
  <c r="C447" l="1"/>
  <c r="K446"/>
  <c r="K447" l="1"/>
  <c r="C448"/>
  <c r="C449" l="1"/>
  <c r="K448"/>
  <c r="C450" l="1"/>
  <c r="K449"/>
  <c r="C451" l="1"/>
  <c r="K450"/>
  <c r="C452" l="1"/>
  <c r="K451"/>
  <c r="C453" l="1"/>
  <c r="K452"/>
  <c r="C454" l="1"/>
  <c r="K453"/>
  <c r="C455" l="1"/>
  <c r="K454"/>
  <c r="C456" l="1"/>
  <c r="K455"/>
  <c r="C457" l="1"/>
  <c r="K456"/>
  <c r="C458" l="1"/>
  <c r="K457"/>
  <c r="C459" l="1"/>
  <c r="K458"/>
  <c r="C460" l="1"/>
  <c r="K459"/>
  <c r="K460" l="1"/>
  <c r="C461"/>
  <c r="C462" l="1"/>
  <c r="K461"/>
  <c r="C463" l="1"/>
  <c r="K462"/>
  <c r="C464" l="1"/>
  <c r="K464" s="1"/>
  <c r="K463"/>
  <c r="C465" l="1"/>
  <c r="L129" i="11" l="1"/>
  <c r="C466" i="12"/>
  <c r="K465"/>
  <c r="C467" l="1"/>
  <c r="K467" s="1"/>
  <c r="K466"/>
  <c r="C468" l="1"/>
  <c r="L132" i="11" l="1"/>
  <c r="C469" i="12"/>
  <c r="K468"/>
  <c r="C470" l="1"/>
  <c r="K469"/>
  <c r="C471" l="1"/>
  <c r="K471" s="1"/>
  <c r="K470"/>
  <c r="C472" l="1"/>
  <c r="L135" i="11"/>
  <c r="C473" i="12" l="1"/>
  <c r="K472"/>
  <c r="C474" l="1"/>
  <c r="K473"/>
  <c r="C475" l="1"/>
  <c r="K474"/>
  <c r="C476" l="1"/>
  <c r="K475"/>
  <c r="C477" l="1"/>
  <c r="K476"/>
  <c r="C478" l="1"/>
  <c r="K477"/>
  <c r="C479" l="1"/>
  <c r="K478"/>
  <c r="C480" l="1"/>
  <c r="K479"/>
  <c r="K480" l="1"/>
  <c r="C481"/>
  <c r="C482" l="1"/>
  <c r="K481"/>
  <c r="C483" l="1"/>
  <c r="K482"/>
  <c r="C484" l="1"/>
  <c r="K483"/>
  <c r="C485" l="1"/>
  <c r="K484"/>
  <c r="C486" l="1"/>
  <c r="K485"/>
  <c r="C487" l="1"/>
  <c r="K486"/>
  <c r="K487" l="1"/>
  <c r="C488"/>
  <c r="C489" l="1"/>
  <c r="K488"/>
  <c r="C490" l="1"/>
  <c r="K489"/>
  <c r="C491" l="1"/>
  <c r="K490"/>
  <c r="C492" l="1"/>
  <c r="K492" s="1"/>
  <c r="K491"/>
  <c r="L138" i="11" s="1"/>
  <c r="C493" i="12" l="1"/>
  <c r="L141" i="11"/>
  <c r="C494" i="12" l="1"/>
  <c r="K493"/>
  <c r="C495" l="1"/>
  <c r="K494"/>
  <c r="C496" l="1"/>
  <c r="K495"/>
  <c r="C497" l="1"/>
  <c r="K496"/>
  <c r="C498" l="1"/>
  <c r="K497"/>
  <c r="C499" l="1"/>
  <c r="K498"/>
  <c r="C500" l="1"/>
  <c r="K499"/>
  <c r="K500" l="1"/>
  <c r="C501"/>
  <c r="C502" l="1"/>
  <c r="K501"/>
  <c r="K502" l="1"/>
  <c r="C503"/>
  <c r="C504" l="1"/>
  <c r="K503"/>
  <c r="C505" l="1"/>
  <c r="K504"/>
  <c r="C506" l="1"/>
  <c r="K505"/>
  <c r="C507" l="1"/>
  <c r="K506"/>
  <c r="K507" l="1"/>
  <c r="C508"/>
  <c r="C509" l="1"/>
  <c r="K508"/>
  <c r="C510" l="1"/>
  <c r="K509"/>
  <c r="C511" l="1"/>
  <c r="K510"/>
  <c r="C512" l="1"/>
  <c r="K511"/>
  <c r="C513" l="1"/>
  <c r="K512"/>
  <c r="C514" l="1"/>
  <c r="K513"/>
  <c r="C515" l="1"/>
  <c r="K514"/>
  <c r="C516" l="1"/>
  <c r="K515"/>
  <c r="C517" l="1"/>
  <c r="K516"/>
  <c r="C518" l="1"/>
  <c r="K518" s="1"/>
  <c r="K517"/>
  <c r="C519" l="1"/>
  <c r="L144" i="11" l="1"/>
  <c r="C520" i="12"/>
  <c r="K519"/>
  <c r="K520" l="1"/>
  <c r="C521"/>
  <c r="C522" l="1"/>
  <c r="K521"/>
  <c r="K522" l="1"/>
  <c r="C523"/>
  <c r="C524" l="1"/>
  <c r="K523"/>
  <c r="C525" l="1"/>
  <c r="K524"/>
  <c r="C526" l="1"/>
  <c r="K525"/>
  <c r="C527" l="1"/>
  <c r="K527" s="1"/>
  <c r="K526"/>
  <c r="C528" l="1"/>
  <c r="L147" i="11" l="1"/>
  <c r="C529" i="12"/>
  <c r="K528"/>
  <c r="C530" l="1"/>
  <c r="K530" s="1"/>
  <c r="K529"/>
  <c r="C531" l="1"/>
  <c r="L150" i="11"/>
  <c r="C532" i="12" l="1"/>
  <c r="K531"/>
  <c r="C533" l="1"/>
  <c r="K532"/>
  <c r="C534" l="1"/>
  <c r="K533"/>
  <c r="C535" l="1"/>
  <c r="K534"/>
  <c r="C536" l="1"/>
  <c r="K535"/>
  <c r="C537" l="1"/>
  <c r="K536"/>
  <c r="C538" l="1"/>
  <c r="K537"/>
  <c r="C539" l="1"/>
  <c r="K538"/>
  <c r="C540" l="1"/>
  <c r="K539"/>
  <c r="K540" l="1"/>
  <c r="C541"/>
  <c r="C542" l="1"/>
  <c r="K541"/>
  <c r="K542" l="1"/>
  <c r="C543"/>
  <c r="C544" l="1"/>
  <c r="K543"/>
  <c r="C545" l="1"/>
  <c r="K544"/>
  <c r="C546" l="1"/>
  <c r="K545"/>
  <c r="C547" l="1"/>
  <c r="K546"/>
  <c r="K547" l="1"/>
  <c r="C548"/>
  <c r="C549" l="1"/>
  <c r="K549" s="1"/>
  <c r="K548"/>
  <c r="C550" l="1"/>
  <c r="L153" i="11" l="1"/>
  <c r="C551" i="12"/>
  <c r="K550"/>
  <c r="C552" l="1"/>
  <c r="K551"/>
  <c r="C553" l="1"/>
  <c r="K552"/>
  <c r="C554" l="1"/>
  <c r="K553"/>
  <c r="C555" l="1"/>
  <c r="K554"/>
  <c r="C556" l="1"/>
  <c r="K555"/>
  <c r="C557" l="1"/>
  <c r="K556"/>
  <c r="C558" l="1"/>
  <c r="K558" s="1"/>
  <c r="K557"/>
  <c r="C559" l="1"/>
  <c r="L156" i="11" l="1"/>
  <c r="C560" i="12"/>
  <c r="K559"/>
  <c r="K560" l="1"/>
  <c r="C561"/>
  <c r="K561" s="1"/>
  <c r="C562" l="1"/>
  <c r="L159" i="11"/>
  <c r="C563" i="12" l="1"/>
  <c r="K562"/>
  <c r="C564" l="1"/>
  <c r="K563"/>
  <c r="C565" l="1"/>
  <c r="K564"/>
  <c r="C566" l="1"/>
  <c r="K565"/>
  <c r="C567" l="1"/>
  <c r="K566"/>
  <c r="K567" l="1"/>
  <c r="C568"/>
  <c r="C569" l="1"/>
  <c r="K568"/>
  <c r="C570" l="1"/>
  <c r="K569"/>
  <c r="C571" l="1"/>
  <c r="K570"/>
  <c r="C572" l="1"/>
  <c r="K571"/>
  <c r="C573" l="1"/>
  <c r="K572"/>
  <c r="C574" l="1"/>
  <c r="K573"/>
  <c r="C575" l="1"/>
  <c r="K574"/>
  <c r="C576" l="1"/>
  <c r="K575"/>
  <c r="C577" l="1"/>
  <c r="K576"/>
  <c r="C578" l="1"/>
  <c r="K577"/>
  <c r="C579" l="1"/>
  <c r="K578"/>
  <c r="C580" l="1"/>
  <c r="K580" s="1"/>
  <c r="K579"/>
  <c r="L162" i="11" l="1"/>
  <c r="C581" i="12"/>
  <c r="C582" l="1"/>
  <c r="K581"/>
  <c r="C583" l="1"/>
  <c r="K582"/>
  <c r="C584" l="1"/>
  <c r="K583"/>
  <c r="C585" l="1"/>
  <c r="K584"/>
  <c r="C586" l="1"/>
  <c r="K585"/>
  <c r="C587" l="1"/>
  <c r="K586"/>
  <c r="K587" l="1"/>
  <c r="C588"/>
  <c r="C589" l="1"/>
  <c r="K588"/>
  <c r="C590" l="1"/>
  <c r="K589"/>
  <c r="C591" l="1"/>
  <c r="K590"/>
  <c r="C592" l="1"/>
  <c r="K591"/>
  <c r="C593" l="1"/>
  <c r="K592"/>
  <c r="C594" l="1"/>
  <c r="K593"/>
  <c r="C595" l="1"/>
  <c r="K594"/>
  <c r="C596" l="1"/>
  <c r="K595"/>
  <c r="C597" l="1"/>
  <c r="K596"/>
  <c r="C598" l="1"/>
  <c r="K597"/>
  <c r="C599" l="1"/>
  <c r="K598"/>
  <c r="C600" l="1"/>
  <c r="K599"/>
  <c r="K600" l="1"/>
  <c r="C601"/>
  <c r="C602" l="1"/>
  <c r="K601"/>
  <c r="C603" l="1"/>
  <c r="K603" s="1"/>
  <c r="K602"/>
  <c r="C604" l="1"/>
  <c r="L165" i="11"/>
  <c r="C605" i="12" l="1"/>
  <c r="K604"/>
  <c r="C606" l="1"/>
  <c r="K605"/>
  <c r="C607" l="1"/>
  <c r="K606"/>
  <c r="K607" l="1"/>
  <c r="C608"/>
  <c r="C609" l="1"/>
  <c r="K608"/>
  <c r="C610" l="1"/>
  <c r="K609"/>
  <c r="C611" l="1"/>
  <c r="K610"/>
  <c r="C612" l="1"/>
  <c r="K611"/>
  <c r="C613" l="1"/>
  <c r="K612"/>
  <c r="C614" l="1"/>
  <c r="K613"/>
  <c r="C615" l="1"/>
  <c r="K614"/>
  <c r="C616" l="1"/>
  <c r="K615"/>
  <c r="C617" l="1"/>
  <c r="K616"/>
  <c r="C618" l="1"/>
  <c r="K617"/>
  <c r="C619" l="1"/>
  <c r="K618"/>
  <c r="C620" l="1"/>
  <c r="K619"/>
  <c r="K620" l="1"/>
  <c r="C621"/>
  <c r="C622" l="1"/>
  <c r="K622" s="1"/>
  <c r="K621"/>
  <c r="C623" l="1"/>
  <c r="L168" i="11"/>
  <c r="C624" i="12" l="1"/>
  <c r="K623"/>
  <c r="C625" l="1"/>
  <c r="K624"/>
  <c r="C626" l="1"/>
  <c r="K625"/>
  <c r="C627" l="1"/>
  <c r="K626"/>
  <c r="K627" l="1"/>
  <c r="C628"/>
  <c r="C629" l="1"/>
  <c r="K628"/>
  <c r="C630" l="1"/>
  <c r="K629"/>
  <c r="C631" l="1"/>
  <c r="K630"/>
  <c r="C632" l="1"/>
  <c r="K631"/>
  <c r="C633" l="1"/>
  <c r="K632"/>
  <c r="C634" l="1"/>
  <c r="K633"/>
  <c r="C635" l="1"/>
  <c r="K634"/>
  <c r="C636" l="1"/>
  <c r="K635"/>
  <c r="C637" l="1"/>
  <c r="K636"/>
  <c r="C638" l="1"/>
  <c r="K637"/>
  <c r="C639" l="1"/>
  <c r="K638"/>
  <c r="C640" l="1"/>
  <c r="K639"/>
  <c r="K640" l="1"/>
  <c r="C641"/>
  <c r="C642" l="1"/>
  <c r="K642" s="1"/>
  <c r="K641"/>
  <c r="L171" i="11" s="1"/>
  <c r="C643" i="12" l="1"/>
  <c r="C644" l="1"/>
  <c r="K643"/>
  <c r="L174" i="11"/>
  <c r="C645" i="12" l="1"/>
  <c r="K644"/>
  <c r="C646" l="1"/>
  <c r="K645"/>
  <c r="C647" l="1"/>
  <c r="K646"/>
  <c r="K647" l="1"/>
  <c r="C648"/>
  <c r="C649" l="1"/>
  <c r="K648"/>
  <c r="C650" l="1"/>
  <c r="K650" s="1"/>
  <c r="K649"/>
  <c r="C651" l="1"/>
  <c r="L177" i="11" l="1"/>
  <c r="C652" i="12"/>
  <c r="K651"/>
  <c r="C653" l="1"/>
  <c r="K653" s="1"/>
  <c r="K652"/>
  <c r="C654" l="1"/>
  <c r="L180" i="11" l="1"/>
  <c r="C655" i="12"/>
  <c r="K654"/>
  <c r="C656" l="1"/>
  <c r="K655"/>
  <c r="C657" l="1"/>
  <c r="K657" s="1"/>
  <c r="K656"/>
  <c r="C658" l="1"/>
  <c r="L183" i="11" l="1"/>
  <c r="C659" i="12"/>
  <c r="K658"/>
  <c r="C660" l="1"/>
  <c r="K659"/>
  <c r="K660" l="1"/>
  <c r="C661"/>
  <c r="C662" l="1"/>
  <c r="K661"/>
  <c r="C663" l="1"/>
  <c r="K663" s="1"/>
  <c r="K662"/>
  <c r="C664" l="1"/>
  <c r="L186" i="11" l="1"/>
  <c r="C665" i="12"/>
  <c r="K664"/>
  <c r="C666" l="1"/>
  <c r="K666" s="1"/>
  <c r="K665"/>
  <c r="C667" l="1"/>
  <c r="L189" i="11" l="1"/>
  <c r="C668" i="12"/>
  <c r="K667"/>
  <c r="C669" l="1"/>
  <c r="K668"/>
  <c r="C670" l="1"/>
  <c r="K669"/>
  <c r="C671" l="1"/>
  <c r="K670"/>
  <c r="C672" l="1"/>
  <c r="K672" s="1"/>
  <c r="K671"/>
  <c r="C673" l="1"/>
  <c r="L192" i="11" l="1"/>
  <c r="K673" i="12"/>
  <c r="C674"/>
  <c r="C675" l="1"/>
  <c r="K674"/>
  <c r="C676" l="1"/>
  <c r="K675"/>
  <c r="C677" l="1"/>
  <c r="K676"/>
  <c r="C678" l="1"/>
  <c r="K677"/>
  <c r="C679" l="1"/>
  <c r="K678"/>
  <c r="K679" l="1"/>
  <c r="C680"/>
  <c r="K680" l="1"/>
  <c r="C681"/>
  <c r="C682" l="1"/>
  <c r="K681"/>
  <c r="C683" l="1"/>
  <c r="K682"/>
  <c r="C684" l="1"/>
  <c r="K684" s="1"/>
  <c r="K683"/>
  <c r="C685" l="1"/>
  <c r="L195" i="11" l="1"/>
  <c r="C686" i="12"/>
  <c r="K685"/>
  <c r="C687" l="1"/>
  <c r="K686"/>
  <c r="C688" l="1"/>
  <c r="K687"/>
  <c r="C689" l="1"/>
  <c r="K688"/>
  <c r="C690" l="1"/>
  <c r="K689"/>
  <c r="C691" l="1"/>
  <c r="K690"/>
  <c r="C692" l="1"/>
  <c r="K691"/>
  <c r="C693" l="1"/>
  <c r="K692"/>
  <c r="K693" l="1"/>
  <c r="L198" i="11" s="1"/>
  <c r="C694" i="12"/>
  <c r="K694" s="1"/>
  <c r="C695" l="1"/>
  <c r="C696" l="1"/>
  <c r="K695"/>
  <c r="L201" i="11"/>
  <c r="C697" i="12" l="1"/>
  <c r="K696"/>
  <c r="C698" l="1"/>
  <c r="K697"/>
  <c r="C699" l="1"/>
  <c r="K698"/>
  <c r="K699" l="1"/>
  <c r="C700"/>
  <c r="K700" s="1"/>
  <c r="C701" l="1"/>
  <c r="L204" i="11" l="1"/>
  <c r="C702" i="12"/>
  <c r="K701"/>
  <c r="C703" l="1"/>
  <c r="K702"/>
  <c r="C704" l="1"/>
  <c r="K704" s="1"/>
  <c r="K703"/>
  <c r="C705" l="1"/>
  <c r="L207" i="11" l="1"/>
  <c r="C706" i="12"/>
  <c r="K705"/>
  <c r="C707" l="1"/>
  <c r="K707" s="1"/>
  <c r="K706"/>
  <c r="C708" l="1"/>
  <c r="L210" i="11" l="1"/>
  <c r="C709" i="12"/>
  <c r="K708"/>
  <c r="C710" l="1"/>
  <c r="K709"/>
  <c r="C711" l="1"/>
  <c r="K710"/>
  <c r="C712" l="1"/>
  <c r="K711"/>
  <c r="C713" l="1"/>
  <c r="K713" s="1"/>
  <c r="K712"/>
  <c r="C714" l="1"/>
  <c r="L213" i="11" l="1"/>
  <c r="C715" i="12"/>
  <c r="K714"/>
  <c r="C716" l="1"/>
  <c r="K715"/>
  <c r="C717" l="1"/>
  <c r="K717" s="1"/>
  <c r="K716"/>
  <c r="C718" l="1"/>
  <c r="L216" i="11" l="1"/>
  <c r="C719" i="12"/>
  <c r="K718"/>
  <c r="K719" l="1"/>
  <c r="C720"/>
  <c r="K720" s="1"/>
  <c r="L219" i="11" l="1"/>
  <c r="C721" i="12"/>
  <c r="C722" l="1"/>
  <c r="K721"/>
  <c r="C723" l="1"/>
  <c r="K722"/>
  <c r="C724" l="1"/>
  <c r="K723"/>
  <c r="C725" l="1"/>
  <c r="K724"/>
  <c r="C726" l="1"/>
  <c r="K725"/>
  <c r="C727" l="1"/>
  <c r="K726"/>
  <c r="C728" l="1"/>
  <c r="K727"/>
  <c r="C729" l="1"/>
  <c r="K728"/>
  <c r="C730" l="1"/>
  <c r="K729"/>
  <c r="C731" l="1"/>
  <c r="K730"/>
  <c r="C732" l="1"/>
  <c r="K731"/>
  <c r="C733" l="1"/>
  <c r="K732"/>
  <c r="K733" l="1"/>
  <c r="C734"/>
  <c r="C735" l="1"/>
  <c r="K734"/>
  <c r="C736" l="1"/>
  <c r="K735"/>
  <c r="C737" l="1"/>
  <c r="K736"/>
  <c r="C738" l="1"/>
  <c r="K737"/>
  <c r="C739" l="1"/>
  <c r="K738"/>
  <c r="K739" l="1"/>
  <c r="C740"/>
  <c r="K740" l="1"/>
  <c r="C741"/>
  <c r="C742" l="1"/>
  <c r="K741"/>
  <c r="C743" l="1"/>
  <c r="K743" s="1"/>
  <c r="K742"/>
  <c r="C744" l="1"/>
  <c r="L222" i="11" l="1"/>
  <c r="C745" i="12"/>
  <c r="K744"/>
  <c r="C746" l="1"/>
  <c r="K745"/>
  <c r="C747" l="1"/>
  <c r="K746"/>
  <c r="C748" l="1"/>
  <c r="K747"/>
  <c r="C749" l="1"/>
  <c r="K748"/>
  <c r="C750" l="1"/>
  <c r="K749"/>
  <c r="C751" l="1"/>
  <c r="K750"/>
  <c r="C752" l="1"/>
  <c r="K752" s="1"/>
  <c r="K751"/>
  <c r="C753" l="1"/>
  <c r="L225" i="11"/>
  <c r="C754" i="12" l="1"/>
  <c r="K753"/>
  <c r="C755" l="1"/>
  <c r="K754"/>
  <c r="C756" l="1"/>
  <c r="K755"/>
  <c r="C757" l="1"/>
  <c r="K756"/>
  <c r="C758" l="1"/>
  <c r="K757"/>
  <c r="C759" l="1"/>
  <c r="K758"/>
  <c r="K759" l="1"/>
  <c r="C760"/>
  <c r="K760" l="1"/>
  <c r="C761"/>
  <c r="C762" l="1"/>
  <c r="K761"/>
  <c r="C763" l="1"/>
  <c r="K762"/>
  <c r="C764" l="1"/>
  <c r="K763"/>
  <c r="C765" l="1"/>
  <c r="K764"/>
  <c r="C766" l="1"/>
  <c r="K765"/>
  <c r="C767" l="1"/>
  <c r="K766"/>
  <c r="C768" l="1"/>
  <c r="K767"/>
  <c r="C769" l="1"/>
  <c r="K768"/>
  <c r="C770" l="1"/>
  <c r="K769"/>
  <c r="C771" l="1"/>
  <c r="K771" s="1"/>
  <c r="K770"/>
  <c r="C772" l="1"/>
  <c r="L228" i="11" l="1"/>
  <c r="C773" i="12"/>
  <c r="K772"/>
  <c r="C774" l="1"/>
  <c r="K773"/>
  <c r="C775" l="1"/>
  <c r="K774"/>
  <c r="C776" l="1"/>
  <c r="K775"/>
  <c r="C777" l="1"/>
  <c r="K776"/>
  <c r="C778" l="1"/>
  <c r="K777"/>
  <c r="C779" l="1"/>
  <c r="K778"/>
  <c r="K779" l="1"/>
  <c r="C780"/>
  <c r="K780" s="1"/>
  <c r="C781" l="1"/>
  <c r="L231" i="11"/>
  <c r="C782" i="12" l="1"/>
  <c r="K781"/>
  <c r="C783" l="1"/>
  <c r="K782"/>
  <c r="C784" l="1"/>
  <c r="K783"/>
  <c r="C785" l="1"/>
  <c r="K784"/>
  <c r="C786" l="1"/>
  <c r="K785"/>
  <c r="C787" l="1"/>
  <c r="K786"/>
  <c r="C788" l="1"/>
  <c r="K787"/>
  <c r="C789" l="1"/>
  <c r="K788"/>
  <c r="C790" l="1"/>
  <c r="K789"/>
  <c r="C791" l="1"/>
  <c r="K790"/>
  <c r="C792" l="1"/>
  <c r="K791"/>
  <c r="C793" l="1"/>
  <c r="K792"/>
  <c r="C794" l="1"/>
  <c r="K793"/>
  <c r="C795" l="1"/>
  <c r="K794"/>
  <c r="C796" l="1"/>
  <c r="K795"/>
  <c r="C797" l="1"/>
  <c r="K796"/>
  <c r="C798" l="1"/>
  <c r="K797"/>
  <c r="C799" l="1"/>
  <c r="K798"/>
  <c r="K799" l="1"/>
  <c r="L234" i="11" s="1"/>
  <c r="C800" i="12"/>
  <c r="K800" s="1"/>
  <c r="C801" l="1"/>
  <c r="L237" i="11"/>
  <c r="C802" i="12" l="1"/>
  <c r="K801"/>
  <c r="C803" l="1"/>
  <c r="K802"/>
  <c r="C804" l="1"/>
  <c r="K803"/>
  <c r="C805" l="1"/>
  <c r="K804"/>
  <c r="C806" l="1"/>
  <c r="K805"/>
  <c r="C807" l="1"/>
  <c r="K806"/>
  <c r="C808" l="1"/>
  <c r="K807"/>
  <c r="C809" l="1"/>
  <c r="K808"/>
  <c r="C810" l="1"/>
  <c r="K809"/>
  <c r="C811" l="1"/>
  <c r="K810"/>
  <c r="C812" l="1"/>
  <c r="K811"/>
  <c r="C813" l="1"/>
  <c r="K812"/>
  <c r="C814" l="1"/>
  <c r="K813"/>
  <c r="C815" l="1"/>
  <c r="K814"/>
  <c r="C816" l="1"/>
  <c r="K815"/>
  <c r="C817" l="1"/>
  <c r="K816"/>
  <c r="C818" l="1"/>
  <c r="K817"/>
  <c r="C819" l="1"/>
  <c r="K818"/>
  <c r="K819" l="1"/>
  <c r="C820"/>
  <c r="C821" l="1"/>
  <c r="K820"/>
  <c r="C822" l="1"/>
  <c r="K821"/>
  <c r="C823" l="1"/>
  <c r="K822"/>
  <c r="C824" l="1"/>
  <c r="K823"/>
  <c r="C825" l="1"/>
  <c r="K824"/>
  <c r="C826" l="1"/>
  <c r="K825"/>
  <c r="C827" l="1"/>
  <c r="K826"/>
  <c r="C828" l="1"/>
  <c r="K828" s="1"/>
  <c r="K827"/>
  <c r="C829" l="1"/>
  <c r="L240" i="11" l="1"/>
  <c r="C830" i="12"/>
  <c r="K829"/>
  <c r="C831" l="1"/>
  <c r="K831" s="1"/>
  <c r="K830"/>
  <c r="C832" l="1"/>
  <c r="L243" i="11"/>
  <c r="C833" i="12" l="1"/>
  <c r="K832"/>
  <c r="C834" l="1"/>
  <c r="K833"/>
  <c r="C835" l="1"/>
  <c r="K834"/>
  <c r="C836" l="1"/>
  <c r="K835"/>
  <c r="C837" l="1"/>
  <c r="K836"/>
  <c r="C838" l="1"/>
  <c r="K837"/>
  <c r="C839" l="1"/>
  <c r="K838"/>
  <c r="K839" l="1"/>
  <c r="C840"/>
  <c r="C841" l="1"/>
  <c r="K840"/>
  <c r="C842" l="1"/>
  <c r="K841"/>
  <c r="C843" l="1"/>
  <c r="K842"/>
  <c r="C844" l="1"/>
  <c r="K843"/>
  <c r="C845" l="1"/>
  <c r="K844"/>
  <c r="C846" l="1"/>
  <c r="K845"/>
  <c r="C847" l="1"/>
  <c r="K846"/>
  <c r="C848" l="1"/>
  <c r="K847"/>
  <c r="C849" l="1"/>
  <c r="K848"/>
  <c r="C850" l="1"/>
  <c r="K849"/>
  <c r="C851" l="1"/>
  <c r="K850"/>
  <c r="C852" l="1"/>
  <c r="K851"/>
  <c r="C853" l="1"/>
  <c r="K852"/>
  <c r="C854" l="1"/>
  <c r="K853"/>
  <c r="C855" l="1"/>
  <c r="K855" s="1"/>
  <c r="K854"/>
  <c r="C856" l="1"/>
  <c r="L246" i="11" l="1"/>
  <c r="C857" i="12"/>
  <c r="K856"/>
  <c r="C858" l="1"/>
  <c r="K858" s="1"/>
  <c r="K857"/>
  <c r="C859" l="1"/>
  <c r="L249" i="11"/>
  <c r="C860" i="12" l="1"/>
  <c r="K859"/>
  <c r="C861" l="1"/>
  <c r="K860"/>
  <c r="C862" l="1"/>
  <c r="K861"/>
  <c r="C863" l="1"/>
  <c r="K862"/>
  <c r="C864" l="1"/>
  <c r="K863"/>
  <c r="C865" l="1"/>
  <c r="K864"/>
  <c r="C866" l="1"/>
  <c r="K865"/>
  <c r="C867" l="1"/>
  <c r="K866"/>
  <c r="C868" l="1"/>
  <c r="K867"/>
  <c r="C869" l="1"/>
  <c r="K868"/>
  <c r="C870" l="1"/>
  <c r="K869"/>
  <c r="C871" l="1"/>
  <c r="K870"/>
  <c r="C872" l="1"/>
  <c r="K871"/>
  <c r="C873" l="1"/>
  <c r="K872"/>
  <c r="C874" l="1"/>
  <c r="K873"/>
  <c r="C875" l="1"/>
  <c r="K874"/>
  <c r="C876" l="1"/>
  <c r="K875"/>
  <c r="C877" l="1"/>
  <c r="K876"/>
  <c r="C878" l="1"/>
  <c r="K877"/>
  <c r="C879" l="1"/>
  <c r="K878"/>
  <c r="C880" l="1"/>
  <c r="K879"/>
  <c r="C881" l="1"/>
  <c r="K880"/>
  <c r="C882" l="1"/>
  <c r="K882" s="1"/>
  <c r="K881"/>
  <c r="C883" l="1"/>
  <c r="L252" i="11"/>
  <c r="C884" i="12" l="1"/>
  <c r="K883"/>
  <c r="C885" l="1"/>
  <c r="K884"/>
  <c r="C886" l="1"/>
  <c r="K885"/>
  <c r="C887" l="1"/>
  <c r="K886"/>
  <c r="C888" l="1"/>
  <c r="K887"/>
  <c r="C889" l="1"/>
  <c r="K888"/>
  <c r="C890" l="1"/>
  <c r="K889"/>
  <c r="C891" l="1"/>
  <c r="K890"/>
  <c r="C892" l="1"/>
  <c r="K891"/>
  <c r="C893" l="1"/>
  <c r="K892"/>
  <c r="C894" l="1"/>
  <c r="K893"/>
  <c r="C895" l="1"/>
  <c r="K894"/>
  <c r="C896" l="1"/>
  <c r="K895"/>
  <c r="C897" l="1"/>
  <c r="K896"/>
  <c r="C898" l="1"/>
  <c r="K897"/>
  <c r="C899" l="1"/>
  <c r="K898"/>
  <c r="C900" l="1"/>
  <c r="K899"/>
  <c r="C901" l="1"/>
  <c r="K900"/>
  <c r="C902" l="1"/>
  <c r="K901"/>
  <c r="C903" l="1"/>
  <c r="K902"/>
  <c r="C904" l="1"/>
  <c r="K903"/>
  <c r="C905" l="1"/>
  <c r="K904"/>
  <c r="C906" l="1"/>
  <c r="K906" s="1"/>
  <c r="K905"/>
  <c r="C907" l="1"/>
  <c r="L255" i="11"/>
  <c r="C908" i="12" l="1"/>
  <c r="K907"/>
  <c r="C909" l="1"/>
  <c r="K908"/>
  <c r="C910" l="1"/>
  <c r="K909"/>
  <c r="C911" l="1"/>
  <c r="K910"/>
  <c r="C912" l="1"/>
  <c r="K911"/>
  <c r="C913" l="1"/>
  <c r="K912"/>
  <c r="C914" l="1"/>
  <c r="K913"/>
  <c r="C915" l="1"/>
  <c r="K914"/>
  <c r="C916" l="1"/>
  <c r="K915"/>
  <c r="C917" l="1"/>
  <c r="K916"/>
  <c r="C918" l="1"/>
  <c r="K917"/>
  <c r="C919" l="1"/>
  <c r="K918"/>
  <c r="C920" l="1"/>
  <c r="K919"/>
  <c r="C921" l="1"/>
  <c r="K920"/>
  <c r="C922" l="1"/>
  <c r="K921"/>
  <c r="C923" l="1"/>
  <c r="K922"/>
  <c r="C924" l="1"/>
  <c r="K923"/>
  <c r="C925" l="1"/>
  <c r="K925" s="1"/>
  <c r="K924"/>
  <c r="C926" l="1"/>
  <c r="L258" i="11"/>
  <c r="C927" i="12" l="1"/>
  <c r="K926"/>
  <c r="C928" l="1"/>
  <c r="K927"/>
  <c r="C929" l="1"/>
  <c r="K928"/>
  <c r="C930" l="1"/>
  <c r="K929"/>
  <c r="C931" l="1"/>
  <c r="K930"/>
  <c r="C932" l="1"/>
  <c r="K931"/>
  <c r="C933" l="1"/>
  <c r="K932"/>
  <c r="C934" l="1"/>
  <c r="K933"/>
  <c r="C935" l="1"/>
  <c r="K934"/>
  <c r="C936" l="1"/>
  <c r="K935"/>
  <c r="C937" l="1"/>
  <c r="K936"/>
  <c r="C938" l="1"/>
  <c r="K937"/>
  <c r="C939" l="1"/>
  <c r="K938"/>
  <c r="C940" l="1"/>
  <c r="K939"/>
  <c r="C941" l="1"/>
  <c r="K940"/>
  <c r="C942" l="1"/>
  <c r="K941"/>
  <c r="C943" l="1"/>
  <c r="K942"/>
  <c r="C944" l="1"/>
  <c r="K943"/>
  <c r="C945" l="1"/>
  <c r="K945" s="1"/>
  <c r="K944"/>
  <c r="L261" i="11" s="1"/>
  <c r="C946" i="12" l="1"/>
  <c r="L264" i="11"/>
  <c r="C947" i="12" l="1"/>
  <c r="K946"/>
  <c r="C948" l="1"/>
  <c r="K947"/>
  <c r="C949" l="1"/>
  <c r="K948"/>
  <c r="C950" l="1"/>
  <c r="K949"/>
  <c r="C951" l="1"/>
  <c r="K950"/>
  <c r="C952" l="1"/>
  <c r="K951"/>
  <c r="C953" l="1"/>
  <c r="K952"/>
  <c r="C954" l="1"/>
  <c r="K953"/>
  <c r="C955" l="1"/>
  <c r="K954"/>
  <c r="C956" l="1"/>
  <c r="K955"/>
  <c r="C957" l="1"/>
  <c r="K956"/>
  <c r="C958" l="1"/>
  <c r="K957"/>
  <c r="C959" l="1"/>
  <c r="K958"/>
  <c r="C960" l="1"/>
  <c r="K959"/>
  <c r="C961" l="1"/>
  <c r="K960"/>
  <c r="C962" l="1"/>
  <c r="K961"/>
  <c r="C963" l="1"/>
  <c r="K962"/>
  <c r="C964" l="1"/>
  <c r="K963"/>
  <c r="C965" l="1"/>
  <c r="K964"/>
  <c r="C966" l="1"/>
  <c r="K965"/>
  <c r="C967" l="1"/>
  <c r="K966"/>
  <c r="C968" l="1"/>
  <c r="K967"/>
  <c r="C969" l="1"/>
  <c r="K968"/>
  <c r="C970" l="1"/>
  <c r="K969"/>
  <c r="C971" l="1"/>
  <c r="K971" s="1"/>
  <c r="K970"/>
  <c r="C972" l="1"/>
  <c r="L267" i="11" l="1"/>
  <c r="C973" i="12"/>
  <c r="K972"/>
  <c r="C974" l="1"/>
  <c r="K974" s="1"/>
  <c r="K973"/>
  <c r="C975" l="1"/>
  <c r="L270" i="11"/>
  <c r="C976" i="12" l="1"/>
  <c r="K975"/>
  <c r="C977" l="1"/>
  <c r="K976"/>
  <c r="C978" l="1"/>
  <c r="K977"/>
  <c r="C979" l="1"/>
  <c r="K978"/>
  <c r="C980" l="1"/>
  <c r="K979"/>
  <c r="C981" l="1"/>
  <c r="K980"/>
  <c r="C982" l="1"/>
  <c r="K981"/>
  <c r="C983" l="1"/>
  <c r="K982"/>
  <c r="C984" l="1"/>
  <c r="K983"/>
  <c r="C985" l="1"/>
  <c r="K984"/>
  <c r="C986" l="1"/>
  <c r="K985"/>
  <c r="C987" l="1"/>
  <c r="K986"/>
  <c r="C988" l="1"/>
  <c r="K987"/>
  <c r="C989" l="1"/>
  <c r="K988"/>
  <c r="C990" l="1"/>
  <c r="K989"/>
  <c r="C991" l="1"/>
  <c r="K990"/>
  <c r="C992" l="1"/>
  <c r="K991"/>
  <c r="C993" l="1"/>
  <c r="K993" s="1"/>
  <c r="K992"/>
  <c r="C994" l="1"/>
  <c r="L273" i="11" l="1"/>
  <c r="C995" i="12"/>
  <c r="K994"/>
  <c r="C996" l="1"/>
  <c r="K996" s="1"/>
  <c r="K995"/>
  <c r="C997" l="1"/>
  <c r="L276" i="11"/>
  <c r="C998" i="12" l="1"/>
  <c r="K997"/>
  <c r="C999" l="1"/>
  <c r="K998"/>
  <c r="C1000" l="1"/>
  <c r="K999"/>
  <c r="C1001" l="1"/>
  <c r="K1000"/>
  <c r="C1002" l="1"/>
  <c r="K1001"/>
  <c r="C1003" l="1"/>
  <c r="K1002"/>
  <c r="C1004" l="1"/>
  <c r="K1003"/>
  <c r="C1005" l="1"/>
  <c r="K1004"/>
  <c r="C1006" l="1"/>
  <c r="K1005"/>
  <c r="C1007" l="1"/>
  <c r="K1006"/>
  <c r="C1008" l="1"/>
  <c r="K1007"/>
  <c r="C1009" l="1"/>
  <c r="K1008"/>
  <c r="C1010" l="1"/>
  <c r="K1009"/>
  <c r="C1011" l="1"/>
  <c r="K1010"/>
  <c r="C1012" l="1"/>
  <c r="K1011"/>
  <c r="C1013" l="1"/>
  <c r="K1012"/>
  <c r="C1014" l="1"/>
  <c r="K1013"/>
  <c r="C1015" l="1"/>
  <c r="K1015" s="1"/>
  <c r="K1014"/>
  <c r="C1016" l="1"/>
  <c r="L279" i="11" l="1"/>
  <c r="C1017" i="12"/>
  <c r="K1016"/>
  <c r="C1018" l="1"/>
  <c r="K1017"/>
  <c r="C1019" l="1"/>
  <c r="K1018"/>
  <c r="C1020" l="1"/>
  <c r="K1019"/>
  <c r="C1021" l="1"/>
  <c r="K1021" s="1"/>
  <c r="K1020"/>
  <c r="C1022" l="1"/>
  <c r="L282" i="11" l="1"/>
  <c r="C1023" i="12"/>
  <c r="K1022"/>
  <c r="C1024" l="1"/>
  <c r="K1023"/>
  <c r="C1025" l="1"/>
  <c r="K1024"/>
  <c r="C1026" l="1"/>
  <c r="K1025"/>
  <c r="C1027" l="1"/>
  <c r="K1026"/>
  <c r="K1027" l="1"/>
  <c r="C1028"/>
  <c r="L285" i="11"/>
  <c r="K1028" i="12" l="1"/>
  <c r="C1029"/>
  <c r="L288" i="11"/>
  <c r="C1030" i="12" l="1"/>
  <c r="K1029"/>
  <c r="C1031" l="1"/>
  <c r="K1030"/>
  <c r="C1032" l="1"/>
  <c r="K1031"/>
  <c r="C1033" l="1"/>
  <c r="K1032"/>
  <c r="C1034" l="1"/>
  <c r="K1033"/>
  <c r="C1035" l="1"/>
  <c r="K1034"/>
  <c r="C1036" l="1"/>
  <c r="K1035"/>
  <c r="C1037" l="1"/>
  <c r="K1036"/>
  <c r="C1038" l="1"/>
  <c r="K1037"/>
  <c r="C1039" l="1"/>
  <c r="K1038"/>
  <c r="K1039" l="1"/>
  <c r="C1040"/>
  <c r="C1041" l="1"/>
  <c r="K1040"/>
  <c r="C1042" l="1"/>
  <c r="K1041"/>
  <c r="C1043" l="1"/>
  <c r="K1042"/>
  <c r="C1044" l="1"/>
  <c r="K1043"/>
  <c r="C1045" l="1"/>
  <c r="K1044"/>
  <c r="C1046" l="1"/>
  <c r="K1045"/>
  <c r="C1047" l="1"/>
  <c r="K1046"/>
  <c r="C1048" l="1"/>
  <c r="K1047"/>
  <c r="C1049" l="1"/>
  <c r="K1048"/>
  <c r="C1050" l="1"/>
  <c r="K1049"/>
  <c r="C1051" l="1"/>
  <c r="K1050"/>
  <c r="C1052" l="1"/>
  <c r="K1051"/>
  <c r="C1053" l="1"/>
  <c r="K1053" s="1"/>
  <c r="K1052"/>
  <c r="C1054" l="1"/>
  <c r="L291" i="11" l="1"/>
  <c r="C1055" i="12"/>
  <c r="K1054"/>
  <c r="C1056" l="1"/>
  <c r="K1056" s="1"/>
  <c r="K1055"/>
  <c r="C1057" l="1"/>
  <c r="L294" i="11" l="1"/>
  <c r="C1058" i="12"/>
  <c r="K1057"/>
  <c r="C1059" l="1"/>
  <c r="K1058"/>
  <c r="K1059" l="1"/>
  <c r="C1060"/>
  <c r="C1061" l="1"/>
  <c r="K1060"/>
  <c r="C1062" l="1"/>
  <c r="K1061"/>
  <c r="C1063" l="1"/>
  <c r="K1062"/>
  <c r="C1064" l="1"/>
  <c r="K1063"/>
  <c r="C1065" l="1"/>
  <c r="K1064"/>
  <c r="C1066" l="1"/>
  <c r="K1065"/>
  <c r="C1067" l="1"/>
  <c r="K1066"/>
  <c r="C1068" l="1"/>
  <c r="K1067"/>
  <c r="C1069" l="1"/>
  <c r="K1068"/>
  <c r="C1070" l="1"/>
  <c r="K1069"/>
  <c r="C1071" l="1"/>
  <c r="K1070"/>
  <c r="C1072" l="1"/>
  <c r="K1071"/>
  <c r="C1073" l="1"/>
  <c r="K1072"/>
  <c r="C1074" l="1"/>
  <c r="K1074" s="1"/>
  <c r="K1073"/>
  <c r="C1075" l="1"/>
  <c r="L297" i="11" l="1"/>
  <c r="C1076" i="12"/>
  <c r="K1075"/>
  <c r="C1077" l="1"/>
  <c r="K1077" s="1"/>
  <c r="K1076"/>
  <c r="C1078" l="1"/>
  <c r="L300" i="11" l="1"/>
  <c r="C1079" i="12"/>
  <c r="K1078"/>
  <c r="K1079" l="1"/>
  <c r="C1080"/>
  <c r="C1081" l="1"/>
  <c r="K1080"/>
  <c r="C1082" l="1"/>
  <c r="K1081"/>
  <c r="C1083" l="1"/>
  <c r="K1082"/>
  <c r="C1084" l="1"/>
  <c r="K1083"/>
  <c r="C1085" l="1"/>
  <c r="K1084"/>
  <c r="C1086" l="1"/>
  <c r="K1085"/>
  <c r="C1087" l="1"/>
  <c r="K1086"/>
  <c r="C1088" l="1"/>
  <c r="K1087"/>
  <c r="C1089" l="1"/>
  <c r="K1088"/>
  <c r="K1089" l="1"/>
  <c r="C1090"/>
  <c r="C1091" l="1"/>
  <c r="K1090"/>
  <c r="C1092" l="1"/>
  <c r="K1091"/>
  <c r="C1093" l="1"/>
  <c r="K1092"/>
  <c r="C1094" l="1"/>
  <c r="K1093"/>
  <c r="C1095" l="1"/>
  <c r="K1094"/>
  <c r="K1095" l="1"/>
  <c r="C1096"/>
  <c r="L303" i="11"/>
  <c r="C1097" i="12" l="1"/>
  <c r="K1096"/>
  <c r="C1098" l="1"/>
  <c r="K1097"/>
  <c r="C1099" l="1"/>
  <c r="K1098"/>
  <c r="K1099" l="1"/>
  <c r="C1100"/>
  <c r="C1101" l="1"/>
  <c r="K1100"/>
  <c r="C1102" l="1"/>
  <c r="K1101"/>
  <c r="C1103" l="1"/>
  <c r="K1102"/>
  <c r="C1104" l="1"/>
  <c r="K1103"/>
  <c r="C1105" l="1"/>
  <c r="K1104"/>
  <c r="C1106" l="1"/>
  <c r="K1105"/>
  <c r="C1107" l="1"/>
  <c r="K1106"/>
  <c r="C1108" l="1"/>
  <c r="K1107"/>
  <c r="C1109" l="1"/>
  <c r="K1108"/>
  <c r="K1109" l="1"/>
  <c r="C1110"/>
  <c r="C1111" l="1"/>
  <c r="K1110"/>
  <c r="C1112" l="1"/>
  <c r="K1111"/>
  <c r="C1113" l="1"/>
  <c r="K1112"/>
  <c r="C1114" l="1"/>
  <c r="K1113"/>
  <c r="C1115" l="1"/>
  <c r="K1114"/>
  <c r="C1116" l="1"/>
  <c r="K1115"/>
  <c r="C1117" l="1"/>
  <c r="K1116"/>
  <c r="C1118" l="1"/>
  <c r="K1117"/>
  <c r="C1119" l="1"/>
  <c r="K1118"/>
  <c r="K1119" l="1"/>
  <c r="L306" i="11" l="1"/>
  <c r="C1120" i="12"/>
  <c r="K1120" s="1"/>
  <c r="C1121"/>
  <c r="C1122" l="1"/>
  <c r="K1121"/>
  <c r="C1123" l="1"/>
  <c r="K1122"/>
  <c r="K1123" l="1"/>
  <c r="L309" i="11" l="1"/>
  <c r="C1124" i="12"/>
  <c r="K1124" s="1"/>
  <c r="C1125"/>
  <c r="C1126" l="1"/>
  <c r="K1125"/>
  <c r="K1126" l="1"/>
  <c r="C1127"/>
  <c r="C1128" l="1"/>
  <c r="K1127"/>
  <c r="K1128" l="1"/>
  <c r="L312" i="11" s="1"/>
  <c r="C1129" i="12"/>
  <c r="C1130"/>
  <c r="K1129" l="1"/>
  <c r="L315" i="11" s="1"/>
  <c r="C1131" i="12"/>
  <c r="K1130"/>
  <c r="C1132" l="1"/>
  <c r="K1131"/>
  <c r="C1133" l="1"/>
  <c r="K1132"/>
  <c r="C1134" l="1"/>
  <c r="K1133"/>
  <c r="C1135" l="1"/>
  <c r="K1134"/>
  <c r="C1136" l="1"/>
  <c r="K1135"/>
  <c r="C1137" l="1"/>
  <c r="K1136"/>
  <c r="K1137" l="1"/>
  <c r="C1138"/>
  <c r="C1139" l="1"/>
  <c r="K1138"/>
  <c r="C1140" l="1"/>
  <c r="K1139"/>
  <c r="C1141" l="1"/>
  <c r="K1140"/>
  <c r="K1141" l="1"/>
  <c r="L318" i="11" l="1"/>
  <c r="C1142" i="12"/>
  <c r="K1142" s="1"/>
  <c r="C1143"/>
  <c r="K1143" l="1"/>
  <c r="C1144"/>
  <c r="C1145" s="1"/>
  <c r="K1145" s="1"/>
  <c r="L321" i="11" l="1"/>
  <c r="C1146" i="12"/>
  <c r="K1144"/>
  <c r="C1147" l="1"/>
  <c r="K1146"/>
  <c r="C1148" l="1"/>
  <c r="K1147"/>
  <c r="C1149" l="1"/>
  <c r="K1148"/>
  <c r="C1150" l="1"/>
  <c r="K1149"/>
  <c r="C1151" l="1"/>
  <c r="K1150"/>
  <c r="C1152" l="1"/>
  <c r="K1151"/>
  <c r="C1153" l="1"/>
  <c r="K1152"/>
  <c r="C1154" l="1"/>
  <c r="K1153"/>
  <c r="K1154" l="1"/>
  <c r="C1155"/>
  <c r="C1156" l="1"/>
  <c r="K1155"/>
  <c r="C1157" l="1"/>
  <c r="K1156"/>
  <c r="C1158" l="1"/>
  <c r="K1157"/>
  <c r="C1159" l="1"/>
  <c r="K1158"/>
  <c r="C1160" l="1"/>
  <c r="K1159"/>
  <c r="C1161" l="1"/>
  <c r="K1160"/>
  <c r="C1162" l="1"/>
  <c r="K1161"/>
  <c r="C1163" l="1"/>
  <c r="K1162"/>
  <c r="C1164" l="1"/>
  <c r="K1163"/>
  <c r="K1164" l="1"/>
  <c r="C1165"/>
  <c r="K1165" s="1"/>
  <c r="L324" i="11" l="1"/>
  <c r="C1166" i="12"/>
  <c r="C1167" l="1"/>
  <c r="K1166"/>
  <c r="C1168" l="1"/>
  <c r="K1167"/>
  <c r="C1169" l="1"/>
  <c r="K1168"/>
  <c r="C1170" l="1"/>
  <c r="K1169"/>
  <c r="C1171" l="1"/>
  <c r="K1170"/>
  <c r="C1172" l="1"/>
  <c r="K1171"/>
  <c r="C1173" l="1"/>
  <c r="K1172"/>
  <c r="C1174" l="1"/>
  <c r="K1173"/>
  <c r="K1174" l="1"/>
  <c r="C1175"/>
  <c r="C1176" l="1"/>
  <c r="K1175"/>
  <c r="C1177" l="1"/>
  <c r="K1176"/>
  <c r="C1178" l="1"/>
  <c r="K1177"/>
  <c r="C1179" l="1"/>
  <c r="K1178"/>
  <c r="C1180" l="1"/>
  <c r="K1179"/>
  <c r="C1181" l="1"/>
  <c r="K1180"/>
  <c r="C1182" l="1"/>
  <c r="K1181"/>
  <c r="C1183" l="1"/>
  <c r="K1182"/>
  <c r="C1184" l="1"/>
  <c r="K1183"/>
  <c r="K1184" l="1"/>
  <c r="C1185"/>
  <c r="K1185" l="1"/>
  <c r="L327" i="11" s="1"/>
  <c r="C1186" i="12"/>
  <c r="C1187" l="1"/>
  <c r="K1186"/>
  <c r="C1188" l="1"/>
  <c r="K1187"/>
  <c r="C1189" l="1"/>
  <c r="K1188"/>
  <c r="C1190" l="1"/>
  <c r="K1189"/>
  <c r="C1191" l="1"/>
  <c r="K1190"/>
  <c r="C1192" l="1"/>
  <c r="K1191"/>
  <c r="C1193" l="1"/>
  <c r="K1192"/>
  <c r="C1194" l="1"/>
  <c r="K1193"/>
  <c r="K1194" l="1"/>
  <c r="C1195"/>
  <c r="C1196" l="1"/>
  <c r="K1195"/>
  <c r="L330" i="11" s="1"/>
  <c r="C1197" i="12" l="1"/>
  <c r="K1196"/>
  <c r="K1197" l="1"/>
  <c r="C1198"/>
  <c r="K1198" l="1"/>
  <c r="L333" i="11" s="1"/>
  <c r="C1199" i="12"/>
  <c r="K1199" l="1"/>
  <c r="C1200"/>
  <c r="K1200" l="1"/>
  <c r="C1201"/>
  <c r="K1201" l="1"/>
  <c r="C1202"/>
  <c r="K1202" l="1"/>
  <c r="L336" i="11" s="1"/>
  <c r="C1203" i="12"/>
  <c r="K1203" l="1"/>
  <c r="C1204"/>
  <c r="C1205" l="1"/>
  <c r="K1204"/>
  <c r="K1205" l="1"/>
  <c r="C1206"/>
  <c r="K1206" l="1"/>
  <c r="L339" i="11" s="1"/>
  <c r="C1207" i="12"/>
  <c r="K1207" l="1"/>
  <c r="L342" i="11" s="1"/>
  <c r="C1208" i="12"/>
  <c r="K1208" l="1"/>
  <c r="C1209"/>
  <c r="K1209" l="1"/>
  <c r="C1210"/>
  <c r="K1210" l="1"/>
  <c r="C1211"/>
  <c r="K1211" l="1"/>
  <c r="C1212"/>
  <c r="K1212" l="1"/>
  <c r="C1213"/>
  <c r="C1214" l="1"/>
  <c r="K1213"/>
  <c r="K1214" l="1"/>
  <c r="C1215"/>
  <c r="K1215" l="1"/>
  <c r="C1216"/>
  <c r="C1217" l="1"/>
  <c r="K1216"/>
  <c r="K1217" l="1"/>
  <c r="C1218"/>
  <c r="K1218" l="1"/>
  <c r="C1219"/>
  <c r="K1219" l="1"/>
  <c r="C1220"/>
  <c r="C1221" l="1"/>
  <c r="K1220"/>
  <c r="C1222" l="1"/>
  <c r="K1221"/>
  <c r="K1222" l="1"/>
  <c r="C1223"/>
  <c r="K1223" l="1"/>
  <c r="C1224"/>
  <c r="C1225" l="1"/>
  <c r="K1224"/>
  <c r="K1225" l="1"/>
  <c r="C1226"/>
  <c r="C1227" l="1"/>
  <c r="K1226"/>
  <c r="C1228" l="1"/>
  <c r="K1227"/>
  <c r="C1229" l="1"/>
  <c r="K1228"/>
  <c r="C1230" l="1"/>
  <c r="K1229"/>
  <c r="C1231" l="1"/>
  <c r="K1230"/>
  <c r="C1232" l="1"/>
  <c r="K1231"/>
  <c r="L345" i="11" s="1"/>
  <c r="K1232" i="12" l="1"/>
  <c r="C1233"/>
  <c r="K1233" l="1"/>
  <c r="C1234"/>
  <c r="C1235" l="1"/>
  <c r="K1234"/>
  <c r="L348" i="11" s="1"/>
  <c r="K1235" i="12" l="1"/>
  <c r="C1236"/>
  <c r="K1236" l="1"/>
  <c r="C1237"/>
  <c r="K1237" l="1"/>
  <c r="C1238"/>
  <c r="K1238" l="1"/>
  <c r="C1239"/>
  <c r="K1239" l="1"/>
  <c r="C1240"/>
  <c r="K1240" l="1"/>
  <c r="C1241"/>
  <c r="K1241" l="1"/>
  <c r="C1242"/>
  <c r="C1243" l="1"/>
  <c r="K1242"/>
  <c r="K1243" l="1"/>
  <c r="C1244"/>
  <c r="K1244" l="1"/>
  <c r="C1245"/>
  <c r="C1246" l="1"/>
  <c r="K1245"/>
  <c r="C1247" l="1"/>
  <c r="K1246"/>
  <c r="K1247" l="1"/>
  <c r="C1248"/>
  <c r="C1249" l="1"/>
  <c r="K1248"/>
  <c r="C1250" l="1"/>
  <c r="K1249"/>
  <c r="C1251" l="1"/>
  <c r="K1250"/>
  <c r="K1251" l="1"/>
  <c r="C1252"/>
  <c r="C1253" l="1"/>
  <c r="K1252"/>
  <c r="C1254" l="1"/>
  <c r="K1253"/>
  <c r="C1255" l="1"/>
  <c r="K1254"/>
  <c r="L351" i="11" s="1"/>
  <c r="C1256" i="12" l="1"/>
  <c r="K1255"/>
  <c r="K1256" l="1"/>
  <c r="C1257"/>
  <c r="C1258" l="1"/>
  <c r="K1257"/>
  <c r="L354" i="11" s="1"/>
  <c r="C1259" i="12" l="1"/>
  <c r="K1258"/>
  <c r="K1259" l="1"/>
  <c r="C1260"/>
  <c r="C1261" l="1"/>
  <c r="K1260"/>
  <c r="K1261" l="1"/>
  <c r="C1262"/>
  <c r="C1263" l="1"/>
  <c r="K1262"/>
  <c r="K1263" l="1"/>
  <c r="C1264"/>
  <c r="C1265" l="1"/>
  <c r="K1264"/>
  <c r="K1265" l="1"/>
  <c r="C1266"/>
  <c r="K1266" l="1"/>
  <c r="C1267"/>
  <c r="K1267" l="1"/>
  <c r="C1268"/>
  <c r="C1269" l="1"/>
  <c r="K1268"/>
  <c r="K1269" l="1"/>
  <c r="C1270"/>
  <c r="K1270" l="1"/>
  <c r="C1271"/>
  <c r="K1271" l="1"/>
  <c r="C1272"/>
  <c r="C1273" l="1"/>
  <c r="K1272"/>
  <c r="K1273" l="1"/>
  <c r="C1274"/>
  <c r="K1274" l="1"/>
  <c r="C1275"/>
  <c r="C1276" l="1"/>
  <c r="K1275"/>
  <c r="K1276" l="1"/>
  <c r="C1277"/>
  <c r="C1278" l="1"/>
  <c r="K1277"/>
  <c r="L357" i="11" s="1"/>
  <c r="C1279" i="12" l="1"/>
  <c r="K1278"/>
  <c r="K1279" l="1"/>
  <c r="C1280"/>
  <c r="C1281" l="1"/>
  <c r="K1280"/>
  <c r="C1282" l="1"/>
  <c r="K1281"/>
  <c r="K1282" l="1"/>
  <c r="C1283"/>
  <c r="K1283" l="1"/>
  <c r="C1284"/>
  <c r="C1285" l="1"/>
  <c r="K1284"/>
  <c r="K1285" l="1"/>
  <c r="C1286"/>
  <c r="K1286" l="1"/>
  <c r="C1287"/>
  <c r="C1288" l="1"/>
  <c r="K1287"/>
  <c r="K1288" l="1"/>
  <c r="C1289"/>
  <c r="C1290" l="1"/>
  <c r="K1289"/>
  <c r="C1291" l="1"/>
  <c r="K1290"/>
  <c r="C1292" l="1"/>
  <c r="K1291"/>
  <c r="C1293" l="1"/>
  <c r="K1292"/>
  <c r="C1294" l="1"/>
  <c r="K1293"/>
  <c r="K1294" l="1"/>
  <c r="C1295"/>
  <c r="K1295" l="1"/>
  <c r="C1296"/>
  <c r="C1297" l="1"/>
  <c r="K1296"/>
  <c r="K1297" l="1"/>
  <c r="C1298"/>
  <c r="K1298" l="1"/>
  <c r="C1299"/>
  <c r="K1299" l="1"/>
  <c r="C1300"/>
  <c r="C1301" l="1"/>
  <c r="K1300"/>
  <c r="K1301" l="1"/>
  <c r="C1302"/>
  <c r="C1303" l="1"/>
  <c r="K1302"/>
  <c r="K1303" l="1"/>
  <c r="C1304"/>
  <c r="K1304" l="1"/>
  <c r="L360" i="11" s="1"/>
  <c r="C1305" i="12"/>
  <c r="K1305" l="1"/>
  <c r="C1306"/>
  <c r="C1307" l="1"/>
  <c r="K1306"/>
  <c r="K1307" l="1"/>
  <c r="C1308"/>
  <c r="C1309" l="1"/>
  <c r="K1308"/>
  <c r="K1309" l="1"/>
  <c r="C1310"/>
  <c r="C1311" l="1"/>
  <c r="K1310"/>
  <c r="K1311" l="1"/>
  <c r="C1312"/>
  <c r="C1313" l="1"/>
  <c r="K1312"/>
  <c r="K1313" l="1"/>
  <c r="C1314"/>
  <c r="K1314" l="1"/>
  <c r="C1315"/>
  <c r="C1316" l="1"/>
  <c r="K1315"/>
  <c r="K1316" l="1"/>
  <c r="C1317"/>
  <c r="K1317" l="1"/>
  <c r="C1318"/>
  <c r="C1319" l="1"/>
  <c r="K1318"/>
  <c r="K1319" l="1"/>
  <c r="C1320"/>
  <c r="C1321" l="1"/>
  <c r="K1320"/>
  <c r="C1322" l="1"/>
  <c r="K1321"/>
  <c r="C1323" l="1"/>
  <c r="K1322"/>
  <c r="C1324" l="1"/>
  <c r="K1323"/>
  <c r="C1325" l="1"/>
  <c r="K1324"/>
  <c r="L363" i="11" s="1"/>
  <c r="K1325" i="12" l="1"/>
  <c r="C1326"/>
  <c r="K1326" l="1"/>
  <c r="C1327"/>
  <c r="K1327" l="1"/>
  <c r="C1328"/>
  <c r="K1328" l="1"/>
  <c r="C1329"/>
  <c r="C1330" l="1"/>
  <c r="K1329"/>
  <c r="C1331" l="1"/>
  <c r="K1330"/>
  <c r="K1331" l="1"/>
  <c r="C1332"/>
  <c r="C1333" l="1"/>
  <c r="K1332"/>
  <c r="K1333" l="1"/>
  <c r="C1334"/>
  <c r="C1335" l="1"/>
  <c r="K1334"/>
  <c r="C1336" l="1"/>
  <c r="K1335"/>
  <c r="C1337" l="1"/>
  <c r="K1336"/>
  <c r="C1338" l="1"/>
  <c r="K1337"/>
  <c r="C1339" l="1"/>
  <c r="K1338"/>
  <c r="K1339" l="1"/>
  <c r="C1340"/>
  <c r="K1340" l="1"/>
  <c r="C1341"/>
  <c r="K1341" l="1"/>
  <c r="C1342"/>
  <c r="C1343" l="1"/>
  <c r="K1342"/>
  <c r="C1344" l="1"/>
  <c r="K1343"/>
  <c r="C1345" l="1"/>
  <c r="K1344"/>
  <c r="L366" i="11" s="1"/>
  <c r="C1346" i="12" l="1"/>
  <c r="K1345"/>
  <c r="L369" i="11" s="1"/>
  <c r="K1346" i="12" l="1"/>
  <c r="C1347"/>
  <c r="C1348" l="1"/>
  <c r="K1347"/>
  <c r="C1349" l="1"/>
  <c r="K1348"/>
  <c r="K1349" l="1"/>
  <c r="C1350"/>
  <c r="K1350" l="1"/>
  <c r="C1351"/>
  <c r="K1351" l="1"/>
  <c r="C1352"/>
  <c r="C1353" l="1"/>
  <c r="K1352"/>
  <c r="K1353" l="1"/>
  <c r="C1354"/>
  <c r="C1355" l="1"/>
  <c r="K1354"/>
  <c r="K1355" l="1"/>
  <c r="C1356"/>
  <c r="K1356" l="1"/>
  <c r="C1357"/>
  <c r="C1358" l="1"/>
  <c r="K1357"/>
  <c r="C1359" l="1"/>
  <c r="K1358"/>
  <c r="C1360" l="1"/>
  <c r="K1359"/>
  <c r="C1361" l="1"/>
  <c r="K1360"/>
  <c r="I270"/>
  <c r="I338"/>
  <c r="I409"/>
  <c r="I491"/>
  <c r="I641"/>
  <c r="I693"/>
  <c r="I799"/>
  <c r="I944"/>
  <c r="I1206"/>
  <c r="C1362" l="1"/>
  <c r="K1361"/>
  <c r="K59" i="11"/>
  <c r="N57" s="1"/>
  <c r="K1362" i="12" l="1"/>
  <c r="C1363"/>
  <c r="C1364" l="1"/>
  <c r="K1363"/>
  <c r="K1364" l="1"/>
  <c r="C1365"/>
  <c r="P58" i="11"/>
  <c r="Q58" s="1"/>
  <c r="C1366" i="12" l="1"/>
  <c r="K1365"/>
  <c r="R58" i="11"/>
  <c r="Q59"/>
  <c r="P59"/>
  <c r="C1367" i="12" l="1"/>
  <c r="K1366"/>
  <c r="R59" i="11"/>
  <c r="S58"/>
  <c r="C1368" i="12" l="1"/>
  <c r="K1367"/>
  <c r="S59" i="11"/>
  <c r="T58"/>
  <c r="C1369" i="12" l="1"/>
  <c r="K1368"/>
  <c r="T59" i="11"/>
  <c r="U58"/>
  <c r="C1370" i="12" l="1"/>
  <c r="K1369"/>
  <c r="L372" i="11" s="1"/>
  <c r="U59"/>
  <c r="V58"/>
  <c r="C1371" i="12" l="1"/>
  <c r="K1370"/>
  <c r="V59" i="11"/>
  <c r="W58"/>
  <c r="W59" s="1"/>
  <c r="K1371" i="12" l="1"/>
  <c r="C1372"/>
  <c r="C1373" l="1"/>
  <c r="K1372"/>
  <c r="L375" i="11" s="1"/>
  <c r="C1374" i="12" l="1"/>
  <c r="K1373"/>
  <c r="K1374" l="1"/>
  <c r="C1375"/>
  <c r="K1375" l="1"/>
  <c r="C1376"/>
  <c r="K1376" l="1"/>
  <c r="C1377"/>
  <c r="C1378" l="1"/>
  <c r="K1377"/>
  <c r="C1379" l="1"/>
  <c r="K1378"/>
  <c r="K1379" l="1"/>
  <c r="C1380"/>
  <c r="K1380" l="1"/>
  <c r="C1381"/>
  <c r="K1381" l="1"/>
  <c r="C1382"/>
  <c r="C1383" l="1"/>
  <c r="K1382"/>
  <c r="I202"/>
  <c r="K1383" l="1"/>
  <c r="C1384"/>
  <c r="K239" i="11"/>
  <c r="N237" s="1"/>
  <c r="K176"/>
  <c r="N174" s="1"/>
  <c r="K143"/>
  <c r="N141" s="1"/>
  <c r="K203"/>
  <c r="N201" s="1"/>
  <c r="K119"/>
  <c r="N117" s="1"/>
  <c r="K101"/>
  <c r="N99" s="1"/>
  <c r="K266"/>
  <c r="N264" s="1"/>
  <c r="K71"/>
  <c r="N69" s="1"/>
  <c r="K1384" i="12" l="1"/>
  <c r="C1385"/>
  <c r="C1386" l="1"/>
  <c r="K1385"/>
  <c r="P70" i="11"/>
  <c r="P71" s="1"/>
  <c r="C1387" i="12" l="1"/>
  <c r="K1386"/>
  <c r="Q70" i="11"/>
  <c r="R70" s="1"/>
  <c r="R71" s="1"/>
  <c r="K1387" i="12" l="1"/>
  <c r="C1388"/>
  <c r="S70" i="11"/>
  <c r="S71" s="1"/>
  <c r="Q71"/>
  <c r="K1388" i="12" l="1"/>
  <c r="C1389"/>
  <c r="T70" i="11"/>
  <c r="T71" s="1"/>
  <c r="C1390" i="12" l="1"/>
  <c r="K1389"/>
  <c r="U70" i="11"/>
  <c r="U71" s="1"/>
  <c r="K1390" i="12" l="1"/>
  <c r="C1391"/>
  <c r="V70" i="11"/>
  <c r="V71" s="1"/>
  <c r="C1392" i="12" l="1"/>
  <c r="K1391"/>
  <c r="L378" i="11" s="1"/>
  <c r="W70"/>
  <c r="W71" s="1"/>
  <c r="C1393" i="12" l="1"/>
  <c r="K1392"/>
  <c r="P100" i="11"/>
  <c r="P101" s="1"/>
  <c r="K1393" i="12" l="1"/>
  <c r="C1394"/>
  <c r="Q100" i="11"/>
  <c r="Q101" s="1"/>
  <c r="C1395" i="12" l="1"/>
  <c r="K1394"/>
  <c r="L381" i="11" s="1"/>
  <c r="R100"/>
  <c r="S100" s="1"/>
  <c r="S101" s="1"/>
  <c r="K1395" i="12" l="1"/>
  <c r="C1396"/>
  <c r="T100" i="11"/>
  <c r="T101" s="1"/>
  <c r="R101"/>
  <c r="K1396" i="12" l="1"/>
  <c r="C1397"/>
  <c r="U100" i="11"/>
  <c r="U101" s="1"/>
  <c r="C1398" i="12" l="1"/>
  <c r="K1397"/>
  <c r="V100" i="11"/>
  <c r="V101" s="1"/>
  <c r="K1398" i="12" l="1"/>
  <c r="C1399"/>
  <c r="W100" i="11"/>
  <c r="W101" s="1"/>
  <c r="P118"/>
  <c r="P119" s="1"/>
  <c r="K1399" i="12" l="1"/>
  <c r="C1400"/>
  <c r="Q118" i="11"/>
  <c r="K1400" i="12" l="1"/>
  <c r="C1401"/>
  <c r="Q119" i="11"/>
  <c r="R118"/>
  <c r="C1402" i="12" l="1"/>
  <c r="K1401"/>
  <c r="R119" i="11"/>
  <c r="S118"/>
  <c r="C1403" i="12" l="1"/>
  <c r="K1402"/>
  <c r="S119" i="11"/>
  <c r="T118"/>
  <c r="C1404" i="12" l="1"/>
  <c r="K1403"/>
  <c r="T119" i="11"/>
  <c r="U118"/>
  <c r="C1405" i="12" l="1"/>
  <c r="K1404"/>
  <c r="V118" i="11"/>
  <c r="U119"/>
  <c r="K1405" i="12" l="1"/>
  <c r="C1406"/>
  <c r="V119" i="11"/>
  <c r="W118"/>
  <c r="W119" s="1"/>
  <c r="P142"/>
  <c r="P143" s="1"/>
  <c r="K1406" i="12" l="1"/>
  <c r="C1407"/>
  <c r="Q142" i="11"/>
  <c r="Q143" s="1"/>
  <c r="K1407" i="12" l="1"/>
  <c r="C1408"/>
  <c r="R142" i="11"/>
  <c r="R143" s="1"/>
  <c r="C1409" i="12" l="1"/>
  <c r="K1408"/>
  <c r="S142" i="11"/>
  <c r="T142" s="1"/>
  <c r="K1409" i="12" l="1"/>
  <c r="C1410"/>
  <c r="S143" i="11"/>
  <c r="T143"/>
  <c r="U142"/>
  <c r="K1410" i="12" l="1"/>
  <c r="C1411"/>
  <c r="U143" i="11"/>
  <c r="V142"/>
  <c r="K1411" i="12" l="1"/>
  <c r="C1412"/>
  <c r="W142" i="11"/>
  <c r="W143" s="1"/>
  <c r="V143"/>
  <c r="P175"/>
  <c r="P176" s="1"/>
  <c r="K1412" i="12" l="1"/>
  <c r="Q175" i="11"/>
  <c r="Q176" l="1"/>
  <c r="R175"/>
  <c r="R176" l="1"/>
  <c r="S175"/>
  <c r="S176" l="1"/>
  <c r="T175"/>
  <c r="U175" l="1"/>
  <c r="T176"/>
  <c r="V175" l="1"/>
  <c r="U176"/>
  <c r="W175" l="1"/>
  <c r="W176" s="1"/>
  <c r="V176"/>
  <c r="P202" l="1"/>
  <c r="P203" s="1"/>
  <c r="Q202" l="1"/>
  <c r="Q203" l="1"/>
  <c r="R202"/>
  <c r="S202" l="1"/>
  <c r="R203"/>
  <c r="S203" l="1"/>
  <c r="T202"/>
  <c r="T203" l="1"/>
  <c r="U202"/>
  <c r="U203" l="1"/>
  <c r="V202"/>
  <c r="V203" l="1"/>
  <c r="W202"/>
  <c r="W203" s="1"/>
  <c r="P238" l="1"/>
  <c r="Q238" s="1"/>
  <c r="Q239" l="1"/>
  <c r="R238"/>
  <c r="P239"/>
  <c r="R239" l="1"/>
  <c r="S238"/>
  <c r="S239" l="1"/>
  <c r="T238"/>
  <c r="T239" l="1"/>
  <c r="U238"/>
  <c r="V238" l="1"/>
  <c r="U239"/>
  <c r="V239" l="1"/>
  <c r="W238"/>
  <c r="W239" s="1"/>
  <c r="P265"/>
  <c r="P266" s="1"/>
  <c r="Q265" l="1"/>
  <c r="Q266" l="1"/>
  <c r="R265"/>
  <c r="S265" l="1"/>
  <c r="R266"/>
  <c r="S266" l="1"/>
  <c r="T265"/>
  <c r="T266" l="1"/>
  <c r="U265"/>
  <c r="U266" l="1"/>
  <c r="V265"/>
  <c r="V266" l="1"/>
  <c r="W265"/>
  <c r="W266" s="1"/>
  <c r="K320" l="1"/>
  <c r="N318" s="1"/>
  <c r="C1413" i="12" l="1"/>
  <c r="K1413" l="1"/>
  <c r="C1414" l="1"/>
  <c r="K1414" s="1"/>
  <c r="C1415" l="1"/>
  <c r="K1415" s="1"/>
  <c r="C1416" l="1"/>
  <c r="C1417" s="1"/>
  <c r="K1416" l="1"/>
  <c r="C1418"/>
  <c r="K1418" s="1"/>
  <c r="K1417"/>
  <c r="C1419" l="1"/>
  <c r="C1420" l="1"/>
  <c r="K1419"/>
  <c r="K1420" l="1"/>
  <c r="C1421"/>
  <c r="C1422" l="1"/>
  <c r="K1421"/>
  <c r="C1423" l="1"/>
  <c r="K1422"/>
  <c r="P322" i="11"/>
  <c r="C1424" i="12" l="1"/>
  <c r="K1423"/>
  <c r="Q322" i="11"/>
  <c r="C1425" i="12" l="1"/>
  <c r="K1425" s="1"/>
  <c r="K1424"/>
  <c r="R322" i="11"/>
  <c r="C1426" i="12" l="1"/>
  <c r="S322" i="11"/>
  <c r="L393" l="1"/>
  <c r="K1426" i="12"/>
  <c r="C1427"/>
  <c r="T322" i="11"/>
  <c r="U322" s="1"/>
  <c r="K1427" i="12" l="1"/>
  <c r="C1428"/>
  <c r="V322" i="11"/>
  <c r="K1428" i="12" l="1"/>
  <c r="C1429"/>
  <c r="W322" i="11"/>
  <c r="K1429" i="12" l="1"/>
  <c r="C1430"/>
  <c r="C1431" l="1"/>
  <c r="K1431" s="1"/>
  <c r="K1430"/>
  <c r="L396" i="11" l="1"/>
  <c r="C1432" i="12"/>
  <c r="L399" i="11" l="1"/>
  <c r="K1432" i="12"/>
  <c r="C1433"/>
  <c r="K1433" l="1"/>
  <c r="C1434"/>
  <c r="C1435" l="1"/>
  <c r="K1434"/>
  <c r="K1435" l="1"/>
  <c r="C1436"/>
  <c r="K1436" s="1"/>
  <c r="C1437" l="1"/>
  <c r="P319" i="11"/>
  <c r="Q319" s="1"/>
  <c r="L402" l="1"/>
  <c r="P320"/>
  <c r="Q320"/>
  <c r="R319"/>
  <c r="K1437" i="12"/>
  <c r="C1438"/>
  <c r="K1438" l="1"/>
  <c r="C1439"/>
  <c r="S319" i="11"/>
  <c r="R320"/>
  <c r="S320" l="1"/>
  <c r="T319"/>
  <c r="K1439" i="12"/>
  <c r="C1440"/>
  <c r="C1441" l="1"/>
  <c r="K1440"/>
  <c r="T320" i="11"/>
  <c r="U319"/>
  <c r="U320" l="1"/>
  <c r="V319"/>
  <c r="C1442" i="12"/>
  <c r="K1442" s="1"/>
  <c r="K1441"/>
  <c r="L405" i="11" l="1"/>
  <c r="C1443" i="12"/>
  <c r="L408" i="11"/>
  <c r="W319"/>
  <c r="W320" s="1"/>
  <c r="V320"/>
  <c r="K1443" i="12" l="1"/>
  <c r="C1444"/>
  <c r="K1444" l="1"/>
  <c r="C1445"/>
  <c r="K1445" l="1"/>
  <c r="C1446"/>
  <c r="C1447" s="1"/>
  <c r="K1447" s="1"/>
  <c r="C1448" l="1"/>
  <c r="I1128"/>
  <c r="I1027"/>
  <c r="I1344"/>
  <c r="K1446"/>
  <c r="I1413"/>
  <c r="I1430"/>
  <c r="K1448" l="1"/>
  <c r="C1449"/>
  <c r="L384" i="11"/>
  <c r="L411"/>
  <c r="K290"/>
  <c r="N288" s="1"/>
  <c r="K416"/>
  <c r="N414" s="1"/>
  <c r="K419"/>
  <c r="N417" s="1"/>
  <c r="K344"/>
  <c r="N342" s="1"/>
  <c r="K371"/>
  <c r="N369" s="1"/>
  <c r="K323"/>
  <c r="N321" s="1"/>
  <c r="K1449" i="12" l="1"/>
  <c r="C1450"/>
  <c r="K395" i="11"/>
  <c r="N393" s="1"/>
  <c r="P323"/>
  <c r="Q323"/>
  <c r="R323"/>
  <c r="S323"/>
  <c r="T323"/>
  <c r="U323"/>
  <c r="V323"/>
  <c r="W323"/>
  <c r="C1451" i="12" l="1"/>
  <c r="K1450"/>
  <c r="K1451" l="1"/>
  <c r="C1452"/>
  <c r="P289" i="11"/>
  <c r="Q289" s="1"/>
  <c r="C1453" i="12" l="1"/>
  <c r="K1452"/>
  <c r="Q290" i="11"/>
  <c r="R289"/>
  <c r="P290"/>
  <c r="K1453" i="12" l="1"/>
  <c r="C1454"/>
  <c r="S289" i="11"/>
  <c r="R290"/>
  <c r="C1455" i="12" l="1"/>
  <c r="K1454"/>
  <c r="S290" i="11"/>
  <c r="T289"/>
  <c r="C1456" i="12" l="1"/>
  <c r="K1455"/>
  <c r="T290" i="11"/>
  <c r="U289"/>
  <c r="K1456" i="12" l="1"/>
  <c r="C1457"/>
  <c r="U290" i="11"/>
  <c r="V289"/>
  <c r="K1457" i="12" l="1"/>
  <c r="C1458"/>
  <c r="V290" i="11"/>
  <c r="W289"/>
  <c r="W290" s="1"/>
  <c r="C1459" i="12" l="1"/>
  <c r="K1458"/>
  <c r="C1460" l="1"/>
  <c r="K1459"/>
  <c r="P370" i="11"/>
  <c r="P371" s="1"/>
  <c r="P343"/>
  <c r="P344" s="1"/>
  <c r="P316"/>
  <c r="K1460" i="12" l="1"/>
  <c r="C1461"/>
  <c r="Q370" i="11"/>
  <c r="Q371" s="1"/>
  <c r="Q316"/>
  <c r="Q343"/>
  <c r="R370" l="1"/>
  <c r="C1462" i="12"/>
  <c r="K1461"/>
  <c r="R371" i="11"/>
  <c r="S370"/>
  <c r="R316"/>
  <c r="Q344"/>
  <c r="R343"/>
  <c r="C1463" i="12" l="1"/>
  <c r="K1462"/>
  <c r="R344" i="11"/>
  <c r="S343"/>
  <c r="S316"/>
  <c r="S371"/>
  <c r="T370"/>
  <c r="K1463" i="12" l="1"/>
  <c r="C1464"/>
  <c r="T371" i="11"/>
  <c r="U370"/>
  <c r="T316"/>
  <c r="S344"/>
  <c r="T343"/>
  <c r="C1465" i="12" l="1"/>
  <c r="K1464"/>
  <c r="U343" i="11"/>
  <c r="T344"/>
  <c r="U316"/>
  <c r="U371"/>
  <c r="V370"/>
  <c r="C1466" i="12" l="1"/>
  <c r="K1465"/>
  <c r="U344" i="11"/>
  <c r="V343"/>
  <c r="W370"/>
  <c r="W371" s="1"/>
  <c r="V371"/>
  <c r="V316"/>
  <c r="C1467" i="12" l="1"/>
  <c r="K1466"/>
  <c r="W316" i="11"/>
  <c r="W343"/>
  <c r="W344" s="1"/>
  <c r="V344"/>
  <c r="C1468" i="12" l="1"/>
  <c r="K1467"/>
  <c r="C1469" l="1"/>
  <c r="K1468"/>
  <c r="K1469" l="1"/>
  <c r="C1470"/>
  <c r="C1471" l="1"/>
  <c r="K1470"/>
  <c r="C1472" l="1"/>
  <c r="K1472" s="1"/>
  <c r="K1471"/>
  <c r="C1473" l="1"/>
  <c r="L387" i="11" l="1"/>
  <c r="L414"/>
  <c r="C1474" i="12"/>
  <c r="K1473"/>
  <c r="K1474" l="1"/>
  <c r="C1475"/>
  <c r="C1476" l="1"/>
  <c r="K1475"/>
  <c r="C1477" l="1"/>
  <c r="K1476"/>
  <c r="K1477" l="1"/>
  <c r="C1478"/>
  <c r="C1479" l="1"/>
  <c r="K1478"/>
  <c r="K1479" l="1"/>
  <c r="C1480"/>
  <c r="K1480" l="1"/>
  <c r="C1481"/>
  <c r="K1481" l="1"/>
  <c r="C1482"/>
  <c r="K1482" l="1"/>
  <c r="C1483"/>
  <c r="K1483" l="1"/>
  <c r="C1484"/>
  <c r="C1485" l="1"/>
  <c r="K1484"/>
  <c r="C1486" l="1"/>
  <c r="K1485"/>
  <c r="K1486" l="1"/>
  <c r="C1487"/>
  <c r="C1488" l="1"/>
  <c r="K1487"/>
  <c r="C1489" l="1"/>
  <c r="K1488"/>
  <c r="K1489" l="1"/>
  <c r="C1490"/>
  <c r="K1490" s="1"/>
  <c r="L420" i="11" l="1"/>
  <c r="C1491" i="12"/>
  <c r="L390" i="11" l="1"/>
  <c r="L417"/>
  <c r="K1491" i="12"/>
  <c r="C1492"/>
  <c r="K1492" l="1"/>
  <c r="C1493"/>
  <c r="C1494" l="1"/>
  <c r="K1493"/>
  <c r="K1494" l="1"/>
  <c r="C1495"/>
  <c r="K1495" l="1"/>
  <c r="C1496"/>
  <c r="C1497" l="1"/>
  <c r="K1496"/>
  <c r="K1497" l="1"/>
  <c r="C1498"/>
  <c r="K1498" l="1"/>
  <c r="C1499"/>
  <c r="K1499" l="1"/>
  <c r="C1500"/>
  <c r="K1500" l="1"/>
  <c r="C1501"/>
  <c r="C1502" l="1"/>
  <c r="K1501"/>
  <c r="K1502" l="1"/>
  <c r="C1503"/>
  <c r="K1503" l="1"/>
  <c r="H641"/>
  <c r="B641" s="1"/>
  <c r="U641" s="1"/>
  <c r="K173" i="11" s="1"/>
  <c r="N171" s="1"/>
  <c r="I1441" i="12"/>
  <c r="H1430"/>
  <c r="B1430" s="1"/>
  <c r="U1430" s="1"/>
  <c r="H1441"/>
  <c r="B1441" s="1"/>
  <c r="U1441" s="1"/>
  <c r="H1206"/>
  <c r="B1206" s="1"/>
  <c r="U1206" s="1"/>
  <c r="K341" i="11" s="1"/>
  <c r="N339" s="1"/>
  <c r="H1413" i="12"/>
  <c r="B1413" s="1"/>
  <c r="U1413" s="1"/>
  <c r="K386" i="11" s="1"/>
  <c r="N384" s="1"/>
  <c r="H491" i="12"/>
  <c r="B491" s="1"/>
  <c r="U491" s="1"/>
  <c r="K140" i="11" s="1"/>
  <c r="N138" s="1"/>
  <c r="H338" i="12"/>
  <c r="B338" s="1"/>
  <c r="U338" s="1"/>
  <c r="K98" i="11" s="1"/>
  <c r="N96" s="1"/>
  <c r="H1027" i="12"/>
  <c r="B1027" s="1"/>
  <c r="U1027" s="1"/>
  <c r="K287" i="11" s="1"/>
  <c r="N285" s="1"/>
  <c r="H202" i="12"/>
  <c r="B202" s="1"/>
  <c r="U202" s="1"/>
  <c r="K56" i="11" s="1"/>
  <c r="N54" s="1"/>
  <c r="H1128" i="12"/>
  <c r="B1128" s="1"/>
  <c r="U1128" s="1"/>
  <c r="H12"/>
  <c r="B12" s="1"/>
  <c r="H944"/>
  <c r="B944" s="1"/>
  <c r="U944" s="1"/>
  <c r="K263" i="11" s="1"/>
  <c r="N261" s="1"/>
  <c r="H113" i="12"/>
  <c r="B113" s="1"/>
  <c r="U113" s="1"/>
  <c r="K32" i="11" s="1"/>
  <c r="N30" s="1"/>
  <c r="H799" i="12"/>
  <c r="B799" s="1"/>
  <c r="U799" s="1"/>
  <c r="K236" i="11" s="1"/>
  <c r="N234" s="1"/>
  <c r="H1344" i="12"/>
  <c r="B1344" s="1"/>
  <c r="U1344" s="1"/>
  <c r="K368" i="11" s="1"/>
  <c r="N366" s="1"/>
  <c r="H409" i="12"/>
  <c r="B409" s="1"/>
  <c r="U409" s="1"/>
  <c r="K116" i="11" s="1"/>
  <c r="N114" s="1"/>
  <c r="H693" i="12"/>
  <c r="B693" s="1"/>
  <c r="U693" s="1"/>
  <c r="K200" i="11" s="1"/>
  <c r="N198" s="1"/>
  <c r="H270" i="12"/>
  <c r="B270" s="1"/>
  <c r="U270" s="1"/>
  <c r="K68" i="11" s="1"/>
  <c r="N66" s="1"/>
  <c r="K407" l="1"/>
  <c r="N405" s="1"/>
  <c r="K410"/>
  <c r="N408" s="1"/>
  <c r="K398"/>
  <c r="N396" s="1"/>
  <c r="K401"/>
  <c r="N399" s="1"/>
  <c r="P68"/>
  <c r="P67" s="1"/>
  <c r="R68"/>
  <c r="R67" s="1"/>
  <c r="T68"/>
  <c r="T67" s="1"/>
  <c r="V68"/>
  <c r="V67" s="1"/>
  <c r="Q68"/>
  <c r="Q67" s="1"/>
  <c r="S68"/>
  <c r="S67" s="1"/>
  <c r="U68"/>
  <c r="U67" s="1"/>
  <c r="W68"/>
  <c r="W67" s="1"/>
  <c r="R200"/>
  <c r="R199" s="1"/>
  <c r="P200"/>
  <c r="P199" s="1"/>
  <c r="U200"/>
  <c r="U199" s="1"/>
  <c r="T200"/>
  <c r="T199" s="1"/>
  <c r="S200"/>
  <c r="S199" s="1"/>
  <c r="Q200"/>
  <c r="Q199" s="1"/>
  <c r="V200"/>
  <c r="V199" s="1"/>
  <c r="W200"/>
  <c r="W199" s="1"/>
  <c r="P368"/>
  <c r="P367" s="1"/>
  <c r="Q368"/>
  <c r="Q367" s="1"/>
  <c r="R368"/>
  <c r="R367" s="1"/>
  <c r="S368"/>
  <c r="S367" s="1"/>
  <c r="T368"/>
  <c r="T367" s="1"/>
  <c r="U368"/>
  <c r="U367" s="1"/>
  <c r="V368"/>
  <c r="V367" s="1"/>
  <c r="W368"/>
  <c r="W367" s="1"/>
  <c r="R32"/>
  <c r="R31" s="1"/>
  <c r="U32"/>
  <c r="U31" s="1"/>
  <c r="S32"/>
  <c r="S31" s="1"/>
  <c r="V32"/>
  <c r="V31" s="1"/>
  <c r="P32"/>
  <c r="P31" s="1"/>
  <c r="T32"/>
  <c r="T31" s="1"/>
  <c r="Q32"/>
  <c r="Q31" s="1"/>
  <c r="Q30" s="1"/>
  <c r="W32"/>
  <c r="W31" s="1"/>
  <c r="U12" i="12"/>
  <c r="K20" i="11" s="1"/>
  <c r="N18" s="1"/>
  <c r="B11" i="12"/>
  <c r="S56" i="11"/>
  <c r="S55" s="1"/>
  <c r="Q56"/>
  <c r="Q55" s="1"/>
  <c r="W56"/>
  <c r="W55" s="1"/>
  <c r="U56"/>
  <c r="U55" s="1"/>
  <c r="R56"/>
  <c r="R55" s="1"/>
  <c r="P56"/>
  <c r="P55" s="1"/>
  <c r="V56"/>
  <c r="V55" s="1"/>
  <c r="T56"/>
  <c r="T55" s="1"/>
  <c r="Q98"/>
  <c r="Q97" s="1"/>
  <c r="W98"/>
  <c r="W97" s="1"/>
  <c r="U98"/>
  <c r="U97" s="1"/>
  <c r="S98"/>
  <c r="S97" s="1"/>
  <c r="R98"/>
  <c r="R97" s="1"/>
  <c r="P98"/>
  <c r="P97" s="1"/>
  <c r="V98"/>
  <c r="V97" s="1"/>
  <c r="T98"/>
  <c r="T97" s="1"/>
  <c r="V116"/>
  <c r="V115" s="1"/>
  <c r="W116"/>
  <c r="W115" s="1"/>
  <c r="P116"/>
  <c r="P115" s="1"/>
  <c r="R116"/>
  <c r="R115" s="1"/>
  <c r="T116"/>
  <c r="T115" s="1"/>
  <c r="Q116"/>
  <c r="Q115" s="1"/>
  <c r="S116"/>
  <c r="S115" s="1"/>
  <c r="U116"/>
  <c r="U115" s="1"/>
  <c r="Q236"/>
  <c r="Q235" s="1"/>
  <c r="U236"/>
  <c r="U235" s="1"/>
  <c r="V236"/>
  <c r="V235" s="1"/>
  <c r="S236"/>
  <c r="S235" s="1"/>
  <c r="P236"/>
  <c r="P235" s="1"/>
  <c r="W236"/>
  <c r="W235" s="1"/>
  <c r="T236"/>
  <c r="T235" s="1"/>
  <c r="R236"/>
  <c r="R235" s="1"/>
  <c r="W263"/>
  <c r="W262" s="1"/>
  <c r="U263"/>
  <c r="U262" s="1"/>
  <c r="Q263"/>
  <c r="Q262" s="1"/>
  <c r="P263"/>
  <c r="P262" s="1"/>
  <c r="V263"/>
  <c r="V262" s="1"/>
  <c r="T263"/>
  <c r="T262" s="1"/>
  <c r="S263"/>
  <c r="S262" s="1"/>
  <c r="R263"/>
  <c r="R262" s="1"/>
  <c r="K317"/>
  <c r="N315" s="1"/>
  <c r="K314"/>
  <c r="N312" s="1"/>
  <c r="U287"/>
  <c r="U286" s="1"/>
  <c r="W287"/>
  <c r="W286" s="1"/>
  <c r="Q287"/>
  <c r="Q286" s="1"/>
  <c r="S287"/>
  <c r="S286" s="1"/>
  <c r="V287"/>
  <c r="V286" s="1"/>
  <c r="T287"/>
  <c r="T286" s="1"/>
  <c r="P287"/>
  <c r="P286" s="1"/>
  <c r="R287"/>
  <c r="R286" s="1"/>
  <c r="P140"/>
  <c r="P139" s="1"/>
  <c r="R140"/>
  <c r="R139" s="1"/>
  <c r="T140"/>
  <c r="T139" s="1"/>
  <c r="V140"/>
  <c r="V139" s="1"/>
  <c r="Q140"/>
  <c r="Q139" s="1"/>
  <c r="S140"/>
  <c r="S139" s="1"/>
  <c r="U140"/>
  <c r="U139" s="1"/>
  <c r="W140"/>
  <c r="W139" s="1"/>
  <c r="P341"/>
  <c r="P340" s="1"/>
  <c r="Q341"/>
  <c r="Q340" s="1"/>
  <c r="R341"/>
  <c r="R340" s="1"/>
  <c r="S341"/>
  <c r="S340" s="1"/>
  <c r="T341"/>
  <c r="T340" s="1"/>
  <c r="U341"/>
  <c r="U340" s="1"/>
  <c r="W341"/>
  <c r="W340" s="1"/>
  <c r="V341"/>
  <c r="V340" s="1"/>
  <c r="P173"/>
  <c r="P172" s="1"/>
  <c r="R173"/>
  <c r="R172" s="1"/>
  <c r="T173"/>
  <c r="T172" s="1"/>
  <c r="V173"/>
  <c r="V172" s="1"/>
  <c r="Q173"/>
  <c r="Q172" s="1"/>
  <c r="S173"/>
  <c r="S172" s="1"/>
  <c r="U173"/>
  <c r="U172" s="1"/>
  <c r="W173"/>
  <c r="W172" s="1"/>
  <c r="P317" l="1"/>
  <c r="P314" s="1"/>
  <c r="Q317"/>
  <c r="Q314" s="1"/>
  <c r="R317"/>
  <c r="R314" s="1"/>
  <c r="R313" s="1"/>
  <c r="S317"/>
  <c r="S314" s="1"/>
  <c r="S313" s="1"/>
  <c r="T317"/>
  <c r="T314" s="1"/>
  <c r="T313" s="1"/>
  <c r="U317"/>
  <c r="U314" s="1"/>
  <c r="U313" s="1"/>
  <c r="V317"/>
  <c r="V314" s="1"/>
  <c r="V313" s="1"/>
  <c r="W317"/>
  <c r="W314" s="1"/>
  <c r="W313" s="1"/>
  <c r="R20"/>
  <c r="P20"/>
  <c r="P19" s="1"/>
  <c r="T20"/>
  <c r="U20"/>
  <c r="Q20"/>
  <c r="Q19" s="1"/>
  <c r="S20"/>
  <c r="W20"/>
  <c r="V20"/>
  <c r="W19" l="1"/>
  <c r="T19"/>
  <c r="R19"/>
  <c r="P313"/>
  <c r="V19"/>
  <c r="S19"/>
  <c r="U19"/>
  <c r="Q313"/>
  <c r="P394"/>
  <c r="Q394" s="1"/>
  <c r="R394" s="1"/>
  <c r="P415"/>
  <c r="Q415" s="1"/>
  <c r="P395"/>
  <c r="P416"/>
  <c r="R415" l="1"/>
  <c r="R416" s="1"/>
  <c r="Q416"/>
  <c r="S415"/>
  <c r="S394"/>
  <c r="R395"/>
  <c r="Q395"/>
  <c r="T394" l="1"/>
  <c r="S395"/>
  <c r="T415"/>
  <c r="S416"/>
  <c r="T416" l="1"/>
  <c r="U415"/>
  <c r="T395"/>
  <c r="U394"/>
  <c r="U395" l="1"/>
  <c r="V394"/>
  <c r="U416"/>
  <c r="V415"/>
  <c r="W415" l="1"/>
  <c r="W416" s="1"/>
  <c r="V416"/>
  <c r="V395"/>
  <c r="W394"/>
  <c r="W395" s="1"/>
  <c r="P418" l="1"/>
  <c r="Q418" s="1"/>
  <c r="P419" l="1"/>
  <c r="R418"/>
  <c r="Q419"/>
  <c r="S418" l="1"/>
  <c r="R419"/>
  <c r="T418" l="1"/>
  <c r="S419"/>
  <c r="U418" l="1"/>
  <c r="T419"/>
  <c r="V418" l="1"/>
  <c r="U419"/>
  <c r="V419" l="1"/>
  <c r="W418"/>
  <c r="W419" s="1"/>
  <c r="V386" l="1"/>
  <c r="U386"/>
  <c r="T386"/>
  <c r="S386"/>
  <c r="P386"/>
  <c r="Q386"/>
  <c r="R386"/>
  <c r="P385"/>
  <c r="Q385"/>
  <c r="P400"/>
  <c r="P401" s="1"/>
  <c r="R385"/>
  <c r="T385"/>
  <c r="U385"/>
  <c r="Q400"/>
  <c r="Q401" s="1"/>
  <c r="S385"/>
  <c r="V385"/>
  <c r="R400" l="1"/>
  <c r="R401" s="1"/>
  <c r="S400" l="1"/>
  <c r="S401" s="1"/>
  <c r="T400" l="1"/>
  <c r="T401" s="1"/>
  <c r="U400" l="1"/>
  <c r="V400" s="1"/>
  <c r="U401" l="1"/>
  <c r="V401"/>
  <c r="W400"/>
  <c r="W401" s="1"/>
  <c r="W386" l="1"/>
  <c r="W385" l="1"/>
  <c r="V398"/>
  <c r="P409"/>
  <c r="Q409"/>
  <c r="R409" s="1"/>
  <c r="U398"/>
  <c r="W398"/>
  <c r="W397" s="1"/>
  <c r="T398"/>
  <c r="V397"/>
  <c r="U397"/>
  <c r="S398"/>
  <c r="R398"/>
  <c r="S397"/>
  <c r="Q398"/>
  <c r="Q410"/>
  <c r="Q407" s="1"/>
  <c r="P398"/>
  <c r="P410"/>
  <c r="P407" s="1"/>
  <c r="R397"/>
  <c r="Q397"/>
  <c r="P397"/>
  <c r="Q17" l="1"/>
  <c r="Q406"/>
  <c r="P406"/>
  <c r="P17"/>
  <c r="S409"/>
  <c r="R410"/>
  <c r="R407" s="1"/>
  <c r="R406" s="1"/>
  <c r="T397"/>
  <c r="Q15" l="1"/>
  <c r="Q14" s="1"/>
  <c r="Q16"/>
  <c r="P15"/>
  <c r="P14" s="1"/>
  <c r="P16"/>
  <c r="T409"/>
  <c r="S410"/>
  <c r="S407" s="1"/>
  <c r="R17"/>
  <c r="R15" l="1"/>
  <c r="R14" s="1"/>
  <c r="R16"/>
  <c r="U409"/>
  <c r="T410"/>
  <c r="T407" s="1"/>
  <c r="S406"/>
  <c r="S17"/>
  <c r="S15" l="1"/>
  <c r="S14" s="1"/>
  <c r="S16"/>
  <c r="U410"/>
  <c r="U407" s="1"/>
  <c r="V409"/>
  <c r="T406"/>
  <c r="T17"/>
  <c r="U17" l="1"/>
  <c r="U406"/>
  <c r="T15"/>
  <c r="T14" s="1"/>
  <c r="T16"/>
  <c r="V410"/>
  <c r="V407" s="1"/>
  <c r="W409"/>
  <c r="W410" s="1"/>
  <c r="W407" s="1"/>
  <c r="U15" l="1"/>
  <c r="U14" s="1"/>
  <c r="U16"/>
  <c r="V17"/>
  <c r="V406"/>
  <c r="W17"/>
  <c r="W406"/>
  <c r="V15" l="1"/>
  <c r="V14" s="1"/>
  <c r="V16"/>
  <c r="W15"/>
  <c r="W14" s="1"/>
  <c r="W16"/>
</calcChain>
</file>

<file path=xl/comments1.xml><?xml version="1.0" encoding="utf-8"?>
<comments xmlns="http://schemas.openxmlformats.org/spreadsheetml/2006/main">
  <authors>
    <author>Caixa</author>
  </authors>
  <commentList>
    <comment ref="D4" authorId="0">
      <text>
        <r>
          <rPr>
            <sz val="9"/>
            <color indexed="81"/>
            <rFont val="Arial"/>
            <family val="2"/>
          </rPr>
          <t>Informar fonte de consulta de  valor do insumo.
Exemplo: SINAPI, FIPE, cotação.</t>
        </r>
      </text>
    </comment>
    <comment ref="F4" authorId="0">
      <text>
        <r>
          <rPr>
            <sz val="9"/>
            <color indexed="81"/>
            <rFont val="Arial"/>
            <family val="2"/>
          </rPr>
          <t xml:space="preserve">Informar unidade de medida do insumo descrito.
Exemplo: mês,hora, diária, caixa e etc. </t>
        </r>
      </text>
    </comment>
  </commentList>
</comments>
</file>

<file path=xl/comments2.xml><?xml version="1.0" encoding="utf-8"?>
<comments xmlns="http://schemas.openxmlformats.org/spreadsheetml/2006/main">
  <authors>
    <author>Diego Lenz Leite</author>
  </authors>
  <commentList>
    <comment ref="U10" authorId="0">
      <text>
        <r>
          <rPr>
            <sz val="9"/>
            <color indexed="81"/>
            <rFont val="Segoe UI"/>
            <family val="2"/>
          </rPr>
          <t>Escolha entre "Aceito" e "Não Aceito".
Para insumos não aceitos, detalhar motivo no campo observações.</t>
        </r>
      </text>
    </comment>
    <comment ref="Q488" authorId="0">
      <text>
        <r>
          <rPr>
            <sz val="9"/>
            <color indexed="81"/>
            <rFont val="Segoe UI"/>
            <family val="2"/>
          </rPr>
          <t>Escolha na célula abaixo se APS ou Credenciado</t>
        </r>
      </text>
    </comment>
  </commentList>
</comments>
</file>

<file path=xl/sharedStrings.xml><?xml version="1.0" encoding="utf-8"?>
<sst xmlns="http://schemas.openxmlformats.org/spreadsheetml/2006/main" count="6967" uniqueCount="466">
  <si>
    <t>2.2 Na Versão Excel 2007 ou superior, selecione na Faixa de Opções: Arquivo --&gt; Opções --&gt; Central de Confiabilidade --&gt; Configurações da Central de Confiabilidade --&gt; Configurações de Macro --&gt; Habilitar todas as Macros --&gt; Clique em OK --&gt; Feche e abra o excel novamente para utilizar a Planilha.</t>
  </si>
  <si>
    <t>Nível</t>
  </si>
  <si>
    <t>Código</t>
  </si>
  <si>
    <t>Preço Total
(R$)</t>
  </si>
  <si>
    <t>4.1. na Aba DADOS</t>
  </si>
  <si>
    <t>DATA INÍCIO</t>
  </si>
  <si>
    <t>DATA BASE</t>
  </si>
  <si>
    <t>Acumulado (R$)</t>
  </si>
  <si>
    <t>Observações:</t>
  </si>
  <si>
    <t xml:space="preserve">    CFF -</t>
  </si>
  <si>
    <r>
      <t xml:space="preserve">2. Para funcionamento pleno desse arquivo, a </t>
    </r>
    <r>
      <rPr>
        <b/>
        <sz val="10"/>
        <rFont val="Arial"/>
        <family val="2"/>
      </rPr>
      <t>Segurança de Macros do Excel deve ser habilitada</t>
    </r>
    <r>
      <rPr>
        <sz val="10"/>
        <rFont val="Arial"/>
        <family val="2"/>
      </rPr>
      <t>.</t>
    </r>
  </si>
  <si>
    <r>
      <t xml:space="preserve">3. O Preenchimento deve ser feito somente nas </t>
    </r>
    <r>
      <rPr>
        <b/>
        <sz val="10"/>
        <rFont val="Arial"/>
        <family val="2"/>
      </rPr>
      <t>células em amarelo</t>
    </r>
    <r>
      <rPr>
        <sz val="10"/>
        <rFont val="Arial"/>
        <family val="2"/>
      </rPr>
      <t>. As outras células são de preenchimento Automático.</t>
    </r>
  </si>
  <si>
    <t>Responsável Técnico</t>
  </si>
  <si>
    <t>Cargo:</t>
  </si>
  <si>
    <t/>
  </si>
  <si>
    <t>N1</t>
  </si>
  <si>
    <t>N2</t>
  </si>
  <si>
    <t>CRONOGRAMA FÍSICO-FINANCEIRO</t>
  </si>
  <si>
    <t>Local</t>
  </si>
  <si>
    <t>Data</t>
  </si>
  <si>
    <t>Concatenação Fonte-Código</t>
  </si>
  <si>
    <t>Altura</t>
  </si>
  <si>
    <t>Czero</t>
  </si>
  <si>
    <t>Cnível</t>
  </si>
  <si>
    <t>Nmax</t>
  </si>
  <si>
    <t>N3</t>
  </si>
  <si>
    <t>N4</t>
  </si>
  <si>
    <t>Último Nível</t>
  </si>
  <si>
    <t>BancoRef</t>
  </si>
  <si>
    <t>Insumo</t>
  </si>
  <si>
    <t>Valores Totais (R$)</t>
  </si>
  <si>
    <t>Nome:</t>
  </si>
  <si>
    <t>Descrição</t>
  </si>
  <si>
    <t>Parcela (%)</t>
  </si>
  <si>
    <t>Parcela (R$)</t>
  </si>
  <si>
    <t>Acumulado (%)</t>
  </si>
  <si>
    <t>Fonte</t>
  </si>
  <si>
    <t>Item</t>
  </si>
  <si>
    <t>Quantidade</t>
  </si>
  <si>
    <t>Unidade</t>
  </si>
  <si>
    <t>Preço Unitário (R$)</t>
  </si>
  <si>
    <t>n1</t>
  </si>
  <si>
    <t>n2</t>
  </si>
  <si>
    <t>n3</t>
  </si>
  <si>
    <t>n4</t>
  </si>
  <si>
    <t>n5</t>
  </si>
  <si>
    <t>LOTE</t>
  </si>
  <si>
    <t>Tipo</t>
  </si>
  <si>
    <t>Lista Crono</t>
  </si>
  <si>
    <t>Grau de Sigilo</t>
  </si>
  <si>
    <t>#PUBLICO</t>
  </si>
  <si>
    <t>PO - PLANILHA ORÇAMENTÁRIA</t>
  </si>
  <si>
    <t>INSTRUÇÕES DE USO E PREENCHIMENTO</t>
  </si>
  <si>
    <t>2.1  Na Versão Excel 2003, selecione na Faixa de Opções: Ferramentas --&gt; Macro --&gt; Segurança --&gt; Na aba Nível de Segurança selecione a Opção "Baixo" --&gt; Clique em OK --&gt; Feche e abra o Excel novamente para utilizar a Planilha.</t>
  </si>
  <si>
    <t>4. Ordem de Preenchimento</t>
  </si>
  <si>
    <t>PROGRAMA</t>
  </si>
  <si>
    <t>PROPONENTE / TOMADOR</t>
  </si>
  <si>
    <t>MUNICÍPIO / UF</t>
  </si>
  <si>
    <t>Nível Máx Crono</t>
  </si>
  <si>
    <t>Nº OPERAÇÃO</t>
  </si>
  <si>
    <t>VTOTAL SOMA</t>
  </si>
  <si>
    <r>
      <t xml:space="preserve">1. Este documento somente pode ser utilizado nas versões do </t>
    </r>
    <r>
      <rPr>
        <b/>
        <sz val="10"/>
        <rFont val="Arial"/>
        <family val="2"/>
      </rPr>
      <t>Excel 2003 ou superior</t>
    </r>
    <r>
      <rPr>
        <sz val="10"/>
        <rFont val="Arial"/>
        <family val="2"/>
      </rPr>
      <t xml:space="preserve">. Não deve ser utilizado versões do BROffice. O Documento deve ser salvo </t>
    </r>
    <r>
      <rPr>
        <b/>
        <sz val="10"/>
        <rFont val="Arial"/>
        <family val="2"/>
      </rPr>
      <t>SOMENTE</t>
    </r>
    <r>
      <rPr>
        <sz val="10"/>
        <rFont val="Arial"/>
        <family val="2"/>
      </rPr>
      <t xml:space="preserve"> em extensão habilitada para macros </t>
    </r>
    <r>
      <rPr>
        <b/>
        <sz val="10"/>
        <rFont val="Arial"/>
        <family val="2"/>
      </rPr>
      <t xml:space="preserve">(.xls ou .xlsm). </t>
    </r>
    <r>
      <rPr>
        <sz val="10"/>
        <rFont val="Arial"/>
        <family val="2"/>
      </rPr>
      <t xml:space="preserve">Se o documento for salvo na extensão </t>
    </r>
    <r>
      <rPr>
        <b/>
        <sz val="10"/>
        <rFont val="Arial"/>
        <family val="2"/>
      </rPr>
      <t>.xlsx</t>
    </r>
    <r>
      <rPr>
        <sz val="10"/>
        <rFont val="Arial"/>
        <family val="2"/>
      </rPr>
      <t xml:space="preserve">, o arquivo será </t>
    </r>
    <r>
      <rPr>
        <b/>
        <sz val="10"/>
        <rFont val="Arial"/>
        <family val="2"/>
      </rPr>
      <t>INUTILIZADO.</t>
    </r>
    <r>
      <rPr>
        <sz val="10"/>
        <rFont val="Arial"/>
        <family val="2"/>
      </rPr>
      <t xml:space="preserve"> </t>
    </r>
  </si>
  <si>
    <t>DI 1</t>
  </si>
  <si>
    <t>DI 2</t>
  </si>
  <si>
    <t>DI 3</t>
  </si>
  <si>
    <t>DI 4</t>
  </si>
  <si>
    <t>DI 5</t>
  </si>
  <si>
    <t>Ação</t>
  </si>
  <si>
    <t>AtivNível 1</t>
  </si>
  <si>
    <t>AtivNível 2</t>
  </si>
  <si>
    <t>AtivNível 3</t>
  </si>
  <si>
    <t>Descrição das Atividades</t>
  </si>
  <si>
    <t>TOTAL</t>
  </si>
  <si>
    <t>TIPO</t>
  </si>
  <si>
    <t>CÓDIGO</t>
  </si>
  <si>
    <t>FONTE</t>
  </si>
  <si>
    <t>UNIDADE</t>
  </si>
  <si>
    <t>CUSTO</t>
  </si>
  <si>
    <t>Rec. Humanos</t>
  </si>
  <si>
    <t>Rec. Materiais</t>
  </si>
  <si>
    <t>Serv. Terc.</t>
  </si>
  <si>
    <t>Representante do Proponente</t>
  </si>
  <si>
    <t>DI
(%)</t>
  </si>
  <si>
    <t>DESCRIÇÃO</t>
  </si>
  <si>
    <t>OBJETO DO CONTRATO</t>
  </si>
  <si>
    <t>OBJETO DO TRABALHO SOCIAL</t>
  </si>
  <si>
    <t>Linha Orç</t>
  </si>
  <si>
    <t>Valor DI</t>
  </si>
  <si>
    <t>Primeira linha</t>
  </si>
  <si>
    <t>Qtde Agrupada</t>
  </si>
  <si>
    <t>Custo Unitário (R$)</t>
  </si>
  <si>
    <t>Peso Agrupado</t>
  </si>
  <si>
    <t>Peso Acum.</t>
  </si>
  <si>
    <t>Significativo</t>
  </si>
  <si>
    <t>Orçamento</t>
  </si>
  <si>
    <t>Curva ABC</t>
  </si>
  <si>
    <t>Todos</t>
  </si>
  <si>
    <t>Significativos</t>
  </si>
  <si>
    <t>Preço Total (R$)</t>
  </si>
  <si>
    <t>Análise:</t>
  </si>
  <si>
    <t>Total:</t>
  </si>
  <si>
    <t>EXECUTOR DO TRABALHO SOCIAL</t>
  </si>
  <si>
    <t>(NÃO IMPRIMIR ESTA ABA)</t>
  </si>
  <si>
    <t>4.1.1. Preencha os dados abaixo:</t>
  </si>
  <si>
    <t>4.2. na Aba Insumos:</t>
  </si>
  <si>
    <t>4.2.1. Os insumos serão divididos em Recursos Humanos / Recursos Materiais / Serviços Terceiros.</t>
  </si>
  <si>
    <t>4.2.2. A aba insumos vem com uma linha de cada insumo, sendo possível adicionar mais através dos botões no cabeçalho</t>
  </si>
  <si>
    <t>4.2.2.1. Escolha o tipo de insumo a ser adicionado e clique em adicionar, uma nova linha aparecerá na tabela.</t>
  </si>
  <si>
    <t>4.2.2.2. A ordem dos itens nesta etapa não é importante.</t>
  </si>
  <si>
    <t>4.2.3. Cadastre todos os insumos pertinentes ao orçamento.</t>
  </si>
  <si>
    <r>
      <rPr>
        <sz val="10"/>
        <rFont val="Calibri"/>
        <family val="2"/>
      </rPr>
      <t xml:space="preserve">└  </t>
    </r>
    <r>
      <rPr>
        <sz val="10"/>
        <rFont val="Arial"/>
        <family val="2"/>
      </rPr>
      <t>Ativ. Nível 1</t>
    </r>
  </si>
  <si>
    <r>
      <rPr>
        <sz val="10"/>
        <rFont val="Calibri"/>
        <family val="2"/>
      </rPr>
      <t xml:space="preserve">└  </t>
    </r>
    <r>
      <rPr>
        <sz val="10"/>
        <rFont val="Arial"/>
        <family val="2"/>
      </rPr>
      <t>Ativ. Nível 2</t>
    </r>
  </si>
  <si>
    <r>
      <rPr>
        <sz val="10"/>
        <rFont val="Calibri"/>
        <family val="2"/>
      </rPr>
      <t xml:space="preserve">└  </t>
    </r>
    <r>
      <rPr>
        <sz val="10"/>
        <rFont val="Arial"/>
        <family val="2"/>
      </rPr>
      <t>Ativ. Nível 3</t>
    </r>
  </si>
  <si>
    <t>CRONOGRAMA GLOBAL</t>
  </si>
  <si>
    <r>
      <rPr>
        <b/>
        <sz val="20"/>
        <color indexed="8"/>
        <rFont val="Arial"/>
        <family val="2"/>
      </rPr>
      <t>Banco de Insumos</t>
    </r>
    <r>
      <rPr>
        <b/>
        <sz val="10"/>
        <color indexed="8"/>
        <rFont val="Arial"/>
        <family val="2"/>
      </rPr>
      <t xml:space="preserve">
</t>
    </r>
    <r>
      <rPr>
        <sz val="10"/>
        <color indexed="8"/>
        <rFont val="Arial"/>
        <family val="2"/>
      </rPr>
      <t>(Esta aba não precisa ser impressa)</t>
    </r>
  </si>
  <si>
    <t>Análise</t>
  </si>
  <si>
    <t>ANEXO - ANÁLISE PLANILHA ORÇAMENTÁRIA</t>
  </si>
  <si>
    <t>CURVA ABC</t>
  </si>
  <si>
    <t>Assistente de Projetos Sociais - Técnico Social / Caixa</t>
  </si>
  <si>
    <t>#CONFIDENCIAL 05</t>
  </si>
  <si>
    <t>TRABALHO SOCIAL: PO - Planilha Orçamentária / CFF - Cronograma Físico Financeiro</t>
  </si>
  <si>
    <t>Local e Data</t>
  </si>
  <si>
    <t>TRABALHO SOCIAL</t>
  </si>
  <si>
    <t>TS -</t>
  </si>
  <si>
    <t>TS - TRABALHO SOCIAL</t>
  </si>
  <si>
    <t>REGIME DE EXECUÇÃO DO TS</t>
  </si>
  <si>
    <t>NOME:</t>
  </si>
  <si>
    <t>CARGO:</t>
  </si>
  <si>
    <t>RESPONSÁVEL TÉCNICO</t>
  </si>
  <si>
    <t>REPRESENTANTE DO PROPONENTE</t>
  </si>
  <si>
    <t>4.3. na Aba PO (Planilha Orçamentária):</t>
  </si>
  <si>
    <t>4.3.1. O orçamento segue uma estrutura de níveis, que agrupa os insumos e totaliza seus valores:</t>
  </si>
  <si>
    <t>4.3.2. Os insumos podem estar dentro de qualquer nível.</t>
  </si>
  <si>
    <t>4.3.3. A primeira linha do orçamento já vem inserida, pois é obrigatório iniciar com o maior nível: Ação.</t>
  </si>
  <si>
    <t>4.3.3.1. Deve ser preenchido o nome da primeira ação diretamente na linha do orçamento.</t>
  </si>
  <si>
    <t>4.3.4. A inclusão das demais linhas no orçamento pode ser feita clicando-se no botão "Editar Planilha" ou através do atalho de teclado CTRL + i</t>
  </si>
  <si>
    <t>4.3.4.1. A janela que se abre ao editar planilha possui 3 abas que permitem adicionar Insumo, adicionar Nível (ver 4.3.1) ou Reorganizar a planilha orçamentária.</t>
  </si>
  <si>
    <t>4.3.4.2. Na aba adicionar insumo, é possível digitar no campo "Pesquisa" para encontrar o insumo na lista de insumos cadastrados. Pode-se apertar "Enter" duas vezes quando o insumo for o primeiro da lista de resultados, ou selecionar o insumo na lista e clicar em "Adicionar". Por padrão o insumo é inserido na linha abaixo da célula selecionada antes de abrir a janela Editar, mas pode ser mudado alterando o campo "Depois da Linha".</t>
  </si>
  <si>
    <t>4.3.4.2. Na aba adicionar nível, deve-se especificar o nível a ser adicionado (ver 4.3.1), sua descrição e a posição de inserção. Por padrão o nível é inserido na linha abaixo da célula selecionada ao abrir a janela Editar.</t>
  </si>
  <si>
    <t>4.3.4.3. Na aba reorganizar, é possível excluir, mover ou copiar linhas do orçamento.</t>
  </si>
  <si>
    <t>4.3.5. Depois de incluído o insumo, é possível entrar a quantidade diretamente na planilha orçamentária.</t>
  </si>
  <si>
    <t>4.3.6. Por padrão os insumos adotam a composição de Despesa Indireta 1. Na coluna "DI" é possível escolher outra composição ou entrar diretamente com o valor da DI para aquele insumo.</t>
  </si>
  <si>
    <t>4.3.7. As colunas NÍVEL, FONTE, TIPO, CÓDIGO, DESCRIÇÃO, UNIDADE e CUSTO UNITÁRIO são trazidas da aba INSUMOS ou da informação cadastrada ao adicionar a linha.</t>
  </si>
  <si>
    <t>4.3.8. As colunas QUANTIDADE e DI são entradas pelo usuário diretamente na PO.</t>
  </si>
  <si>
    <t>4.3.9. As colunas ITEM, PREÇO UNITÁRIO, PREÇO TOTAL são calculadas automaticamente.</t>
  </si>
  <si>
    <t>4.4. na Aba CFF (Cronograma Físico-Financeiro):</t>
  </si>
  <si>
    <t>4.4.1. Preencha a data de início do TS na aba Dados.</t>
  </si>
  <si>
    <t>4.4.2. Preencha as porcentagens previstas por parcela para cada ação/meta ou atividade.</t>
  </si>
  <si>
    <t>4.4.3. Para atualizar o Cronograma conforme o Orçamento e incluir ou excluir parcelas, utilize o botão EDITAR / ATUALIZAR CRONOGRAMA.</t>
  </si>
  <si>
    <t>001</t>
  </si>
  <si>
    <t>013</t>
  </si>
  <si>
    <t>003</t>
  </si>
  <si>
    <t>002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</si>
  <si>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</si>
  <si>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</si>
  <si>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</si>
  <si>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</si>
  <si>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</si>
  <si>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</si>
  <si>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</si>
  <si>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</si>
  <si>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</si>
  <si>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015</t>
  </si>
  <si>
    <t>020</t>
  </si>
  <si>
    <t>019</t>
  </si>
  <si>
    <t>021</t>
  </si>
  <si>
    <t>022</t>
  </si>
  <si>
    <t>024</t>
  </si>
  <si>
    <t>018</t>
  </si>
  <si>
    <t>025</t>
  </si>
  <si>
    <t>026</t>
  </si>
  <si>
    <t>027</t>
  </si>
  <si>
    <t>CRESS</t>
  </si>
  <si>
    <t>Responsável Técnica</t>
  </si>
  <si>
    <t>Estagiários</t>
  </si>
  <si>
    <t>Papel A4</t>
  </si>
  <si>
    <t>Toner para impressora</t>
  </si>
  <si>
    <t>Resma</t>
  </si>
  <si>
    <t>Canetas esferográficas azul</t>
  </si>
  <si>
    <t>Caixa</t>
  </si>
  <si>
    <t>Lápis de cor</t>
  </si>
  <si>
    <t>Giz de cerra</t>
  </si>
  <si>
    <t>Pintura facial</t>
  </si>
  <si>
    <t>Fita adesiva</t>
  </si>
  <si>
    <t>Cotação</t>
  </si>
  <si>
    <t>Fotocópias</t>
  </si>
  <si>
    <t>Carro de som com gravação de vinheta</t>
  </si>
  <si>
    <t>Locação de mesas</t>
  </si>
  <si>
    <t>Locação de cadeiras</t>
  </si>
  <si>
    <t>Locação de caixa térmica</t>
  </si>
  <si>
    <t>Locação de tendas</t>
  </si>
  <si>
    <t>Locação de pula-pula com monitor</t>
  </si>
  <si>
    <t xml:space="preserve">Cotação </t>
  </si>
  <si>
    <t>Barra de gelo</t>
  </si>
  <si>
    <t>Água (garrafão de 20 litros)</t>
  </si>
  <si>
    <t>Sucos</t>
  </si>
  <si>
    <t>Papel de presente</t>
  </si>
  <si>
    <t>Guloseimas (balas e pirulito)</t>
  </si>
  <si>
    <t>Pacote</t>
  </si>
  <si>
    <t>Folhas</t>
  </si>
  <si>
    <t>029</t>
  </si>
  <si>
    <t>033</t>
  </si>
  <si>
    <t>Brinquedos pedagogicos (jogos de damas, bozó, dominó de percepção e de associação de idéias, quebra-cabeça progressivo, mapa do mundo, bola, bambolé</t>
  </si>
  <si>
    <t>Pasta AZ</t>
  </si>
  <si>
    <t>Apontador</t>
  </si>
  <si>
    <t>Saco de lixo (100 litros)</t>
  </si>
  <si>
    <t>Horas</t>
  </si>
  <si>
    <t>Copos descartáveis (2500 unidades)</t>
  </si>
  <si>
    <t>Kits</t>
  </si>
  <si>
    <t>Metros</t>
  </si>
  <si>
    <t>Coffee break (salgados)</t>
  </si>
  <si>
    <t>7 Mês - Atividade 01 - Curso de Automaquiagem</t>
  </si>
  <si>
    <t xml:space="preserve">Refrigerantes (02 litros) </t>
  </si>
  <si>
    <t xml:space="preserve">Coffe break (salgados) </t>
  </si>
  <si>
    <t>Locação carrinho de pipoca</t>
  </si>
  <si>
    <t>Locação carrinho de algodão doce</t>
  </si>
  <si>
    <t>Locação carrinho de cachorro quente</t>
  </si>
  <si>
    <t>036</t>
  </si>
  <si>
    <t>037</t>
  </si>
  <si>
    <t>038</t>
  </si>
  <si>
    <t>039</t>
  </si>
  <si>
    <t>042</t>
  </si>
  <si>
    <t>043</t>
  </si>
  <si>
    <t>066</t>
  </si>
  <si>
    <t>Luvas de latex para limpeza descarpack</t>
  </si>
  <si>
    <t>067</t>
  </si>
  <si>
    <t>068</t>
  </si>
  <si>
    <t>030</t>
  </si>
  <si>
    <t>Arco decorativo de balão (com 200 unidades)</t>
  </si>
  <si>
    <t>074</t>
  </si>
  <si>
    <t>076</t>
  </si>
  <si>
    <t>077</t>
  </si>
  <si>
    <t>Prancheta</t>
  </si>
  <si>
    <t>Crachá</t>
  </si>
  <si>
    <t>Informativo sobre Educação Financeira/Orçamento Familiar</t>
  </si>
  <si>
    <t>079</t>
  </si>
  <si>
    <t>Fita zebrada para isolar área</t>
  </si>
  <si>
    <t>218.743-88/2007</t>
  </si>
  <si>
    <t>Várzea Grande/MT</t>
  </si>
  <si>
    <t>Prefeitura Municipal de Várzea Grande</t>
  </si>
  <si>
    <t>Intervenção em Favelas PPI</t>
  </si>
  <si>
    <t>Prefeitura Municipal de Várzea Grande/MT</t>
  </si>
  <si>
    <t>Obras de infraestrutra, pavimentação, drenagem, esgotamento sanitário, recuperação ambiental, construção de escola e construção de escola e construção de 270 unidades habitacionais, Regularização Fundiária e Trabalho social.</t>
  </si>
  <si>
    <t>Elaboração PTS</t>
  </si>
  <si>
    <t>Água (garrafa de 1,5 litros)</t>
  </si>
  <si>
    <t>044</t>
  </si>
  <si>
    <t>080</t>
  </si>
  <si>
    <t>Centro</t>
  </si>
  <si>
    <t>081</t>
  </si>
  <si>
    <t>Instrutor curso de bordado de chinelos</t>
  </si>
  <si>
    <t>Vagas</t>
  </si>
  <si>
    <t>Panificação (curso completo)</t>
  </si>
  <si>
    <t>Cartilha dos beneficiários</t>
  </si>
  <si>
    <t>Balão redondo</t>
  </si>
  <si>
    <t>Massa de modelar</t>
  </si>
  <si>
    <t>069</t>
  </si>
  <si>
    <t>017</t>
  </si>
  <si>
    <t>Depilação (curso completo)</t>
  </si>
  <si>
    <t>083</t>
  </si>
  <si>
    <t>084</t>
  </si>
  <si>
    <t>085</t>
  </si>
  <si>
    <t>086</t>
  </si>
  <si>
    <t>MÊS 01 - INFORMAÇÃO E MOBILIZAÇÃO</t>
  </si>
  <si>
    <t>MÊS 02 - INFORMAÇÕES/PALESTRAS</t>
  </si>
  <si>
    <t>MÊS 03 - INFORMAÇÕES/PALESTRAS</t>
  </si>
  <si>
    <t>MÊS 04 - INFORMAÇÕES/OFICINAS</t>
  </si>
  <si>
    <t>MÊS 05 - INFORMAÇÕES/PALESTRAS</t>
  </si>
  <si>
    <t>MÊS 07 - INFORMAÇÕES/PALESTRAS</t>
  </si>
  <si>
    <t>Atividade 04 - Palestra: Mobilidade Urbana da área de intervenção do Parque São João</t>
  </si>
  <si>
    <t>Assistente Social</t>
  </si>
  <si>
    <t>MÊS 06 - INFORMAÇÕES/OFICINAS</t>
  </si>
  <si>
    <t>087</t>
  </si>
  <si>
    <t>CRBio</t>
  </si>
  <si>
    <t>CREAMT</t>
  </si>
  <si>
    <t>028</t>
  </si>
  <si>
    <t>OABMT</t>
  </si>
  <si>
    <t>065</t>
  </si>
  <si>
    <t>063</t>
  </si>
  <si>
    <t>CRP</t>
  </si>
  <si>
    <t>062</t>
  </si>
  <si>
    <t>COREN</t>
  </si>
  <si>
    <t>CREFITO</t>
  </si>
  <si>
    <t>Enfermeiro padrão</t>
  </si>
  <si>
    <t>SENAI</t>
  </si>
  <si>
    <t>Fisioterapeuta (Massagem terapêutica)</t>
  </si>
  <si>
    <t>Engenheiro Sanitarista e Ambiental</t>
  </si>
  <si>
    <t>Culinária com técnica de congelado (curso completo)</t>
  </si>
  <si>
    <t>Técnica de Enfermagem (Instrutor)</t>
  </si>
  <si>
    <t>Cupcake (Instrutor)</t>
  </si>
  <si>
    <t>Advogado</t>
  </si>
  <si>
    <t>Biólogo (Instrutor)</t>
  </si>
  <si>
    <t>Assistente Social com especialização em politicas sociais</t>
  </si>
  <si>
    <t>Engenheiro Agrônomo</t>
  </si>
  <si>
    <t>KIT (massagem terapêutica)</t>
  </si>
  <si>
    <t>061</t>
  </si>
  <si>
    <t>070</t>
  </si>
  <si>
    <t xml:space="preserve">SINAPI </t>
  </si>
  <si>
    <t>Apito (12 unidades)</t>
  </si>
  <si>
    <t>Psicologa</t>
  </si>
  <si>
    <t>Locação de carrinho de picolé</t>
  </si>
  <si>
    <t>023</t>
  </si>
  <si>
    <t>Kit</t>
  </si>
  <si>
    <t>CREA</t>
  </si>
  <si>
    <t>Administração Indireta</t>
  </si>
  <si>
    <t>SINCON/MT</t>
  </si>
  <si>
    <t>Barbante (500g)</t>
  </si>
  <si>
    <t>Automaquiagem (Curso completo)</t>
  </si>
  <si>
    <t>Manicure/pedicure (Curso completo)</t>
  </si>
  <si>
    <t xml:space="preserve">Caixa </t>
  </si>
  <si>
    <t>KITS</t>
  </si>
  <si>
    <t>KIT 01 - Material para os alunos Cupcake e bolo de pote</t>
  </si>
  <si>
    <t>KIT 02 - Material de uso coletivo Cupcake e bolo de pote</t>
  </si>
  <si>
    <t>KIT</t>
  </si>
  <si>
    <t xml:space="preserve">Administrador (Técnico de Apoio) </t>
  </si>
  <si>
    <t>041</t>
  </si>
  <si>
    <t>Clips galvanizado</t>
  </si>
  <si>
    <t>KIT 02 - Oficina de como manter vasos e canteiros de plantas medicinais. Material de uso coletivo (brita, adulbos, umus e terra preta)</t>
  </si>
  <si>
    <t>KIT 01 - Oficina de como manter vasos e canteiros de plantas medicinais. Materias dos alunos ( floreira, sementes, mudas ornamentais e medicinais)</t>
  </si>
  <si>
    <t>KIT 01 - Material de uso coletivo para o curso de bordado em chinelos ( descrição nos orçamentos e PTS)</t>
  </si>
  <si>
    <t>KIT 02 - Material para os alunos curso de chinelos (descrição nos orçamentos e PTS)</t>
  </si>
  <si>
    <t>Certificados para cursos</t>
  </si>
  <si>
    <t>031</t>
  </si>
  <si>
    <t>032</t>
  </si>
  <si>
    <t>KIT 01 - Material oficina de limpeza (descrição nos orçamentos e PTS)</t>
  </si>
  <si>
    <t xml:space="preserve">KIT 02 - Vasilhame p/ oficina de limpeza (descrição nos orçamentos e PTS) </t>
  </si>
  <si>
    <t>Brindes ( descrição nos orçamentos e PTS)</t>
  </si>
  <si>
    <t>Instrutor/Monitor (Educação Fisíca)</t>
  </si>
  <si>
    <t>Informativos 04 pgs, 15x21 cm, 4 cores, tinta escala em couche</t>
  </si>
  <si>
    <t>Cartilha/Miolo: 20 pgs. 15x21cm, 4 cores, tinta escala em couche</t>
  </si>
  <si>
    <t>Apostilas com figuras ilustrativas (08 páginas)</t>
  </si>
  <si>
    <t xml:space="preserve">Confecção de camisetas </t>
  </si>
  <si>
    <t>SINE</t>
  </si>
  <si>
    <t>Corretivo líquido a base de água 18ml</t>
  </si>
  <si>
    <t xml:space="preserve">Arquiteto </t>
  </si>
  <si>
    <t>Economista</t>
  </si>
  <si>
    <t>KIT - Material de higiêne bucal</t>
  </si>
  <si>
    <t>MÊS 08 - INFORMAÇÕES/ PALESTRA E GERAÇÃO E RENDA</t>
  </si>
  <si>
    <t>MÊS 09 - GERAÇÃO DE RENDA E INFORMAÇÕES/PALESTRA</t>
  </si>
  <si>
    <t>MÊS 10 - INFORMAÇÕES/AÇÃO DE SAÚDE</t>
  </si>
  <si>
    <t>MÊS 11 - INFORMAÇÕES/PALESTRA E GERAÇÃO E RENDA</t>
  </si>
  <si>
    <t>MÊS 14 - INFORMAÇÕES/SAÚDE E PALESTRA</t>
  </si>
  <si>
    <t>MÊS 16 - INFORMAÇÕES/PESQUISA DE PÓS INTERVENÇÃO</t>
  </si>
  <si>
    <t>MÊS 17 - INFORMAÇÕES/SISTEMATIZAÇÃO DE DADOS</t>
  </si>
  <si>
    <t>MÊS 15 - INFORMAÇÕES/PALESTRA E REUNIÃO DE ENCERRAMENTO</t>
  </si>
  <si>
    <t>MÊS 18 - INFORMAÇÕES/SISTEMATIZAÇÃO DE DADOS</t>
  </si>
  <si>
    <t>Andrelina Nunes Da Silva</t>
  </si>
  <si>
    <t>Assistente Social CRESS/MT nº 3928</t>
  </si>
  <si>
    <t>Luiz Celso Moraes de Oliveira</t>
  </si>
  <si>
    <t>Secretario Mun. Viação e Obras</t>
  </si>
  <si>
    <t>Atividade 02 - Reunião Ampliada Apresentação do Projeto de Trabalho Social Bairro: Jardim Ikaraí</t>
  </si>
  <si>
    <t>Atividade 03 - Reunião Ampliada Apresentação do Projeto de Trabalho Social Bairro: Frutal de Minas e Jardim Paula II</t>
  </si>
  <si>
    <t>Atividade 01 - Reunião Ampliada Apresentação do Projeto de Trabalho Social Bairro: Parque São João e região</t>
  </si>
  <si>
    <t>Atividade 05 -Oficina para melhor idade: Região Parque São João</t>
  </si>
  <si>
    <t>Atividade 06 - Visitas domiciliares: Região Parque São João</t>
  </si>
  <si>
    <t>Atividade 07 - Palestra: Mobilidade Urbana: Região Jardim Ikaraí</t>
  </si>
  <si>
    <t>Atividade 08 - Palestra: Mobilidade Urbana Bairro: Frutal de Minas e Jardim Paula II</t>
  </si>
  <si>
    <t>Atividade 09 - Oficina para melhor idade: Região Jardim Ikaraí</t>
  </si>
  <si>
    <t>Atividade 10 - Visitas domiciliares Região Jardim Ikaraí</t>
  </si>
  <si>
    <t>Atividade 11 - Palestra: Esgotamento Sanitário e o desenvolvimento de meio ambiente: Região Parque São João</t>
  </si>
  <si>
    <t>Atividade 12 - Palestra: Esgotamento Sanitário e o Desenvolvimento de Meio Ambiente: Região Jardim Ikaraí</t>
  </si>
  <si>
    <t>Atividade 13 - Palestra: Esgotamento Sanitário e o Desenvolvimento de meio ambiente: Bairro Frutal de Minas e Jardim Paula II</t>
  </si>
  <si>
    <t>Atividade 14 - Oficina: Produtos de limpeza: Região Parque São João</t>
  </si>
  <si>
    <t>Atividade 15 - Oficina para melhor idade: Região Parque São João</t>
  </si>
  <si>
    <t>Atividade 16 - Plantão Social região Parque São João</t>
  </si>
  <si>
    <t>Atividade 17 - Assembléia para eleição CAO Comissão  Acompanamento da Obra região Parque São João</t>
  </si>
  <si>
    <t>Atividade 18 - Oficina: Produtos de limpeza região Jardim Ikaraí</t>
  </si>
  <si>
    <t>Atividade 19 - Oficina para melhor idade região Jardim Ikaraí</t>
  </si>
  <si>
    <t>Atividade 20 - Plantão Social região Jardim Ikaraí</t>
  </si>
  <si>
    <t>Atividade 21 - Assembléia para eleição CAO Comissão Acompanhamento da Obra região Jardim Ikaraí</t>
  </si>
  <si>
    <t>Atividade 22 - Oficina: Produtos de limpeza Bairro Frutal de Minas e Jardim Paula II</t>
  </si>
  <si>
    <t>Atividade 23 -Segurança pública e cibernética tecnologia, educação, brincar, estudar e navegar com segurança na internet e fazer boletim de ocorrência região Parque São João</t>
  </si>
  <si>
    <t>Atividade 24 - Plantão Social região Parque São João</t>
  </si>
  <si>
    <t>Atividade 25 - Segurança pública e cibernética tecnologia, educação. brincar, estudar e navegar com segurança na internet e fazer boleetim de ocorrência região Jardim Ikaraí</t>
  </si>
  <si>
    <t>Atividade 26 - Plantão Social região Jardim Ikaraí</t>
  </si>
  <si>
    <t>Atividade 27 - Segurança púlblica e cibernética tecnologia, educação, brincar, estudar e navegar com segurança na internet e fazer boletim de ocorrência Bairro: Frutal de Minas e Jardim Paula II</t>
  </si>
  <si>
    <t>Atividade 28 - Oficina como fazer e manter vasos e canteiros de plantas medicinais região Parque São João</t>
  </si>
  <si>
    <t>Atividade 29 - Plantão Social região Parque São João</t>
  </si>
  <si>
    <t>Atividade 30 - Capacitação CAO região Parque São João</t>
  </si>
  <si>
    <t>Atividade 31 - Oficina como fazer e manter vasos e canteiros de plantas medicinais região Jardim Ikaraí</t>
  </si>
  <si>
    <t>Atividade 32 - Plantão Social região Jardim Ikaraí</t>
  </si>
  <si>
    <t>Atividade 33 - Capacitação CAO região Jardim Ikaraí</t>
  </si>
  <si>
    <t>Atividade 34 - Oficina como fazer e manter vasos e canteiros de plantas medicinais: Bairro Frutal de Minas e Jardim Paulal II</t>
  </si>
  <si>
    <t>Atividade 35 - Palestra: Organização e mobilização da comunidade desenvolvimento territorial região Parque São João</t>
  </si>
  <si>
    <t>Atividade 36 - Oficina para melhor idade região  Parque São João</t>
  </si>
  <si>
    <t>Atividade 37 - Plantão Social região Parque São João</t>
  </si>
  <si>
    <t>Atividade 38 - Palestra: Organização e mobilização da comunidade e o desenvolvimento territorial região Jardim Ikaraí</t>
  </si>
  <si>
    <t>Atividade 39 - Oficina para melhor idade região Jardim Ikaraí</t>
  </si>
  <si>
    <t>Atividade 40 - Plantão Social região Jardim Ikaraí</t>
  </si>
  <si>
    <t>Atividade 41 - Palestra: Organização e mobilização da comunidade e o desenvolvimento territorial Bairro Frutal de Minas e Jardim Paula II</t>
  </si>
  <si>
    <t>Atividade 42 - Palestra: Idoso, família, saúde e sociedade região Parque São João</t>
  </si>
  <si>
    <t>Atividade 43 - Palestra: Idoso, família, saúde e sociedade região Jardim Ikaraí</t>
  </si>
  <si>
    <t>Atividade 44 - Palestra: Idoso, família, saúde e sociedade Bairro Frutal de Minas e Jardim Paula II</t>
  </si>
  <si>
    <t>Atividade 45 - Curso: Auto Maquiagem região Parque São João</t>
  </si>
  <si>
    <t>Atividade 46 - Plantão Social região Parque São João</t>
  </si>
  <si>
    <t>Atividade 47 - Curso: Culinária com técnica de congelamento região Parque São João</t>
  </si>
  <si>
    <t>Atividade 48 - Curso: Automaquiagem região Jardim Ikaraí</t>
  </si>
  <si>
    <t>Atividade 49 - Plantão Social região Jardim Ikaraí</t>
  </si>
  <si>
    <t>Atividade 50 - Curso: Culinária com técnica em congelamento região Jardim Ikaraí</t>
  </si>
  <si>
    <t>Atividade 51 - Curso: Cupcake/Bolo de pote região Parque São João</t>
  </si>
  <si>
    <t>Atividade 52 - Curso: Cupcake/Bolo de pote região Jardim Ikaraí</t>
  </si>
  <si>
    <t>Atividade 53 - Curso: Manicure/pedicure região Parque São João</t>
  </si>
  <si>
    <t>Atividade 54 - Visita dos beneficiários com UHs e CAO as obras região Parque São João</t>
  </si>
  <si>
    <t>Atividade 55 - Plantão Social região Parque São João</t>
  </si>
  <si>
    <t>Atividade 56 - Curso: Manicure/pedicure região Jardim Ikaraí</t>
  </si>
  <si>
    <t>Atividade 57 - Visita dos beneficiários com UHs e CAO as obras região Jardim Ikaraí</t>
  </si>
  <si>
    <t>Atividade 58 - Plantão Social região Jardim Ikaraí</t>
  </si>
  <si>
    <t>Atividade 59 - Palestra: Preservação ambiental e combate epedemias (dengue e outros) região Parque São João</t>
  </si>
  <si>
    <t>Atividade 60 - Oficina para melhor idade região Parque São João</t>
  </si>
  <si>
    <t>Atividade 61 - Palestra: Preservação ambiental e combate epidemias (dengue e outros) região Jardim Ikaraí</t>
  </si>
  <si>
    <t>Atividade 62 - Oficina para melhor idade região Jardim Ikaraí</t>
  </si>
  <si>
    <t>Atividade 63 - Palestra: Preservação ambiental e combate epidemia (dengue e outros) Bairro: Frutal de Minas e Jardim Paula II</t>
  </si>
  <si>
    <t>Atividade 64 - Ação de saúde e gincana interativa região Parque São João</t>
  </si>
  <si>
    <t>Atividade 65 - Plantão Social região Parque São João</t>
  </si>
  <si>
    <t>Atividade 66 - Ação de saúde e gincana interativa região Jardim Ikaraí</t>
  </si>
  <si>
    <t>Atividade 67 - Plantão Social região Jardim Ikaraí</t>
  </si>
  <si>
    <t>Atividade 68 - Ação de saúde e gincana interativa Bairro: Frutal de Minas e Jardim PaulaII</t>
  </si>
  <si>
    <t>Atividade 69 - Palestra da família prevenção masculina e feminina região Parque São João</t>
  </si>
  <si>
    <t>Atividade 70 - Palestra: Saúde da família e prevenção masculina e feminina região Jardim Ikaraí</t>
  </si>
  <si>
    <t>Atividade 71 - Palestra: Saúde da família prevenção masculina e feminina Bairro: Frutal de Minas e Jardim Paula II</t>
  </si>
  <si>
    <t>Atividade 72 - Palestra Cidadania direitos e igualdades região Parque São João</t>
  </si>
  <si>
    <t>Atividade 73 - Plantão Social região Parque São João</t>
  </si>
  <si>
    <t>Ativivade 74 - Palestra: Cidadania direitos e igualdades região Jardim Ikaraí</t>
  </si>
  <si>
    <t>Atividade 75 - Plantão Social região Jardim Ikaraí</t>
  </si>
  <si>
    <t>Atividade 76 - Palestra: Cidadania direitos e igualdades Bairro: Frutal de Minas e Jardim Paula II</t>
  </si>
  <si>
    <t>Atividade 77 - Curso: Depilação região Parque São João</t>
  </si>
  <si>
    <t>Atividade 78 - Curso de depilação região Jardim Ikaraí</t>
  </si>
  <si>
    <t>Atividade 79 - Ação comunitária e multirão de limpeza região Parque São João</t>
  </si>
  <si>
    <t>Atividade 80 - Plantão Social região Parque São João</t>
  </si>
  <si>
    <t>Atividade 81 - Ação comunitária e multirão de limpeza região Jardim Ikaraí</t>
  </si>
  <si>
    <t>Atividade 82 - Plantão Social região Jardim Ikaraí</t>
  </si>
  <si>
    <t>Atividade 83 - Ação comunitária e multirão de limpeza Bairro: Frutal de Minas e Jardim Paula II</t>
  </si>
  <si>
    <t>Atividade 84 - Oficina: Primeiros Socorros região Parque São joão</t>
  </si>
  <si>
    <t>Atividade 88 - Plantão Social região Parque São João</t>
  </si>
  <si>
    <t>Atividade 92 - Plantão Social região Jardim Ikaraí</t>
  </si>
  <si>
    <t>Atividade 93 - Curso: Panificação região Parque São João</t>
  </si>
  <si>
    <t>Atividade 94 - Curso: Panificação região Jardim Ikaraí</t>
  </si>
  <si>
    <t>Atividade 95 - Oficina de higiêne bucal região Parque São João</t>
  </si>
  <si>
    <t>Atividade 96 - Plantão Social região Parque São João</t>
  </si>
  <si>
    <t>Atividade 97 - Oficinas de higiêne bucal região Jardim Ikaraí</t>
  </si>
  <si>
    <t>Ativiidade 98 - Plantão Social região Jrdim Ikaraí</t>
  </si>
  <si>
    <t>Atividade 99 - Oficina de higiêne bucal Bairro: Frutal de Minas e Jardim Paula II</t>
  </si>
  <si>
    <t>Atividade 100 - Palestra: Educação financeira orçamento familiar região Parque São João</t>
  </si>
  <si>
    <t>Ativdade 101 - Palestra: Financeira, orçamento familiar região Jardim Ikaraí</t>
  </si>
  <si>
    <t>Atividade 102 - Palestra: Financeira e orçamento familiar Bairro: Frutal de Minas e Jardim Paula II</t>
  </si>
  <si>
    <t>Atividade 103 - Palestra: Cidadania direito convivência sem discriminação e as consequência do uso de drogas região Parque São João</t>
  </si>
  <si>
    <t>Atividade 104 - Plantão Social região Parque São João</t>
  </si>
  <si>
    <t>Atividade 105 - Palestra: Cidadania direitos e convivência sem discriminação e as consequências do uso de drogas região Jardim Ikaraí</t>
  </si>
  <si>
    <t>Atividade 106 - Plantão Social região Jardim Ikaraí</t>
  </si>
  <si>
    <t>Atividade 107 - Plaestra: Cidadania direito e convivência sem discriminação e as consequência de uso das drogas Bairro: Frutal de Minas e Jardim Paula II</t>
  </si>
  <si>
    <t>Atividade 85 - Reunião para o sorteio, entrega das chaves emanual do beneficiário região Parque São João</t>
  </si>
  <si>
    <t>Atividade 91 - Curso: Bordado em Chinelos região Jardim Ikaraí</t>
  </si>
  <si>
    <t>Atividade 86 -Reunião para o sorteio, entrega das chaves e manual dos beneficiários região Jardim Ikaraí</t>
  </si>
  <si>
    <t>MÊS 13 - GERAÇÃO DE RENDA/SAÚDE E INFORMAÇÕES</t>
  </si>
  <si>
    <t>Atividade 87 - Curso: Bordado em Chinelo região Parque São João</t>
  </si>
  <si>
    <t>Atividade 89 - Oficina: Primeiros Socorros região Jardim Ikaraí</t>
  </si>
  <si>
    <t>Atividade 90 - Oficina: Primeiros Socorros Bairro: Frutal de Minas e Jardim Paula II</t>
  </si>
  <si>
    <t>MÊS 12 AÇÃO COMUNITÁRIA/SAÚDE E INFORMAÇÕES</t>
  </si>
  <si>
    <t>Atividade 109 - Aplicação dos formulários de pesquisa pós intervenção e tabulação dos dados região Parque São João</t>
  </si>
  <si>
    <t>Atividade 108 - Elaboração e impressão dos formulários de pesquisa pós intervenção e tabulação dos dados regiões Parque Sõ João e Jardim Ikaraí</t>
  </si>
  <si>
    <t>Atividade 110 - Aplicação dos formulários de pesquisa pós intervenção e tabulação dos dados região Jardim Ikaraí</t>
  </si>
  <si>
    <t>Atividade 111 - Aplicação dos formulários de pesquisa pós intervenção e tabulação dos dados região Parque São João</t>
  </si>
  <si>
    <t>Atividade - 112 - Aplicação dos formulários de pesquisa pós intervenção e tabulação dos dados região Jardim Ikaraí</t>
  </si>
  <si>
    <t>Atividade 113 - Pesquisa de pós intervenção das UHs e tabulação dos dados regiões Parque São João e Jardim Ikaraí</t>
  </si>
  <si>
    <t>Atividade 114 - Reunião de encerramento do PTS região Parque São João</t>
  </si>
  <si>
    <t>Atividade 115 - Reunião de  encerramento do PTS região Jardim Ikaraí</t>
  </si>
  <si>
    <t>Atividade 116 - Reunião de encerramento do PTS bairro: Frutal e Minas e Jardim Paula II</t>
  </si>
</sst>
</file>

<file path=xl/styles.xml><?xml version="1.0" encoding="utf-8"?>
<styleSheet xmlns="http://schemas.openxmlformats.org/spreadsheetml/2006/main">
  <numFmts count="7"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[$-416]mmm\-yy;@"/>
    <numFmt numFmtId="167" formatCode="[$-F800]dddd\,\ mmmm\ dd\,\ yyyy"/>
    <numFmt numFmtId="168" formatCode="dd\ &quot;de&quot;\ mmmm\ &quot;de&quot;\ yyyy"/>
    <numFmt numFmtId="169" formatCode="General;General;"/>
    <numFmt numFmtId="170" formatCode="&quot;R$&quot;\ #,##0.00;&quot;R$&quot;\ #,##0.00;"/>
  </numFmts>
  <fonts count="50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4"/>
      <color indexed="9"/>
      <name val="Arial Black"/>
      <family val="2"/>
    </font>
    <font>
      <sz val="8"/>
      <name val="Arial"/>
      <family val="2"/>
    </font>
    <font>
      <b/>
      <sz val="11"/>
      <name val="Arial"/>
      <family val="2"/>
    </font>
    <font>
      <sz val="8"/>
      <color indexed="9"/>
      <name val="Arial"/>
      <family val="2"/>
    </font>
    <font>
      <sz val="10"/>
      <color indexed="9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4"/>
      <color indexed="9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0"/>
      <color indexed="23"/>
      <name val="Arial"/>
      <family val="2"/>
    </font>
    <font>
      <sz val="8"/>
      <name val="Arial"/>
      <family val="2"/>
    </font>
    <font>
      <sz val="11"/>
      <name val="Arial"/>
      <family val="2"/>
    </font>
    <font>
      <sz val="10"/>
      <name val="Calibri"/>
      <family val="2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2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sz val="9"/>
      <color indexed="81"/>
      <name val="Arial"/>
      <family val="2"/>
    </font>
    <font>
      <sz val="9"/>
      <color indexed="81"/>
      <name val="Segoe U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Segoe UI"/>
      <family val="2"/>
    </font>
    <font>
      <sz val="10"/>
      <color rgb="FF00000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87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10" fillId="3" borderId="0" applyNumberFormat="0" applyBorder="0" applyAlignment="0" applyProtection="0"/>
    <xf numFmtId="0" fontId="5" fillId="4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3" applyNumberFormat="0" applyFill="0" applyAlignment="0" applyProtection="0"/>
    <xf numFmtId="0" fontId="7" fillId="21" borderId="2" applyNumberFormat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9" fillId="7" borderId="1" applyNumberFormat="0" applyAlignment="0" applyProtection="0"/>
    <xf numFmtId="0" fontId="3" fillId="0" borderId="0"/>
    <xf numFmtId="0" fontId="14" fillId="0" borderId="0" applyNumberFormat="0" applyFill="0" applyBorder="0" applyAlignment="0" applyProtection="0"/>
    <xf numFmtId="0" fontId="5" fillId="4" borderId="0" applyNumberFormat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9" fillId="7" borderId="1" applyNumberFormat="0" applyAlignment="0" applyProtection="0"/>
    <xf numFmtId="0" fontId="8" fillId="0" borderId="3" applyNumberFormat="0" applyFill="0" applyAlignment="0" applyProtection="0"/>
    <xf numFmtId="165" fontId="1" fillId="0" borderId="0" applyFont="0" applyFill="0" applyBorder="0" applyAlignment="0" applyProtection="0"/>
    <xf numFmtId="0" fontId="11" fillId="22" borderId="0" applyNumberFormat="0" applyBorder="0" applyAlignment="0" applyProtection="0"/>
    <xf numFmtId="0" fontId="1" fillId="0" borderId="0"/>
    <xf numFmtId="0" fontId="46" fillId="0" borderId="0"/>
    <xf numFmtId="0" fontId="2" fillId="0" borderId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12" fillId="20" borderId="8" applyNumberFormat="0" applyAlignment="0" applyProtection="0"/>
    <xf numFmtId="9" fontId="1" fillId="0" borderId="0" applyFont="0" applyFill="0" applyBorder="0" applyAlignment="0" applyProtection="0"/>
    <xf numFmtId="0" fontId="12" fillId="20" borderId="8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164" fontId="1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297">
    <xf numFmtId="0" fontId="0" fillId="0" borderId="0" xfId="0"/>
    <xf numFmtId="0" fontId="0" fillId="0" borderId="0" xfId="0" applyProtection="1"/>
    <xf numFmtId="0" fontId="1" fillId="0" borderId="0" xfId="0" applyFont="1"/>
    <xf numFmtId="0" fontId="20" fillId="0" borderId="0" xfId="0" applyFont="1"/>
    <xf numFmtId="0" fontId="1" fillId="0" borderId="0" xfId="0" applyFont="1" applyAlignment="1" applyProtection="1">
      <alignment horizontal="center"/>
    </xf>
    <xf numFmtId="0" fontId="0" fillId="0" borderId="0" xfId="0" applyAlignment="1" applyProtection="1">
      <alignment horizontal="left"/>
    </xf>
    <xf numFmtId="0" fontId="1" fillId="0" borderId="0" xfId="0" applyFont="1" applyAlignment="1">
      <alignment horizontal="center"/>
    </xf>
    <xf numFmtId="49" fontId="22" fillId="24" borderId="10" xfId="0" applyNumberFormat="1" applyFont="1" applyFill="1" applyBorder="1" applyAlignment="1" applyProtection="1">
      <alignment horizontal="center" vertical="center"/>
    </xf>
    <xf numFmtId="164" fontId="22" fillId="24" borderId="10" xfId="85" applyNumberFormat="1" applyFont="1" applyFill="1" applyBorder="1" applyAlignment="1" applyProtection="1">
      <alignment horizontal="center" vertical="center"/>
    </xf>
    <xf numFmtId="10" fontId="22" fillId="24" borderId="10" xfId="74" applyNumberFormat="1" applyFont="1" applyFill="1" applyBorder="1" applyAlignment="1" applyProtection="1">
      <alignment horizontal="center" vertical="center"/>
    </xf>
    <xf numFmtId="0" fontId="1" fillId="0" borderId="0" xfId="0" applyFont="1" applyBorder="1"/>
    <xf numFmtId="0" fontId="0" fillId="0" borderId="0" xfId="0" applyFill="1" applyProtection="1"/>
    <xf numFmtId="0" fontId="0" fillId="0" borderId="0" xfId="0" applyFill="1" applyAlignment="1" applyProtection="1">
      <alignment horizontal="left"/>
    </xf>
    <xf numFmtId="0" fontId="1" fillId="0" borderId="0" xfId="0" applyFont="1" applyFill="1" applyAlignment="1" applyProtection="1">
      <alignment horizontal="center"/>
    </xf>
    <xf numFmtId="0" fontId="1" fillId="0" borderId="0" xfId="0" applyFont="1" applyFill="1" applyBorder="1" applyAlignment="1" applyProtection="1">
      <alignment wrapText="1"/>
    </xf>
    <xf numFmtId="0" fontId="0" fillId="0" borderId="0" xfId="0" applyFill="1" applyAlignment="1" applyProtection="1">
      <alignment horizontal="left" wrapText="1"/>
    </xf>
    <xf numFmtId="0" fontId="1" fillId="0" borderId="0" xfId="0" applyFont="1" applyFill="1" applyBorder="1" applyAlignment="1" applyProtection="1">
      <alignment horizontal="left" wrapText="1" indent="2"/>
    </xf>
    <xf numFmtId="0" fontId="0" fillId="0" borderId="0" xfId="0" applyFill="1" applyAlignment="1" applyProtection="1">
      <alignment horizontal="center"/>
    </xf>
    <xf numFmtId="0" fontId="0" fillId="0" borderId="0" xfId="0" applyAlignment="1" applyProtection="1">
      <alignment horizontal="left" indent="2"/>
    </xf>
    <xf numFmtId="14" fontId="26" fillId="0" borderId="0" xfId="0" applyNumberFormat="1" applyFont="1" applyFill="1" applyBorder="1" applyAlignment="1" applyProtection="1">
      <alignment vertical="top" wrapText="1"/>
    </xf>
    <xf numFmtId="0" fontId="0" fillId="0" borderId="0" xfId="0" applyProtection="1">
      <protection hidden="1"/>
    </xf>
    <xf numFmtId="0" fontId="1" fillId="0" borderId="0" xfId="0" applyFont="1" applyProtection="1">
      <protection hidden="1"/>
    </xf>
    <xf numFmtId="0" fontId="22" fillId="0" borderId="0" xfId="0" applyFont="1" applyFill="1" applyBorder="1" applyAlignment="1" applyProtection="1">
      <alignment wrapText="1"/>
      <protection hidden="1"/>
    </xf>
    <xf numFmtId="0" fontId="22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Protection="1">
      <protection hidden="1"/>
    </xf>
    <xf numFmtId="0" fontId="2" fillId="0" borderId="0" xfId="0" applyFont="1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left" wrapText="1"/>
    </xf>
    <xf numFmtId="0" fontId="1" fillId="0" borderId="0" xfId="0" applyFont="1" applyFill="1" applyBorder="1" applyAlignment="1" applyProtection="1">
      <alignment horizontal="left" wrapText="1" indent="1"/>
    </xf>
    <xf numFmtId="0" fontId="22" fillId="0" borderId="0" xfId="0" applyFont="1" applyFill="1" applyBorder="1" applyAlignment="1" applyProtection="1">
      <alignment horizontal="left" wrapText="1" indent="1"/>
    </xf>
    <xf numFmtId="0" fontId="22" fillId="0" borderId="0" xfId="0" applyFont="1" applyAlignment="1" applyProtection="1">
      <alignment horizontal="left" indent="1"/>
    </xf>
    <xf numFmtId="0" fontId="22" fillId="0" borderId="11" xfId="0" applyFont="1" applyBorder="1" applyAlignment="1" applyProtection="1">
      <alignment horizontal="center" vertical="center" wrapText="1"/>
    </xf>
    <xf numFmtId="0" fontId="22" fillId="0" borderId="11" xfId="0" applyFont="1" applyBorder="1" applyAlignment="1" applyProtection="1">
      <alignment horizontal="center" vertical="center"/>
    </xf>
    <xf numFmtId="0" fontId="22" fillId="24" borderId="11" xfId="0" applyNumberFormat="1" applyFont="1" applyFill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/>
    </xf>
    <xf numFmtId="0" fontId="22" fillId="0" borderId="13" xfId="0" applyFont="1" applyBorder="1" applyAlignment="1" applyProtection="1">
      <alignment horizontal="center"/>
    </xf>
    <xf numFmtId="0" fontId="1" fillId="0" borderId="0" xfId="0" applyFont="1" applyFill="1"/>
    <xf numFmtId="0" fontId="3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top"/>
    </xf>
    <xf numFmtId="0" fontId="1" fillId="0" borderId="0" xfId="0" applyFont="1" applyProtection="1"/>
    <xf numFmtId="0" fontId="1" fillId="0" borderId="14" xfId="0" applyFont="1" applyBorder="1"/>
    <xf numFmtId="0" fontId="22" fillId="24" borderId="10" xfId="0" applyNumberFormat="1" applyFont="1" applyFill="1" applyBorder="1" applyAlignment="1" applyProtection="1">
      <alignment horizontal="center" vertical="center" wrapText="1"/>
    </xf>
    <xf numFmtId="0" fontId="1" fillId="0" borderId="15" xfId="0" applyFont="1" applyBorder="1"/>
    <xf numFmtId="0" fontId="28" fillId="0" borderId="16" xfId="0" applyFont="1" applyBorder="1" applyAlignment="1" applyProtection="1">
      <alignment horizontal="left" vertical="center"/>
    </xf>
    <xf numFmtId="164" fontId="22" fillId="24" borderId="17" xfId="85" applyNumberFormat="1" applyFont="1" applyFill="1" applyBorder="1" applyAlignment="1" applyProtection="1">
      <alignment horizontal="center" vertical="center" shrinkToFit="1"/>
    </xf>
    <xf numFmtId="0" fontId="21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3" fontId="0" fillId="25" borderId="18" xfId="0" applyNumberFormat="1" applyFill="1" applyBorder="1" applyAlignment="1" applyProtection="1">
      <alignment horizontal="left"/>
    </xf>
    <xf numFmtId="0" fontId="1" fillId="25" borderId="19" xfId="0" applyFont="1" applyFill="1" applyBorder="1" applyAlignment="1" applyProtection="1">
      <alignment horizontal="left"/>
    </xf>
    <xf numFmtId="0" fontId="22" fillId="0" borderId="0" xfId="0" applyFont="1"/>
    <xf numFmtId="0" fontId="0" fillId="0" borderId="0" xfId="0" applyAlignment="1" applyProtection="1">
      <alignment horizontal="center"/>
    </xf>
    <xf numFmtId="0" fontId="22" fillId="0" borderId="0" xfId="0" applyFont="1" applyFill="1" applyBorder="1" applyAlignment="1" applyProtection="1">
      <alignment horizontal="center" vertical="center" wrapText="1"/>
    </xf>
    <xf numFmtId="0" fontId="0" fillId="0" borderId="0" xfId="0" applyBorder="1"/>
    <xf numFmtId="0" fontId="1" fillId="0" borderId="0" xfId="0" applyFont="1" applyFill="1" applyBorder="1"/>
    <xf numFmtId="0" fontId="1" fillId="0" borderId="0" xfId="0" applyFont="1" applyAlignment="1">
      <alignment wrapText="1"/>
    </xf>
    <xf numFmtId="10" fontId="22" fillId="24" borderId="10" xfId="85" applyNumberFormat="1" applyFont="1" applyFill="1" applyBorder="1" applyAlignment="1" applyProtection="1">
      <alignment horizontal="center" vertical="center"/>
    </xf>
    <xf numFmtId="0" fontId="22" fillId="0" borderId="14" xfId="0" applyFont="1" applyBorder="1"/>
    <xf numFmtId="0" fontId="32" fillId="0" borderId="20" xfId="0" applyFont="1" applyBorder="1" applyAlignment="1" applyProtection="1">
      <alignment horizontal="center" vertical="center" wrapText="1"/>
    </xf>
    <xf numFmtId="0" fontId="27" fillId="0" borderId="0" xfId="0" applyFont="1" applyAlignment="1" applyProtection="1">
      <alignment horizontal="center" vertical="center" wrapText="1"/>
    </xf>
    <xf numFmtId="10" fontId="28" fillId="26" borderId="0" xfId="74" applyNumberFormat="1" applyFont="1" applyFill="1" applyBorder="1" applyAlignment="1" applyProtection="1">
      <alignment horizontal="center" vertical="center"/>
      <protection locked="0" hidden="1"/>
    </xf>
    <xf numFmtId="0" fontId="27" fillId="0" borderId="0" xfId="0" applyFont="1" applyAlignment="1" applyProtection="1">
      <alignment horizontal="center"/>
    </xf>
    <xf numFmtId="0" fontId="25" fillId="0" borderId="21" xfId="0" applyFont="1" applyFill="1" applyBorder="1" applyAlignment="1" applyProtection="1">
      <alignment horizontal="center" vertical="center" wrapText="1"/>
    </xf>
    <xf numFmtId="4" fontId="25" fillId="27" borderId="21" xfId="85" applyNumberFormat="1" applyFont="1" applyFill="1" applyBorder="1" applyAlignment="1" applyProtection="1">
      <alignment horizontal="center" vertical="center" shrinkToFit="1"/>
    </xf>
    <xf numFmtId="10" fontId="25" fillId="28" borderId="0" xfId="74" applyNumberFormat="1" applyFont="1" applyFill="1" applyBorder="1" applyAlignment="1" applyProtection="1">
      <alignment horizontal="center" vertical="center" shrinkToFit="1"/>
    </xf>
    <xf numFmtId="4" fontId="25" fillId="28" borderId="21" xfId="85" applyNumberFormat="1" applyFont="1" applyFill="1" applyBorder="1" applyAlignment="1" applyProtection="1">
      <alignment horizontal="center" vertical="center" shrinkToFit="1"/>
    </xf>
    <xf numFmtId="0" fontId="1" fillId="0" borderId="14" xfId="0" applyFont="1" applyFill="1" applyBorder="1" applyProtection="1"/>
    <xf numFmtId="0" fontId="1" fillId="0" borderId="14" xfId="0" applyFont="1" applyFill="1" applyBorder="1" applyAlignment="1" applyProtection="1">
      <alignment horizontal="center"/>
    </xf>
    <xf numFmtId="0" fontId="22" fillId="27" borderId="19" xfId="0" applyFont="1" applyFill="1" applyBorder="1" applyAlignment="1" applyProtection="1">
      <alignment horizontal="center" vertical="center"/>
    </xf>
    <xf numFmtId="0" fontId="22" fillId="28" borderId="16" xfId="0" applyFont="1" applyFill="1" applyBorder="1" applyAlignment="1" applyProtection="1">
      <alignment horizontal="center" vertical="center"/>
    </xf>
    <xf numFmtId="0" fontId="22" fillId="28" borderId="19" xfId="0" applyFont="1" applyFill="1" applyBorder="1" applyAlignment="1" applyProtection="1">
      <alignment horizontal="center" vertical="center"/>
    </xf>
    <xf numFmtId="0" fontId="0" fillId="26" borderId="11" xfId="0" applyFont="1" applyFill="1" applyBorder="1" applyAlignment="1" applyProtection="1">
      <alignment horizontal="center" vertical="center"/>
      <protection locked="0"/>
    </xf>
    <xf numFmtId="0" fontId="32" fillId="0" borderId="0" xfId="0" applyFont="1" applyAlignment="1" applyProtection="1">
      <alignment horizontal="center" wrapText="1"/>
    </xf>
    <xf numFmtId="0" fontId="0" fillId="0" borderId="0" xfId="0" applyAlignment="1">
      <alignment horizontal="center"/>
    </xf>
    <xf numFmtId="0" fontId="33" fillId="24" borderId="22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/>
      <protection locked="0"/>
    </xf>
    <xf numFmtId="0" fontId="22" fillId="0" borderId="19" xfId="0" applyFont="1" applyFill="1" applyBorder="1" applyAlignment="1" applyProtection="1">
      <alignment horizontal="center" vertical="center" wrapText="1" shrinkToFit="1"/>
    </xf>
    <xf numFmtId="0" fontId="22" fillId="27" borderId="16" xfId="0" applyFont="1" applyFill="1" applyBorder="1" applyAlignment="1" applyProtection="1">
      <alignment horizontal="center" vertical="center"/>
    </xf>
    <xf numFmtId="10" fontId="28" fillId="0" borderId="0" xfId="74" applyNumberFormat="1" applyFont="1" applyFill="1" applyBorder="1" applyAlignment="1" applyProtection="1">
      <alignment horizontal="center" vertical="center"/>
    </xf>
    <xf numFmtId="4" fontId="28" fillId="0" borderId="0" xfId="74" applyNumberFormat="1" applyFont="1" applyFill="1" applyBorder="1" applyAlignment="1" applyProtection="1">
      <alignment horizontal="center" vertical="center"/>
    </xf>
    <xf numFmtId="0" fontId="1" fillId="0" borderId="16" xfId="0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 applyProtection="1">
      <alignment horizontal="center" vertical="center"/>
    </xf>
    <xf numFmtId="0" fontId="23" fillId="0" borderId="0" xfId="0" applyFont="1" applyFill="1" applyAlignment="1" applyProtection="1">
      <alignment vertical="center"/>
    </xf>
    <xf numFmtId="0" fontId="21" fillId="0" borderId="0" xfId="0" applyFont="1" applyAlignment="1" applyProtection="1">
      <alignment horizontal="right" vertical="center"/>
    </xf>
    <xf numFmtId="0" fontId="21" fillId="0" borderId="0" xfId="0" applyFont="1" applyAlignment="1" applyProtection="1">
      <alignment horizontal="left" vertical="center"/>
    </xf>
    <xf numFmtId="0" fontId="0" fillId="0" borderId="0" xfId="0" applyFill="1" applyAlignment="1" applyProtection="1">
      <alignment horizontal="center" vertical="top"/>
    </xf>
    <xf numFmtId="0" fontId="29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center" wrapText="1"/>
    </xf>
    <xf numFmtId="0" fontId="34" fillId="0" borderId="0" xfId="0" applyFont="1" applyAlignment="1" applyProtection="1">
      <alignment wrapText="1"/>
    </xf>
    <xf numFmtId="0" fontId="0" fillId="0" borderId="0" xfId="0" applyNumberFormat="1" applyProtection="1"/>
    <xf numFmtId="0" fontId="22" fillId="0" borderId="0" xfId="0" applyFont="1" applyFill="1" applyBorder="1" applyAlignment="1" applyProtection="1">
      <alignment horizontal="center" wrapText="1"/>
    </xf>
    <xf numFmtId="0" fontId="25" fillId="0" borderId="12" xfId="0" applyFont="1" applyFill="1" applyBorder="1" applyAlignment="1" applyProtection="1">
      <alignment horizontal="center" vertical="center"/>
    </xf>
    <xf numFmtId="0" fontId="25" fillId="0" borderId="12" xfId="0" applyFont="1" applyFill="1" applyBorder="1" applyAlignment="1" applyProtection="1">
      <alignment horizontal="center" vertical="center" wrapText="1"/>
    </xf>
    <xf numFmtId="0" fontId="25" fillId="0" borderId="23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/>
    </xf>
    <xf numFmtId="4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Protection="1"/>
    <xf numFmtId="0" fontId="1" fillId="0" borderId="0" xfId="0" applyFont="1" applyBorder="1" applyProtection="1"/>
    <xf numFmtId="0" fontId="2" fillId="0" borderId="0" xfId="0" applyFont="1" applyProtection="1"/>
    <xf numFmtId="0" fontId="1" fillId="0" borderId="0" xfId="0" applyFont="1" applyBorder="1" applyAlignment="1" applyProtection="1">
      <alignment vertical="top"/>
    </xf>
    <xf numFmtId="0" fontId="22" fillId="0" borderId="0" xfId="0" applyFont="1" applyBorder="1" applyAlignment="1" applyProtection="1">
      <alignment vertical="center"/>
    </xf>
    <xf numFmtId="4" fontId="2" fillId="0" borderId="0" xfId="0" applyNumberFormat="1" applyFont="1" applyProtection="1"/>
    <xf numFmtId="0" fontId="22" fillId="0" borderId="14" xfId="0" applyFont="1" applyFill="1" applyBorder="1" applyAlignment="1" applyProtection="1">
      <alignment horizontal="left" vertical="center"/>
    </xf>
    <xf numFmtId="0" fontId="1" fillId="0" borderId="14" xfId="0" applyFont="1" applyBorder="1" applyProtection="1"/>
    <xf numFmtId="0" fontId="1" fillId="0" borderId="0" xfId="0" applyFont="1" applyBorder="1" applyAlignment="1" applyProtection="1">
      <alignment horizontal="center"/>
    </xf>
    <xf numFmtId="0" fontId="22" fillId="0" borderId="16" xfId="0" applyFont="1" applyFill="1" applyBorder="1" applyAlignment="1" applyProtection="1">
      <alignment wrapText="1"/>
    </xf>
    <xf numFmtId="0" fontId="0" fillId="0" borderId="16" xfId="0" applyBorder="1" applyProtection="1"/>
    <xf numFmtId="0" fontId="0" fillId="0" borderId="16" xfId="0" quotePrefix="1" applyBorder="1" applyProtection="1"/>
    <xf numFmtId="10" fontId="28" fillId="0" borderId="16" xfId="74" applyNumberFormat="1" applyFont="1" applyFill="1" applyBorder="1" applyAlignment="1" applyProtection="1">
      <alignment horizontal="center" vertical="center"/>
    </xf>
    <xf numFmtId="4" fontId="28" fillId="0" borderId="16" xfId="74" applyNumberFormat="1" applyFont="1" applyFill="1" applyBorder="1" applyAlignment="1" applyProtection="1">
      <alignment horizontal="center" vertical="center"/>
    </xf>
    <xf numFmtId="4" fontId="25" fillId="27" borderId="19" xfId="85" applyNumberFormat="1" applyFont="1" applyFill="1" applyBorder="1" applyAlignment="1" applyProtection="1">
      <alignment horizontal="center" vertical="center" shrinkToFit="1"/>
    </xf>
    <xf numFmtId="10" fontId="25" fillId="28" borderId="16" xfId="74" applyNumberFormat="1" applyFont="1" applyFill="1" applyBorder="1" applyAlignment="1" applyProtection="1">
      <alignment horizontal="center" vertical="center" shrinkToFit="1"/>
    </xf>
    <xf numFmtId="4" fontId="25" fillId="28" borderId="19" xfId="85" applyNumberFormat="1" applyFont="1" applyFill="1" applyBorder="1" applyAlignment="1" applyProtection="1">
      <alignment horizontal="center" vertical="center" shrinkToFit="1"/>
    </xf>
    <xf numFmtId="10" fontId="28" fillId="26" borderId="16" xfId="74" applyNumberFormat="1" applyFont="1" applyFill="1" applyBorder="1" applyAlignment="1" applyProtection="1">
      <alignment horizontal="center" vertical="center"/>
      <protection locked="0" hidden="1"/>
    </xf>
    <xf numFmtId="0" fontId="1" fillId="0" borderId="12" xfId="0" applyFont="1" applyFill="1" applyBorder="1" applyAlignment="1" applyProtection="1">
      <alignment horizontal="center" vertical="center"/>
    </xf>
    <xf numFmtId="14" fontId="25" fillId="0" borderId="19" xfId="0" applyNumberFormat="1" applyFont="1" applyFill="1" applyBorder="1" applyAlignment="1" applyProtection="1">
      <alignment horizontal="center" vertical="center" wrapText="1"/>
    </xf>
    <xf numFmtId="0" fontId="1" fillId="0" borderId="24" xfId="0" applyFont="1" applyFill="1" applyBorder="1" applyAlignment="1" applyProtection="1">
      <alignment horizontal="center" vertical="center"/>
    </xf>
    <xf numFmtId="10" fontId="25" fillId="27" borderId="16" xfId="74" applyNumberFormat="1" applyFont="1" applyFill="1" applyBorder="1" applyAlignment="1" applyProtection="1">
      <alignment horizontal="center" vertical="center" shrinkToFit="1"/>
    </xf>
    <xf numFmtId="10" fontId="25" fillId="27" borderId="0" xfId="74" applyNumberFormat="1" applyFont="1" applyFill="1" applyBorder="1" applyAlignment="1" applyProtection="1">
      <alignment horizontal="center" vertical="center" shrinkToFit="1"/>
    </xf>
    <xf numFmtId="4" fontId="28" fillId="0" borderId="15" xfId="74" applyNumberFormat="1" applyFont="1" applyFill="1" applyBorder="1" applyAlignment="1" applyProtection="1">
      <alignment horizontal="center" vertical="center"/>
    </xf>
    <xf numFmtId="0" fontId="1" fillId="0" borderId="12" xfId="0" applyFont="1" applyBorder="1" applyAlignment="1">
      <alignment horizontal="center"/>
    </xf>
    <xf numFmtId="0" fontId="22" fillId="0" borderId="13" xfId="0" applyFont="1" applyBorder="1" applyAlignment="1">
      <alignment horizontal="center"/>
    </xf>
    <xf numFmtId="0" fontId="1" fillId="0" borderId="25" xfId="0" applyNumberFormat="1" applyFont="1" applyFill="1" applyBorder="1" applyAlignment="1" applyProtection="1">
      <alignment vertical="center" wrapText="1" shrinkToFit="1"/>
    </xf>
    <xf numFmtId="49" fontId="1" fillId="0" borderId="26" xfId="0" applyNumberFormat="1" applyFont="1" applyFill="1" applyBorder="1" applyAlignment="1" applyProtection="1">
      <alignment vertical="center" wrapText="1"/>
    </xf>
    <xf numFmtId="164" fontId="1" fillId="0" borderId="26" xfId="85" applyNumberFormat="1" applyFont="1" applyFill="1" applyBorder="1" applyAlignment="1" applyProtection="1">
      <alignment vertical="center" shrinkToFit="1"/>
    </xf>
    <xf numFmtId="164" fontId="1" fillId="0" borderId="26" xfId="85" applyFont="1" applyFill="1" applyBorder="1" applyAlignment="1" applyProtection="1">
      <alignment vertical="center" wrapText="1"/>
    </xf>
    <xf numFmtId="10" fontId="1" fillId="0" borderId="26" xfId="74" applyNumberFormat="1" applyFont="1" applyFill="1" applyBorder="1" applyAlignment="1" applyProtection="1">
      <alignment horizontal="center" vertical="center" wrapText="1"/>
    </xf>
    <xf numFmtId="164" fontId="1" fillId="0" borderId="27" xfId="85" applyNumberFormat="1" applyFont="1" applyFill="1" applyBorder="1" applyAlignment="1" applyProtection="1">
      <alignment horizontal="center" vertical="center" shrinkToFit="1"/>
    </xf>
    <xf numFmtId="0" fontId="1" fillId="0" borderId="0" xfId="0" applyFont="1" applyFill="1" applyAlignment="1">
      <alignment horizontal="center"/>
    </xf>
    <xf numFmtId="0" fontId="1" fillId="0" borderId="26" xfId="0" applyNumberFormat="1" applyFont="1" applyFill="1" applyBorder="1" applyAlignment="1" applyProtection="1">
      <alignment horizontal="center" vertical="center" wrapText="1"/>
    </xf>
    <xf numFmtId="0" fontId="1" fillId="0" borderId="1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70" applyFont="1" applyBorder="1" applyAlignment="1" applyProtection="1">
      <alignment horizontal="left" vertical="top"/>
    </xf>
    <xf numFmtId="0" fontId="2" fillId="0" borderId="28" xfId="0" applyNumberFormat="1" applyFont="1" applyFill="1" applyBorder="1" applyAlignment="1" applyProtection="1">
      <alignment vertical="center" wrapText="1"/>
    </xf>
    <xf numFmtId="10" fontId="1" fillId="0" borderId="26" xfId="85" applyNumberFormat="1" applyFont="1" applyFill="1" applyBorder="1" applyAlignment="1" applyProtection="1">
      <alignment vertical="center" shrinkToFit="1"/>
    </xf>
    <xf numFmtId="164" fontId="1" fillId="0" borderId="26" xfId="85" applyFont="1" applyFill="1" applyBorder="1" applyAlignment="1" applyProtection="1">
      <alignment horizontal="center" vertical="center" wrapText="1"/>
      <protection locked="0"/>
    </xf>
    <xf numFmtId="0" fontId="1" fillId="0" borderId="26" xfId="0" applyNumberFormat="1" applyFont="1" applyFill="1" applyBorder="1" applyAlignment="1" applyProtection="1">
      <alignment vertical="center" wrapText="1"/>
      <protection locked="0"/>
    </xf>
    <xf numFmtId="10" fontId="1" fillId="0" borderId="26" xfId="74" applyNumberFormat="1" applyFont="1" applyFill="1" applyBorder="1" applyAlignment="1" applyProtection="1">
      <alignment horizontal="center" vertical="center" wrapText="1"/>
      <protection locked="0"/>
    </xf>
    <xf numFmtId="169" fontId="1" fillId="0" borderId="26" xfId="0" applyNumberFormat="1" applyFont="1" applyFill="1" applyBorder="1" applyAlignment="1" applyProtection="1">
      <alignment vertical="center" wrapText="1"/>
    </xf>
    <xf numFmtId="169" fontId="1" fillId="0" borderId="26" xfId="0" applyNumberFormat="1" applyFont="1" applyFill="1" applyBorder="1" applyAlignment="1" applyProtection="1">
      <alignment horizontal="center" vertical="center" wrapText="1"/>
    </xf>
    <xf numFmtId="49" fontId="1" fillId="0" borderId="26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10" fontId="0" fillId="0" borderId="0" xfId="74" applyNumberFormat="1" applyFont="1" applyAlignment="1">
      <alignment horizontal="center"/>
    </xf>
    <xf numFmtId="0" fontId="0" fillId="0" borderId="29" xfId="0" applyBorder="1"/>
    <xf numFmtId="0" fontId="22" fillId="0" borderId="30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22" fillId="0" borderId="11" xfId="85" applyFont="1" applyBorder="1" applyAlignment="1">
      <alignment vertical="center"/>
    </xf>
    <xf numFmtId="10" fontId="22" fillId="26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</xf>
    <xf numFmtId="164" fontId="1" fillId="0" borderId="26" xfId="85" applyFont="1" applyFill="1" applyBorder="1" applyAlignment="1" applyProtection="1">
      <alignment horizontal="center" vertical="center" wrapText="1"/>
    </xf>
    <xf numFmtId="0" fontId="38" fillId="0" borderId="11" xfId="69" applyFont="1" applyBorder="1" applyAlignment="1" applyProtection="1">
      <alignment horizontal="center" vertical="center"/>
    </xf>
    <xf numFmtId="0" fontId="38" fillId="0" borderId="22" xfId="69" applyFont="1" applyBorder="1" applyAlignment="1" applyProtection="1">
      <alignment horizontal="center" vertical="center"/>
    </xf>
    <xf numFmtId="0" fontId="38" fillId="0" borderId="22" xfId="69" applyFont="1" applyBorder="1" applyAlignment="1" applyProtection="1">
      <alignment vertical="center" wrapText="1"/>
    </xf>
    <xf numFmtId="0" fontId="38" fillId="0" borderId="17" xfId="69" applyFont="1" applyBorder="1" applyAlignment="1" applyProtection="1">
      <alignment horizontal="center" vertical="center"/>
    </xf>
    <xf numFmtId="0" fontId="39" fillId="0" borderId="11" xfId="69" applyFont="1" applyFill="1" applyBorder="1" applyAlignment="1" applyProtection="1">
      <alignment horizontal="center" vertical="center"/>
    </xf>
    <xf numFmtId="0" fontId="39" fillId="0" borderId="11" xfId="69" quotePrefix="1" applyFont="1" applyFill="1" applyBorder="1" applyAlignment="1" applyProtection="1">
      <alignment horizontal="center" vertical="center"/>
    </xf>
    <xf numFmtId="49" fontId="39" fillId="26" borderId="22" xfId="69" applyNumberFormat="1" applyFont="1" applyFill="1" applyBorder="1" applyAlignment="1" applyProtection="1">
      <alignment horizontal="center" vertical="center" wrapText="1"/>
      <protection locked="0"/>
    </xf>
    <xf numFmtId="49" fontId="39" fillId="26" borderId="22" xfId="69" applyNumberFormat="1" applyFont="1" applyFill="1" applyBorder="1" applyAlignment="1" applyProtection="1">
      <alignment vertical="center" wrapText="1"/>
      <protection locked="0"/>
    </xf>
    <xf numFmtId="49" fontId="39" fillId="26" borderId="11" xfId="69" applyNumberFormat="1" applyFont="1" applyFill="1" applyBorder="1" applyAlignment="1" applyProtection="1">
      <alignment horizontal="center" vertical="center" wrapText="1"/>
      <protection locked="0"/>
    </xf>
    <xf numFmtId="170" fontId="39" fillId="26" borderId="17" xfId="69" applyNumberFormat="1" applyFont="1" applyFill="1" applyBorder="1" applyAlignment="1" applyProtection="1">
      <alignment horizontal="center" vertical="center" wrapText="1"/>
      <protection locked="0"/>
    </xf>
    <xf numFmtId="0" fontId="41" fillId="0" borderId="0" xfId="69" applyFont="1" applyProtection="1">
      <protection locked="0"/>
    </xf>
    <xf numFmtId="0" fontId="41" fillId="0" borderId="0" xfId="69" applyFont="1" applyProtection="1"/>
    <xf numFmtId="0" fontId="41" fillId="0" borderId="0" xfId="69" applyFont="1" applyAlignment="1" applyProtection="1">
      <alignment horizontal="center"/>
    </xf>
    <xf numFmtId="0" fontId="0" fillId="0" borderId="14" xfId="0" applyBorder="1"/>
    <xf numFmtId="0" fontId="0" fillId="0" borderId="14" xfId="0" applyBorder="1" applyAlignment="1">
      <alignment horizontal="center"/>
    </xf>
    <xf numFmtId="169" fontId="0" fillId="0" borderId="32" xfId="0" applyNumberFormat="1" applyBorder="1" applyAlignment="1">
      <alignment wrapText="1"/>
    </xf>
    <xf numFmtId="169" fontId="0" fillId="0" borderId="32" xfId="0" applyNumberFormat="1" applyBorder="1" applyAlignment="1">
      <alignment horizontal="center" wrapText="1"/>
    </xf>
    <xf numFmtId="164" fontId="0" fillId="0" borderId="32" xfId="85" applyFont="1" applyBorder="1" applyAlignment="1">
      <alignment wrapText="1"/>
    </xf>
    <xf numFmtId="10" fontId="0" fillId="0" borderId="32" xfId="74" applyNumberFormat="1" applyFont="1" applyBorder="1" applyAlignment="1">
      <alignment horizontal="center" wrapText="1"/>
    </xf>
    <xf numFmtId="0" fontId="0" fillId="0" borderId="32" xfId="0" applyBorder="1" applyAlignment="1">
      <alignment wrapText="1"/>
    </xf>
    <xf numFmtId="0" fontId="0" fillId="0" borderId="33" xfId="0" applyBorder="1" applyAlignment="1" applyProtection="1">
      <alignment horizontal="center" wrapText="1"/>
      <protection locked="0"/>
    </xf>
    <xf numFmtId="0" fontId="29" fillId="0" borderId="0" xfId="0" applyFont="1"/>
    <xf numFmtId="0" fontId="21" fillId="0" borderId="0" xfId="0" applyFont="1" applyAlignment="1">
      <alignment horizontal="left"/>
    </xf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left"/>
    </xf>
    <xf numFmtId="0" fontId="0" fillId="0" borderId="21" xfId="0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21" xfId="0" applyBorder="1"/>
    <xf numFmtId="0" fontId="29" fillId="0" borderId="0" xfId="0" applyFont="1" applyAlignment="1" applyProtection="1">
      <alignment horizontal="right" vertical="center"/>
    </xf>
    <xf numFmtId="10" fontId="0" fillId="0" borderId="13" xfId="74" applyNumberFormat="1" applyFont="1" applyFill="1" applyBorder="1" applyAlignment="1" applyProtection="1">
      <alignment horizontal="center" vertical="top" wrapText="1"/>
      <protection locked="0"/>
    </xf>
    <xf numFmtId="0" fontId="1" fillId="0" borderId="14" xfId="0" applyFont="1" applyFill="1" applyBorder="1" applyAlignment="1" applyProtection="1">
      <alignment horizontal="left" wrapText="1" indent="2"/>
    </xf>
    <xf numFmtId="0" fontId="2" fillId="0" borderId="0" xfId="70" applyFont="1" applyFill="1" applyBorder="1" applyAlignment="1" applyProtection="1">
      <alignment horizontal="left" vertical="top"/>
    </xf>
    <xf numFmtId="0" fontId="0" fillId="0" borderId="0" xfId="0" applyFill="1" applyBorder="1" applyProtection="1"/>
    <xf numFmtId="0" fontId="22" fillId="0" borderId="12" xfId="70" applyFont="1" applyFill="1" applyBorder="1" applyAlignment="1" applyProtection="1">
      <alignment horizontal="center" vertical="top"/>
    </xf>
    <xf numFmtId="10" fontId="31" fillId="0" borderId="13" xfId="74" applyNumberFormat="1" applyFont="1" applyFill="1" applyBorder="1" applyAlignment="1" applyProtection="1">
      <alignment horizontal="center" vertical="top" wrapText="1"/>
      <protection locked="0"/>
    </xf>
    <xf numFmtId="0" fontId="0" fillId="0" borderId="14" xfId="0" applyFill="1" applyBorder="1" applyAlignment="1" applyProtection="1">
      <alignment horizontal="left" indent="2"/>
    </xf>
    <xf numFmtId="0" fontId="0" fillId="0" borderId="0" xfId="0" applyFill="1" applyAlignment="1" applyProtection="1">
      <alignment horizontal="left" indent="2"/>
    </xf>
    <xf numFmtId="0" fontId="32" fillId="0" borderId="16" xfId="70" applyFont="1" applyFill="1" applyBorder="1" applyAlignment="1" applyProtection="1">
      <alignment horizontal="left" vertical="top"/>
    </xf>
    <xf numFmtId="0" fontId="32" fillId="0" borderId="19" xfId="70" applyFont="1" applyFill="1" applyBorder="1" applyAlignment="1" applyProtection="1">
      <alignment horizontal="left" vertical="top"/>
    </xf>
    <xf numFmtId="0" fontId="0" fillId="0" borderId="0" xfId="0" applyBorder="1" applyAlignment="1">
      <alignment horizontal="center"/>
    </xf>
    <xf numFmtId="169" fontId="1" fillId="0" borderId="26" xfId="0" applyNumberFormat="1" applyFont="1" applyFill="1" applyBorder="1" applyAlignment="1" applyProtection="1">
      <alignment vertical="center" wrapText="1"/>
      <protection locked="0"/>
    </xf>
    <xf numFmtId="0" fontId="39" fillId="0" borderId="11" xfId="69" quotePrefix="1" applyFont="1" applyFill="1" applyBorder="1" applyAlignment="1" applyProtection="1">
      <alignment horizontal="center" vertical="center"/>
      <protection locked="0"/>
    </xf>
    <xf numFmtId="14" fontId="0" fillId="0" borderId="19" xfId="0" applyNumberFormat="1" applyFill="1" applyBorder="1" applyAlignment="1" applyProtection="1">
      <alignment horizontal="center" vertical="top" wrapText="1"/>
      <protection locked="0"/>
    </xf>
    <xf numFmtId="14" fontId="0" fillId="0" borderId="34" xfId="0" applyNumberFormat="1" applyFill="1" applyBorder="1" applyAlignment="1" applyProtection="1">
      <alignment horizontal="center" vertical="top" wrapText="1"/>
      <protection locked="0"/>
    </xf>
    <xf numFmtId="0" fontId="1" fillId="0" borderId="0" xfId="0" applyFont="1" applyFill="1" applyBorder="1" applyAlignment="1" applyProtection="1">
      <alignment horizontal="left" wrapText="1" indent="2"/>
    </xf>
    <xf numFmtId="0" fontId="0" fillId="0" borderId="0" xfId="0" applyAlignment="1" applyProtection="1">
      <alignment horizontal="left" indent="2"/>
    </xf>
    <xf numFmtId="0" fontId="1" fillId="0" borderId="0" xfId="0" applyFont="1" applyFill="1" applyBorder="1" applyAlignment="1" applyProtection="1">
      <alignment horizontal="left" wrapText="1" indent="3"/>
    </xf>
    <xf numFmtId="0" fontId="0" fillId="0" borderId="0" xfId="0" applyAlignment="1" applyProtection="1">
      <alignment horizontal="left" indent="3"/>
    </xf>
    <xf numFmtId="0" fontId="1" fillId="0" borderId="0" xfId="0" applyFont="1" applyAlignment="1" applyProtection="1">
      <alignment horizontal="left" indent="2"/>
    </xf>
    <xf numFmtId="0" fontId="22" fillId="0" borderId="0" xfId="0" applyFont="1" applyFill="1" applyBorder="1" applyAlignment="1" applyProtection="1">
      <alignment horizontal="left" wrapText="1" indent="1"/>
    </xf>
    <xf numFmtId="0" fontId="22" fillId="0" borderId="0" xfId="0" applyFont="1" applyAlignment="1" applyProtection="1">
      <alignment horizontal="left" indent="1"/>
    </xf>
    <xf numFmtId="0" fontId="1" fillId="0" borderId="0" xfId="0" applyFont="1" applyFill="1" applyBorder="1" applyAlignment="1" applyProtection="1">
      <alignment horizontal="left" wrapText="1" indent="8"/>
    </xf>
    <xf numFmtId="0" fontId="1" fillId="0" borderId="0" xfId="0" applyFont="1" applyAlignment="1" applyProtection="1">
      <alignment horizontal="left" indent="8"/>
    </xf>
    <xf numFmtId="0" fontId="1" fillId="0" borderId="0" xfId="0" applyFont="1" applyAlignment="1" applyProtection="1">
      <alignment horizontal="left" indent="3"/>
    </xf>
    <xf numFmtId="0" fontId="1" fillId="0" borderId="0" xfId="0" applyFont="1" applyFill="1" applyBorder="1" applyAlignment="1" applyProtection="1">
      <alignment horizontal="left" wrapText="1" indent="9"/>
    </xf>
    <xf numFmtId="0" fontId="1" fillId="0" borderId="0" xfId="0" applyFont="1" applyAlignment="1" applyProtection="1">
      <alignment horizontal="left" indent="9"/>
    </xf>
    <xf numFmtId="0" fontId="1" fillId="0" borderId="0" xfId="0" applyFont="1" applyFill="1" applyBorder="1" applyAlignment="1" applyProtection="1">
      <alignment horizontal="left" wrapText="1" indent="11"/>
    </xf>
    <xf numFmtId="0" fontId="1" fillId="0" borderId="0" xfId="0" applyFont="1" applyAlignment="1" applyProtection="1">
      <alignment horizontal="left" indent="11"/>
    </xf>
    <xf numFmtId="169" fontId="1" fillId="0" borderId="0" xfId="0" applyNumberFormat="1" applyFont="1" applyFill="1" applyBorder="1" applyAlignment="1" applyProtection="1">
      <alignment horizontal="left"/>
    </xf>
    <xf numFmtId="169" fontId="0" fillId="0" borderId="0" xfId="0" applyNumberFormat="1" applyFill="1" applyBorder="1" applyAlignment="1" applyProtection="1">
      <alignment horizontal="left"/>
    </xf>
    <xf numFmtId="0" fontId="1" fillId="0" borderId="14" xfId="0" applyFont="1" applyFill="1" applyBorder="1" applyAlignment="1" applyProtection="1">
      <alignment horizontal="center"/>
    </xf>
    <xf numFmtId="0" fontId="0" fillId="0" borderId="14" xfId="0" applyFill="1" applyBorder="1" applyAlignment="1" applyProtection="1">
      <alignment horizontal="center"/>
    </xf>
    <xf numFmtId="0" fontId="22" fillId="0" borderId="16" xfId="70" applyFont="1" applyFill="1" applyBorder="1" applyAlignment="1" applyProtection="1">
      <alignment horizontal="left" vertical="top"/>
    </xf>
    <xf numFmtId="0" fontId="22" fillId="0" borderId="0" xfId="70" applyFont="1" applyFill="1" applyBorder="1" applyAlignment="1" applyProtection="1">
      <alignment horizontal="left" vertical="top"/>
    </xf>
    <xf numFmtId="0" fontId="22" fillId="0" borderId="15" xfId="70" applyFont="1" applyFill="1" applyBorder="1" applyAlignment="1" applyProtection="1">
      <alignment horizontal="left" vertical="top"/>
    </xf>
    <xf numFmtId="0" fontId="0" fillId="0" borderId="0" xfId="0" applyFill="1" applyAlignment="1" applyProtection="1">
      <alignment horizontal="left" indent="2"/>
    </xf>
    <xf numFmtId="0" fontId="22" fillId="0" borderId="16" xfId="70" applyFont="1" applyFill="1" applyBorder="1" applyAlignment="1" applyProtection="1">
      <alignment vertical="top"/>
    </xf>
    <xf numFmtId="0" fontId="22" fillId="0" borderId="0" xfId="70" applyFont="1" applyFill="1" applyBorder="1" applyAlignment="1" applyProtection="1">
      <alignment vertical="top"/>
    </xf>
    <xf numFmtId="0" fontId="22" fillId="0" borderId="15" xfId="70" applyFont="1" applyFill="1" applyBorder="1" applyAlignment="1" applyProtection="1">
      <alignment vertical="top"/>
    </xf>
    <xf numFmtId="49" fontId="1" fillId="0" borderId="21" xfId="0" applyNumberFormat="1" applyFont="1" applyFill="1" applyBorder="1" applyAlignment="1" applyProtection="1">
      <alignment horizontal="left"/>
      <protection locked="0"/>
    </xf>
    <xf numFmtId="49" fontId="0" fillId="0" borderId="21" xfId="0" applyNumberFormat="1" applyFill="1" applyBorder="1" applyAlignment="1" applyProtection="1">
      <alignment horizontal="left"/>
      <protection locked="0"/>
    </xf>
    <xf numFmtId="49" fontId="0" fillId="0" borderId="34" xfId="0" applyNumberFormat="1" applyFill="1" applyBorder="1" applyAlignment="1" applyProtection="1">
      <alignment horizontal="left"/>
      <protection locked="0"/>
    </xf>
    <xf numFmtId="3" fontId="1" fillId="0" borderId="19" xfId="0" applyNumberFormat="1" applyFont="1" applyFill="1" applyBorder="1" applyAlignment="1" applyProtection="1">
      <alignment horizontal="left" vertical="top" wrapText="1"/>
      <protection locked="0"/>
    </xf>
    <xf numFmtId="0" fontId="0" fillId="0" borderId="34" xfId="0" applyFill="1" applyBorder="1" applyAlignment="1" applyProtection="1">
      <alignment horizontal="left" vertical="top" wrapText="1"/>
      <protection locked="0"/>
    </xf>
    <xf numFmtId="0" fontId="1" fillId="0" borderId="19" xfId="0" applyFont="1" applyFill="1" applyBorder="1" applyAlignment="1" applyProtection="1">
      <alignment horizontal="left" vertical="top" wrapText="1"/>
      <protection locked="0"/>
    </xf>
    <xf numFmtId="0" fontId="0" fillId="0" borderId="21" xfId="0" applyFill="1" applyBorder="1" applyAlignment="1" applyProtection="1">
      <alignment horizontal="left" vertical="top" wrapText="1"/>
      <protection locked="0"/>
    </xf>
    <xf numFmtId="49" fontId="0" fillId="0" borderId="19" xfId="0" applyNumberFormat="1" applyFill="1" applyBorder="1" applyAlignment="1" applyProtection="1">
      <alignment horizontal="left" vertical="top" wrapText="1"/>
      <protection locked="0"/>
    </xf>
    <xf numFmtId="49" fontId="0" fillId="0" borderId="21" xfId="0" applyNumberFormat="1" applyFill="1" applyBorder="1" applyAlignment="1" applyProtection="1">
      <alignment horizontal="left" vertical="top" wrapText="1"/>
      <protection locked="0"/>
    </xf>
    <xf numFmtId="49" fontId="0" fillId="0" borderId="34" xfId="0" applyNumberFormat="1" applyFill="1" applyBorder="1" applyAlignment="1" applyProtection="1">
      <alignment horizontal="left" vertical="top" wrapText="1"/>
      <protection locked="0"/>
    </xf>
    <xf numFmtId="49" fontId="1" fillId="0" borderId="0" xfId="0" applyNumberFormat="1" applyFont="1" applyFill="1" applyBorder="1" applyAlignment="1" applyProtection="1">
      <alignment horizontal="left"/>
      <protection locked="0"/>
    </xf>
    <xf numFmtId="49" fontId="0" fillId="0" borderId="0" xfId="0" applyNumberFormat="1" applyFill="1" applyBorder="1" applyAlignment="1" applyProtection="1">
      <alignment horizontal="left"/>
      <protection locked="0"/>
    </xf>
    <xf numFmtId="49" fontId="0" fillId="0" borderId="15" xfId="0" applyNumberFormat="1" applyFill="1" applyBorder="1" applyAlignment="1" applyProtection="1">
      <alignment horizontal="left"/>
      <protection locked="0"/>
    </xf>
    <xf numFmtId="49" fontId="1" fillId="0" borderId="15" xfId="0" applyNumberFormat="1" applyFont="1" applyFill="1" applyBorder="1" applyAlignment="1" applyProtection="1">
      <alignment horizontal="left"/>
      <protection locked="0"/>
    </xf>
    <xf numFmtId="0" fontId="21" fillId="25" borderId="14" xfId="0" applyFont="1" applyFill="1" applyBorder="1" applyAlignment="1" applyProtection="1">
      <alignment horizontal="center" vertical="center" wrapText="1"/>
    </xf>
    <xf numFmtId="0" fontId="21" fillId="25" borderId="35" xfId="0" applyFont="1" applyFill="1" applyBorder="1" applyAlignment="1" applyProtection="1">
      <alignment horizontal="center" vertical="center" wrapText="1"/>
    </xf>
    <xf numFmtId="0" fontId="21" fillId="25" borderId="21" xfId="0" applyFont="1" applyFill="1" applyBorder="1" applyAlignment="1" applyProtection="1">
      <alignment horizontal="center" vertical="center" wrapText="1"/>
    </xf>
    <xf numFmtId="0" fontId="21" fillId="25" borderId="34" xfId="0" applyFont="1" applyFill="1" applyBorder="1" applyAlignment="1" applyProtection="1">
      <alignment horizontal="center" vertical="center" wrapText="1"/>
    </xf>
    <xf numFmtId="0" fontId="22" fillId="0" borderId="36" xfId="0" applyFont="1" applyFill="1" applyBorder="1" applyAlignment="1" applyProtection="1">
      <alignment horizontal="left" wrapText="1"/>
    </xf>
    <xf numFmtId="0" fontId="22" fillId="0" borderId="0" xfId="0" applyFont="1" applyFill="1" applyBorder="1" applyAlignment="1" applyProtection="1">
      <alignment horizontal="left" wrapText="1"/>
    </xf>
    <xf numFmtId="166" fontId="0" fillId="0" borderId="19" xfId="0" applyNumberFormat="1" applyFill="1" applyBorder="1" applyAlignment="1" applyProtection="1">
      <alignment horizontal="center" vertical="top" wrapText="1"/>
      <protection locked="0"/>
    </xf>
    <xf numFmtId="166" fontId="0" fillId="0" borderId="34" xfId="0" applyNumberFormat="1" applyFill="1" applyBorder="1" applyAlignment="1" applyProtection="1">
      <alignment horizontal="center" vertical="top" wrapText="1"/>
      <protection locked="0"/>
    </xf>
    <xf numFmtId="0" fontId="25" fillId="0" borderId="0" xfId="0" applyFont="1" applyFill="1" applyBorder="1" applyAlignment="1" applyProtection="1">
      <alignment horizontal="center" vertical="center" wrapText="1"/>
    </xf>
    <xf numFmtId="0" fontId="1" fillId="0" borderId="36" xfId="0" applyFont="1" applyFill="1" applyBorder="1" applyAlignment="1" applyProtection="1">
      <alignment horizontal="left" wrapText="1"/>
    </xf>
    <xf numFmtId="0" fontId="1" fillId="0" borderId="0" xfId="0" applyFont="1" applyFill="1" applyBorder="1" applyAlignment="1" applyProtection="1">
      <alignment horizontal="left" wrapText="1"/>
    </xf>
    <xf numFmtId="0" fontId="1" fillId="0" borderId="0" xfId="0" applyFont="1" applyFill="1" applyBorder="1" applyAlignment="1" applyProtection="1">
      <alignment horizontal="left" wrapText="1" indent="13"/>
    </xf>
    <xf numFmtId="0" fontId="1" fillId="0" borderId="0" xfId="0" applyFont="1" applyAlignment="1" applyProtection="1">
      <alignment horizontal="left" indent="13"/>
    </xf>
    <xf numFmtId="0" fontId="1" fillId="0" borderId="0" xfId="0" applyFont="1" applyFill="1" applyBorder="1" applyAlignment="1" applyProtection="1">
      <alignment horizontal="center" vertical="center" wrapText="1"/>
    </xf>
    <xf numFmtId="49" fontId="1" fillId="0" borderId="19" xfId="0" applyNumberFormat="1" applyFont="1" applyFill="1" applyBorder="1" applyAlignment="1" applyProtection="1">
      <alignment horizontal="left" vertical="top" wrapText="1"/>
      <protection locked="0"/>
    </xf>
    <xf numFmtId="49" fontId="1" fillId="0" borderId="21" xfId="0" applyNumberFormat="1" applyFont="1" applyFill="1" applyBorder="1" applyAlignment="1" applyProtection="1">
      <alignment horizontal="left" vertical="top" wrapText="1"/>
      <protection locked="0"/>
    </xf>
    <xf numFmtId="49" fontId="1" fillId="0" borderId="34" xfId="0" applyNumberFormat="1" applyFont="1" applyFill="1" applyBorder="1" applyAlignment="1" applyProtection="1">
      <alignment horizontal="left" vertical="top" wrapText="1"/>
      <protection locked="0"/>
    </xf>
    <xf numFmtId="0" fontId="1" fillId="0" borderId="0" xfId="0" applyFont="1" applyFill="1" applyBorder="1" applyAlignment="1" applyProtection="1">
      <alignment horizontal="left" wrapText="1" indent="1"/>
    </xf>
    <xf numFmtId="0" fontId="22" fillId="0" borderId="16" xfId="0" applyFont="1" applyFill="1" applyBorder="1" applyAlignment="1" applyProtection="1">
      <alignment horizontal="left"/>
    </xf>
    <xf numFmtId="0" fontId="22" fillId="0" borderId="0" xfId="0" applyFont="1" applyFill="1" applyBorder="1" applyAlignment="1" applyProtection="1">
      <alignment horizontal="left"/>
    </xf>
    <xf numFmtId="0" fontId="22" fillId="0" borderId="15" xfId="0" applyFont="1" applyFill="1" applyBorder="1" applyAlignment="1" applyProtection="1">
      <alignment horizontal="left"/>
    </xf>
    <xf numFmtId="0" fontId="1" fillId="0" borderId="19" xfId="0" applyFont="1" applyFill="1" applyBorder="1" applyAlignment="1" applyProtection="1">
      <alignment vertical="top" wrapText="1"/>
      <protection locked="0"/>
    </xf>
    <xf numFmtId="0" fontId="1" fillId="0" borderId="21" xfId="0" applyFont="1" applyFill="1" applyBorder="1" applyAlignment="1" applyProtection="1">
      <alignment vertical="top" wrapText="1"/>
      <protection locked="0"/>
    </xf>
    <xf numFmtId="0" fontId="1" fillId="0" borderId="34" xfId="0" applyFont="1" applyFill="1" applyBorder="1" applyAlignment="1" applyProtection="1">
      <alignment vertical="top" wrapText="1"/>
      <protection locked="0"/>
    </xf>
    <xf numFmtId="0" fontId="42" fillId="0" borderId="21" xfId="69" applyFont="1" applyBorder="1" applyAlignment="1" applyProtection="1">
      <alignment horizontal="left" vertical="top" wrapText="1"/>
    </xf>
    <xf numFmtId="0" fontId="28" fillId="26" borderId="16" xfId="0" applyFont="1" applyFill="1" applyBorder="1" applyAlignment="1" applyProtection="1">
      <alignment horizontal="left" wrapText="1"/>
      <protection locked="0"/>
    </xf>
    <xf numFmtId="0" fontId="28" fillId="26" borderId="0" xfId="0" applyFont="1" applyFill="1" applyBorder="1" applyAlignment="1" applyProtection="1">
      <alignment horizontal="left" wrapText="1"/>
      <protection locked="0"/>
    </xf>
    <xf numFmtId="0" fontId="28" fillId="26" borderId="15" xfId="0" applyFont="1" applyFill="1" applyBorder="1" applyAlignment="1" applyProtection="1">
      <alignment horizontal="left" wrapText="1"/>
      <protection locked="0"/>
    </xf>
    <xf numFmtId="0" fontId="28" fillId="26" borderId="19" xfId="0" applyFont="1" applyFill="1" applyBorder="1" applyAlignment="1" applyProtection="1">
      <alignment horizontal="left" wrapText="1"/>
      <protection locked="0"/>
    </xf>
    <xf numFmtId="0" fontId="28" fillId="26" borderId="21" xfId="0" applyFont="1" applyFill="1" applyBorder="1" applyAlignment="1" applyProtection="1">
      <alignment horizontal="left" wrapText="1"/>
      <protection locked="0"/>
    </xf>
    <xf numFmtId="0" fontId="28" fillId="26" borderId="34" xfId="0" applyFont="1" applyFill="1" applyBorder="1" applyAlignment="1" applyProtection="1">
      <alignment horizontal="left" wrapText="1"/>
      <protection locked="0"/>
    </xf>
    <xf numFmtId="168" fontId="1" fillId="0" borderId="0" xfId="0" applyNumberFormat="1" applyFont="1" applyBorder="1" applyAlignment="1" applyProtection="1">
      <alignment horizontal="left"/>
      <protection locked="0"/>
    </xf>
    <xf numFmtId="169" fontId="1" fillId="0" borderId="21" xfId="0" applyNumberFormat="1" applyFont="1" applyBorder="1" applyAlignment="1" applyProtection="1">
      <alignment horizontal="left"/>
      <protection locked="0"/>
    </xf>
    <xf numFmtId="0" fontId="28" fillId="29" borderId="37" xfId="0" applyFont="1" applyFill="1" applyBorder="1" applyAlignment="1" applyProtection="1">
      <alignment horizontal="center" vertical="center" shrinkToFit="1"/>
    </xf>
    <xf numFmtId="0" fontId="28" fillId="29" borderId="16" xfId="0" applyFont="1" applyFill="1" applyBorder="1" applyAlignment="1" applyProtection="1">
      <alignment horizontal="center" vertical="center" shrinkToFit="1"/>
    </xf>
    <xf numFmtId="0" fontId="28" fillId="29" borderId="38" xfId="0" applyFont="1" applyFill="1" applyBorder="1" applyAlignment="1" applyProtection="1">
      <alignment horizontal="center" vertical="center" wrapText="1"/>
    </xf>
    <xf numFmtId="0" fontId="28" fillId="29" borderId="15" xfId="0" applyFont="1" applyFill="1" applyBorder="1" applyAlignment="1" applyProtection="1">
      <alignment horizontal="center" vertical="center" wrapText="1"/>
    </xf>
    <xf numFmtId="4" fontId="28" fillId="29" borderId="39" xfId="0" applyNumberFormat="1" applyFont="1" applyFill="1" applyBorder="1" applyAlignment="1" applyProtection="1">
      <alignment horizontal="center" vertical="center"/>
    </xf>
    <xf numFmtId="4" fontId="28" fillId="29" borderId="12" xfId="0" applyNumberFormat="1" applyFont="1" applyFill="1" applyBorder="1" applyAlignment="1" applyProtection="1">
      <alignment horizontal="center" vertical="center"/>
    </xf>
    <xf numFmtId="168" fontId="1" fillId="0" borderId="21" xfId="0" applyNumberFormat="1" applyFont="1" applyBorder="1" applyAlignment="1" applyProtection="1">
      <alignment horizontal="left" vertical="center"/>
    </xf>
    <xf numFmtId="0" fontId="35" fillId="0" borderId="0" xfId="0" applyFont="1" applyAlignment="1" applyProtection="1">
      <alignment horizontal="center" vertical="top" wrapText="1"/>
    </xf>
    <xf numFmtId="0" fontId="25" fillId="24" borderId="18" xfId="0" applyFont="1" applyFill="1" applyBorder="1" applyAlignment="1" applyProtection="1">
      <alignment horizontal="center" vertical="center" wrapText="1"/>
    </xf>
    <xf numFmtId="0" fontId="25" fillId="24" borderId="35" xfId="0" applyFont="1" applyFill="1" applyBorder="1" applyAlignment="1" applyProtection="1">
      <alignment horizontal="center" vertical="center" wrapText="1"/>
    </xf>
    <xf numFmtId="0" fontId="25" fillId="24" borderId="16" xfId="0" applyFont="1" applyFill="1" applyBorder="1" applyAlignment="1" applyProtection="1">
      <alignment horizontal="center" vertical="center" wrapText="1"/>
    </xf>
    <xf numFmtId="0" fontId="25" fillId="24" borderId="15" xfId="0" applyFont="1" applyFill="1" applyBorder="1" applyAlignment="1" applyProtection="1">
      <alignment horizontal="center" vertical="center" wrapText="1"/>
    </xf>
    <xf numFmtId="0" fontId="25" fillId="24" borderId="19" xfId="0" applyFont="1" applyFill="1" applyBorder="1" applyAlignment="1" applyProtection="1">
      <alignment horizontal="center" vertical="center" wrapText="1"/>
    </xf>
    <xf numFmtId="0" fontId="25" fillId="24" borderId="34" xfId="0" applyFont="1" applyFill="1" applyBorder="1" applyAlignment="1" applyProtection="1">
      <alignment horizontal="center" vertical="center" wrapText="1"/>
    </xf>
    <xf numFmtId="4" fontId="25" fillId="24" borderId="23" xfId="0" applyNumberFormat="1" applyFont="1" applyFill="1" applyBorder="1" applyAlignment="1" applyProtection="1">
      <alignment horizontal="center" vertical="center" shrinkToFit="1"/>
    </xf>
    <xf numFmtId="4" fontId="25" fillId="24" borderId="12" xfId="0" applyNumberFormat="1" applyFont="1" applyFill="1" applyBorder="1" applyAlignment="1" applyProtection="1">
      <alignment horizontal="center" vertical="center" shrinkToFit="1"/>
    </xf>
    <xf numFmtId="4" fontId="25" fillId="24" borderId="13" xfId="0" applyNumberFormat="1" applyFont="1" applyFill="1" applyBorder="1" applyAlignment="1" applyProtection="1">
      <alignment horizontal="center" vertical="center" shrinkToFit="1"/>
    </xf>
    <xf numFmtId="167" fontId="1" fillId="0" borderId="0" xfId="0" applyNumberFormat="1" applyFont="1" applyFill="1" applyBorder="1" applyAlignment="1" applyProtection="1">
      <alignment horizontal="left"/>
    </xf>
    <xf numFmtId="49" fontId="1" fillId="0" borderId="0" xfId="0" applyNumberFormat="1" applyFont="1" applyFill="1" applyBorder="1" applyAlignment="1" applyProtection="1">
      <alignment horizontal="left"/>
    </xf>
    <xf numFmtId="0" fontId="1" fillId="0" borderId="0" xfId="0" applyFont="1" applyFill="1" applyBorder="1" applyAlignment="1" applyProtection="1">
      <alignment horizontal="left"/>
    </xf>
    <xf numFmtId="169" fontId="1" fillId="0" borderId="21" xfId="0" applyNumberFormat="1" applyFont="1" applyFill="1" applyBorder="1" applyAlignment="1" applyProtection="1">
      <alignment horizontal="left" vertical="center"/>
      <protection locked="0"/>
    </xf>
    <xf numFmtId="0" fontId="28" fillId="0" borderId="16" xfId="0" applyFont="1" applyBorder="1" applyAlignment="1" applyProtection="1">
      <alignment horizontal="left" vertical="center"/>
    </xf>
    <xf numFmtId="0" fontId="28" fillId="0" borderId="0" xfId="0" applyFont="1" applyBorder="1" applyAlignment="1" applyProtection="1">
      <alignment horizontal="left" vertical="center"/>
    </xf>
    <xf numFmtId="0" fontId="28" fillId="0" borderId="15" xfId="0" applyFont="1" applyBorder="1" applyAlignment="1" applyProtection="1">
      <alignment horizontal="left" vertical="center"/>
    </xf>
    <xf numFmtId="0" fontId="0" fillId="26" borderId="21" xfId="0" applyFill="1" applyBorder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49" fontId="1" fillId="26" borderId="0" xfId="0" applyNumberFormat="1" applyFont="1" applyFill="1" applyAlignment="1" applyProtection="1">
      <protection locked="0"/>
    </xf>
    <xf numFmtId="0" fontId="22" fillId="0" borderId="14" xfId="0" applyFont="1" applyBorder="1" applyAlignment="1">
      <alignment horizontal="left"/>
    </xf>
  </cellXfs>
  <cellStyles count="8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20% - Ênfase1" xfId="7" builtinId="30" customBuiltin="1"/>
    <cellStyle name="20% - Ênfase2" xfId="8" builtinId="34" customBuiltin="1"/>
    <cellStyle name="20% - Ênfase3" xfId="9" builtinId="38" customBuiltin="1"/>
    <cellStyle name="20% - Ênfase4" xfId="10" builtinId="42" customBuiltin="1"/>
    <cellStyle name="20% - Ênfase5" xfId="11" builtinId="46" customBuiltin="1"/>
    <cellStyle name="20% - Ênfase6" xfId="12" builtinId="50" customBuiltin="1"/>
    <cellStyle name="40% - Accent1" xfId="13"/>
    <cellStyle name="40% - Accent2" xfId="14"/>
    <cellStyle name="40% - Accent3" xfId="15"/>
    <cellStyle name="40% - Accent4" xfId="16"/>
    <cellStyle name="40% - Accent5" xfId="17"/>
    <cellStyle name="40% - Accent6" xfId="18"/>
    <cellStyle name="40% - Ênfase1" xfId="19" builtinId="31" customBuiltin="1"/>
    <cellStyle name="40% - Ênfase2" xfId="20" builtinId="35" customBuiltin="1"/>
    <cellStyle name="40% - Ênfase3" xfId="21" builtinId="39" customBuiltin="1"/>
    <cellStyle name="40% - Ênfase4" xfId="22" builtinId="43" customBuiltin="1"/>
    <cellStyle name="40% - Ênfase5" xfId="23" builtinId="47" customBuiltin="1"/>
    <cellStyle name="40% - Ênfase6" xfId="24" builtinId="51" customBuiltin="1"/>
    <cellStyle name="60% - Accent1" xfId="25"/>
    <cellStyle name="60% - Accent2" xfId="26"/>
    <cellStyle name="60% - Accent3" xfId="27"/>
    <cellStyle name="60% - Accent4" xfId="28"/>
    <cellStyle name="60% - Accent5" xfId="29"/>
    <cellStyle name="60% - Accent6" xfId="30"/>
    <cellStyle name="60% - Ênfase1" xfId="31" builtinId="32" customBuiltin="1"/>
    <cellStyle name="60% - Ênfase2" xfId="32" builtinId="36" customBuiltin="1"/>
    <cellStyle name="60% - Ênfase3" xfId="33" builtinId="40" customBuiltin="1"/>
    <cellStyle name="60% - Ênfase4" xfId="34" builtinId="44" customBuiltin="1"/>
    <cellStyle name="60% - Ênfase5" xfId="35" builtinId="48" customBuiltin="1"/>
    <cellStyle name="60% - Ênfase6" xfId="36" builtinId="52" customBuiltin="1"/>
    <cellStyle name="Accent1" xfId="37"/>
    <cellStyle name="Accent2" xfId="38"/>
    <cellStyle name="Accent3" xfId="39"/>
    <cellStyle name="Accent4" xfId="40"/>
    <cellStyle name="Accent5" xfId="41"/>
    <cellStyle name="Accent6" xfId="42"/>
    <cellStyle name="Bad" xfId="43"/>
    <cellStyle name="Bom" xfId="44" builtinId="26" customBuiltin="1"/>
    <cellStyle name="Calculation" xfId="45"/>
    <cellStyle name="Cálculo" xfId="46" builtinId="22" customBuiltin="1"/>
    <cellStyle name="Célula de Verificação" xfId="47" builtinId="23" customBuiltin="1"/>
    <cellStyle name="Célula Vinculada" xfId="48" builtinId="24" customBuiltin="1"/>
    <cellStyle name="Check Cell" xfId="49"/>
    <cellStyle name="Ênfase1" xfId="50" builtinId="29" customBuiltin="1"/>
    <cellStyle name="Ênfase2" xfId="51" builtinId="33" customBuiltin="1"/>
    <cellStyle name="Ênfase3" xfId="52" builtinId="37" customBuiltin="1"/>
    <cellStyle name="Ênfase4" xfId="53" builtinId="41" customBuiltin="1"/>
    <cellStyle name="Ênfase5" xfId="54" builtinId="45" customBuiltin="1"/>
    <cellStyle name="Ênfase6" xfId="55" builtinId="49" customBuiltin="1"/>
    <cellStyle name="Entrada" xfId="56" builtinId="20" customBuiltin="1"/>
    <cellStyle name="Excel Built-in Normal" xfId="57"/>
    <cellStyle name="Explanatory Text" xfId="58"/>
    <cellStyle name="Good" xfId="59"/>
    <cellStyle name="Heading 1" xfId="60"/>
    <cellStyle name="Heading 2" xfId="61"/>
    <cellStyle name="Heading 3" xfId="62"/>
    <cellStyle name="Heading 4" xfId="63"/>
    <cellStyle name="Input" xfId="64"/>
    <cellStyle name="Linked Cell" xfId="65"/>
    <cellStyle name="Moeda 2" xfId="66"/>
    <cellStyle name="Neutral" xfId="67"/>
    <cellStyle name="Normal" xfId="0" builtinId="0"/>
    <cellStyle name="Normal 2" xfId="68"/>
    <cellStyle name="Normal 3" xfId="69"/>
    <cellStyle name="Normal_FICHA DE VERIFICAÇÃO PRELIMINAR - Plano R" xfId="70"/>
    <cellStyle name="Nota" xfId="71" builtinId="10" customBuiltin="1"/>
    <cellStyle name="Note" xfId="72"/>
    <cellStyle name="Output" xfId="73"/>
    <cellStyle name="Porcentagem" xfId="74" builtinId="5"/>
    <cellStyle name="Saída" xfId="75" builtinId="21" customBuiltin="1"/>
    <cellStyle name="Separador de milhares" xfId="85" builtinId="3"/>
    <cellStyle name="Texto de Aviso" xfId="76" builtinId="11" customBuiltin="1"/>
    <cellStyle name="Texto Explicativo" xfId="77" builtinId="53" customBuiltin="1"/>
    <cellStyle name="Title" xfId="78"/>
    <cellStyle name="Título" xfId="79" builtinId="15" customBuiltin="1"/>
    <cellStyle name="Título 1" xfId="80" builtinId="16" customBuiltin="1"/>
    <cellStyle name="Título 2" xfId="81" builtinId="17" customBuiltin="1"/>
    <cellStyle name="Título 3" xfId="82" builtinId="18" customBuiltin="1"/>
    <cellStyle name="Título 4" xfId="83" builtinId="19" customBuiltin="1"/>
    <cellStyle name="Total" xfId="84" builtinId="25" customBuiltin="1"/>
    <cellStyle name="Warning Text" xfId="86"/>
  </cellStyles>
  <dxfs count="167">
    <dxf>
      <font>
        <b/>
        <i val="0"/>
        <color indexed="47"/>
        <name val="Cambria"/>
        <scheme val="none"/>
      </font>
      <fill>
        <patternFill>
          <bgColor indexed="47"/>
        </patternFill>
      </fill>
    </dxf>
    <dxf>
      <font>
        <b/>
        <i val="0"/>
        <condense val="0"/>
        <extend val="0"/>
        <color indexed="55"/>
        <name val="Cambria"/>
        <scheme val="none"/>
      </font>
      <fill>
        <patternFill>
          <bgColor indexed="55"/>
        </patternFill>
      </fill>
      <border>
        <top style="thin">
          <color indexed="64"/>
        </top>
      </border>
    </dxf>
    <dxf>
      <font>
        <b/>
        <i val="0"/>
        <color indexed="47"/>
        <name val="Cambria"/>
        <scheme val="none"/>
      </font>
      <fill>
        <patternFill>
          <bgColor indexed="47"/>
        </patternFill>
      </fill>
    </dxf>
    <dxf>
      <font>
        <b/>
        <i val="0"/>
        <condense val="0"/>
        <extend val="0"/>
        <color indexed="55"/>
        <name val="Cambria"/>
        <scheme val="none"/>
      </font>
      <fill>
        <patternFill>
          <bgColor indexed="55"/>
        </patternFill>
      </fill>
      <border>
        <top style="thin">
          <color indexed="64"/>
        </top>
      </border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55"/>
        </patternFill>
      </fill>
      <border>
        <top style="thin">
          <color indexed="64"/>
        </top>
      </border>
    </dxf>
    <dxf>
      <font>
        <b/>
        <i val="0"/>
        <color indexed="47"/>
        <name val="Cambria"/>
        <scheme val="none"/>
      </font>
      <fill>
        <patternFill>
          <bgColor indexed="47"/>
        </patternFill>
      </fill>
    </dxf>
    <dxf>
      <font>
        <b/>
        <i val="0"/>
        <condense val="0"/>
        <extend val="0"/>
        <color indexed="55"/>
        <name val="Cambria"/>
        <scheme val="none"/>
      </font>
      <fill>
        <patternFill>
          <bgColor indexed="55"/>
        </patternFill>
      </fill>
      <border>
        <top style="thin">
          <color indexed="64"/>
        </top>
      </border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55"/>
        </patternFill>
      </fill>
      <border>
        <top style="thin">
          <color indexed="64"/>
        </top>
      </border>
    </dxf>
    <dxf>
      <font>
        <b/>
        <i val="0"/>
      </font>
      <fill>
        <patternFill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indexed="9"/>
      </font>
      <fill>
        <patternFill>
          <bgColor indexed="9"/>
        </patternFill>
      </fill>
    </dxf>
    <dxf>
      <font>
        <b/>
        <i val="0"/>
      </font>
      <fill>
        <patternFill>
          <bgColor indexed="55"/>
        </patternFill>
      </fill>
      <border>
        <top style="thin">
          <color indexed="64"/>
        </top>
      </border>
    </dxf>
    <dxf>
      <font>
        <b/>
        <i val="0"/>
      </font>
      <fill>
        <patternFill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indexed="9"/>
      </font>
      <fill>
        <patternFill>
          <bgColor indexed="9"/>
        </patternFill>
      </fill>
    </dxf>
    <dxf>
      <font>
        <b/>
        <i val="0"/>
      </font>
      <fill>
        <patternFill>
          <bgColor indexed="55"/>
        </patternFill>
      </fill>
      <border>
        <top style="thin">
          <color indexed="64"/>
        </top>
      </border>
    </dxf>
    <dxf>
      <font>
        <b/>
        <i val="0"/>
      </font>
      <fill>
        <patternFill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indexed="9"/>
      </font>
      <fill>
        <patternFill>
          <bgColor indexed="9"/>
        </patternFill>
      </fill>
    </dxf>
    <dxf>
      <font>
        <b/>
        <i val="0"/>
      </font>
      <fill>
        <patternFill>
          <bgColor indexed="55"/>
        </patternFill>
      </fill>
      <border>
        <top style="thin">
          <color indexed="64"/>
        </top>
      </border>
    </dxf>
    <dxf>
      <font>
        <b/>
        <i val="0"/>
      </font>
      <fill>
        <patternFill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indexed="9"/>
      </font>
      <fill>
        <patternFill>
          <bgColor indexed="9"/>
        </patternFill>
      </fill>
    </dxf>
    <dxf>
      <font>
        <b/>
        <i val="0"/>
      </font>
      <fill>
        <patternFill>
          <bgColor indexed="55"/>
        </patternFill>
      </fill>
      <border>
        <top style="thin">
          <color indexed="64"/>
        </top>
      </border>
    </dxf>
    <dxf>
      <font>
        <b/>
        <i val="0"/>
      </font>
      <fill>
        <patternFill>
          <bgColor indexed="55"/>
        </patternFill>
      </fill>
      <border>
        <top style="thin">
          <color indexed="64"/>
        </top>
      </border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lor indexed="9"/>
      </font>
      <fill>
        <patternFill>
          <bgColor indexed="9"/>
        </patternFill>
      </fill>
    </dxf>
    <dxf>
      <font>
        <b/>
        <i val="0"/>
      </font>
      <fill>
        <patternFill>
          <bgColor indexed="55"/>
        </patternFill>
      </fill>
      <border>
        <top style="thin">
          <color indexed="64"/>
        </top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55"/>
        </patternFill>
      </fill>
      <border>
        <top style="thin">
          <color indexed="64"/>
        </top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Radio" firstButton="1" fmlaLink="$A$1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Drop" dropStyle="combo" dx="22" fmlaLink="$A$3" fmlaRange="ABC!$A$1:$A$2" noThreeD="1" sel="2" val="0"/>
</file>

<file path=xl/ctrlProps/ctrlProp7.xml><?xml version="1.0" encoding="utf-8"?>
<formControlPr xmlns="http://schemas.microsoft.com/office/spreadsheetml/2009/9/main" objectType="Label" lockText="1"/>
</file>

<file path=xl/ctrlProps/ctrlProp8.xml><?xml version="1.0" encoding="utf-8"?>
<formControlPr xmlns="http://schemas.microsoft.com/office/spreadsheetml/2009/9/main" objectType="Drop" dropStyle="combo" dx="22" fmlaLink="$A$6" fmlaRange="$A$4:$A$5" noThreeD="1" val="0"/>
</file>

<file path=xl/ctrlProps/ctrlProp9.xml><?xml version="1.0" encoding="utf-8"?>
<formControlPr xmlns="http://schemas.microsoft.com/office/spreadsheetml/2009/9/main" objectType="Label" lockText="1"/>
</file>

<file path=xl/ctrlProps/ctrlProp10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1.emf"/><Relationship Id="rId5" Type="http://schemas.openxmlformats.org/officeDocument/2006/relationships/image" Target="../media/image7.emf"/><Relationship Id="rId4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154781</xdr:colOff>
      <xdr:row>7</xdr:row>
      <xdr:rowOff>11907</xdr:rowOff>
    </xdr:from>
    <xdr:to>
      <xdr:col>14</xdr:col>
      <xdr:colOff>1631156</xdr:colOff>
      <xdr:row>8</xdr:row>
      <xdr:rowOff>264319</xdr:rowOff>
    </xdr:to>
    <xdr:sp macro="[0]!Plan1.editar" textlink="">
      <xdr:nvSpPr>
        <xdr:cNvPr id="5" name="EditarButton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4572000" y="1750220"/>
          <a:ext cx="1476375" cy="371474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000080"/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EDITAR PLANILHA</a:t>
          </a:r>
        </a:p>
        <a:p>
          <a:pPr algn="ctr" rtl="0">
            <a:defRPr sz="1000"/>
          </a:pPr>
          <a:r>
            <a:rPr lang="pt-BR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( CTRL + i )</a:t>
          </a:r>
        </a:p>
      </xdr:txBody>
    </xdr:sp>
    <xdr:clientData fPrintsWithSheet="0"/>
  </xdr:twoCellAnchor>
  <xdr:twoCellAnchor>
    <xdr:from>
      <xdr:col>26</xdr:col>
      <xdr:colOff>130969</xdr:colOff>
      <xdr:row>5</xdr:row>
      <xdr:rowOff>178594</xdr:rowOff>
    </xdr:from>
    <xdr:to>
      <xdr:col>28</xdr:col>
      <xdr:colOff>392907</xdr:colOff>
      <xdr:row>6</xdr:row>
      <xdr:rowOff>240506</xdr:rowOff>
    </xdr:to>
    <xdr:sp macro="[0]!AnaliseCAIXA" textlink="">
      <xdr:nvSpPr>
        <xdr:cNvPr id="6" name="EditarButton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15549563" y="1297782"/>
          <a:ext cx="1476375" cy="371474"/>
        </a:xfrm>
        <a:prstGeom prst="rect">
          <a:avLst/>
        </a:prstGeom>
        <a:solidFill>
          <a:srgbClr val="FF9900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000080"/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ANÁLISE</a:t>
          </a:r>
        </a:p>
        <a:p>
          <a:pPr algn="ctr" rtl="0">
            <a:defRPr sz="1000"/>
          </a:pPr>
          <a:r>
            <a:rPr lang="pt-BR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( uso exclusivo CAIXA )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628650</xdr:colOff>
      <xdr:row>7</xdr:row>
      <xdr:rowOff>209550</xdr:rowOff>
    </xdr:from>
    <xdr:to>
      <xdr:col>12</xdr:col>
      <xdr:colOff>1695450</xdr:colOff>
      <xdr:row>9</xdr:row>
      <xdr:rowOff>0</xdr:rowOff>
    </xdr:to>
    <xdr:sp macro="[0]!EditarCRONO" textlink="">
      <xdr:nvSpPr>
        <xdr:cNvPr id="7" name="AddCFF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628650" y="1914525"/>
          <a:ext cx="1781175" cy="3429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000080"/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BR" sz="900" b="1" i="0" u="none" strike="noStrike" baseline="0">
              <a:solidFill>
                <a:srgbClr val="000000"/>
              </a:solidFill>
              <a:latin typeface="Arial"/>
              <a:cs typeface="Arial"/>
            </a:rPr>
            <a:t>EDITAR / ATUALIZAR CRONOGRAMA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504825</xdr:colOff>
      <xdr:row>0</xdr:row>
      <xdr:rowOff>9525</xdr:rowOff>
    </xdr:from>
    <xdr:to>
      <xdr:col>20</xdr:col>
      <xdr:colOff>1733550</xdr:colOff>
      <xdr:row>2</xdr:row>
      <xdr:rowOff>19050</xdr:rowOff>
    </xdr:to>
    <xdr:pic>
      <xdr:nvPicPr>
        <xdr:cNvPr id="231485" name="Imagem 14">
          <a:extLst>
            <a:ext uri="{FF2B5EF4-FFF2-40B4-BE49-F238E27FC236}">
              <a16:creationId xmlns:a16="http://schemas.microsoft.com/office/drawing/2014/main" xmlns="" id="{00000000-0008-0000-0500-00003D880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87275" y="9525"/>
          <a:ext cx="12287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comments" Target="../comments1.xml"/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oleObject" Target="../embeddings/oleObject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oleObject" Target="../embeddings/oleObject2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7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6.xml"/><Relationship Id="rId5" Type="http://schemas.openxmlformats.org/officeDocument/2006/relationships/comments" Target="../comments2.xml"/><Relationship Id="rId10" Type="http://schemas.openxmlformats.org/officeDocument/2006/relationships/ctrlProp" Target="../ctrlProps/ctrlProp10.xml"/><Relationship Id="rId4" Type="http://schemas.openxmlformats.org/officeDocument/2006/relationships/oleObject" Target="../embeddings/oleObject3.bin"/><Relationship Id="rId9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3">
    <pageSetUpPr fitToPage="1"/>
  </sheetPr>
  <dimension ref="A1:Y147"/>
  <sheetViews>
    <sheetView showGridLines="0" zoomScale="85" zoomScaleNormal="85" zoomScaleSheetLayoutView="100" workbookViewId="0">
      <selection activeCell="A41" sqref="A41:X41"/>
    </sheetView>
  </sheetViews>
  <sheetFormatPr defaultRowHeight="12.75"/>
  <cols>
    <col min="1" max="2" width="8.7109375" style="5" customWidth="1"/>
    <col min="3" max="5" width="8.7109375" style="1" customWidth="1"/>
    <col min="6" max="8" width="8.7109375" style="4" customWidth="1"/>
    <col min="9" max="24" width="8.7109375" style="1" customWidth="1"/>
    <col min="25" max="16384" width="9.140625" style="1"/>
  </cols>
  <sheetData>
    <row r="1" spans="1:25" ht="12.75" customHeight="1">
      <c r="A1" s="47"/>
      <c r="B1" s="236" t="s">
        <v>120</v>
      </c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7"/>
    </row>
    <row r="2" spans="1:25" ht="13.5" customHeight="1">
      <c r="A2" s="48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38"/>
      <c r="T2" s="238"/>
      <c r="U2" s="238"/>
      <c r="V2" s="238"/>
      <c r="W2" s="238"/>
      <c r="X2" s="239"/>
    </row>
    <row r="3" spans="1:25" ht="13.5" customHeight="1">
      <c r="A3" s="1"/>
      <c r="B3" s="1"/>
      <c r="F3" s="1"/>
      <c r="G3" s="1"/>
      <c r="H3" s="1"/>
    </row>
    <row r="4" spans="1:25" s="11" customFormat="1" ht="12.75" customHeight="1">
      <c r="A4" s="244" t="s">
        <v>52</v>
      </c>
      <c r="B4" s="244"/>
      <c r="C4" s="244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4"/>
      <c r="T4" s="244"/>
      <c r="U4" s="244"/>
      <c r="V4" s="244"/>
      <c r="W4" s="244"/>
      <c r="X4" s="244"/>
    </row>
    <row r="5" spans="1:25" s="11" customFormat="1">
      <c r="A5" s="249" t="s">
        <v>102</v>
      </c>
      <c r="B5" s="249"/>
      <c r="C5" s="249"/>
      <c r="D5" s="249"/>
      <c r="E5" s="249"/>
      <c r="F5" s="249"/>
      <c r="G5" s="249"/>
      <c r="H5" s="249"/>
      <c r="I5" s="249"/>
      <c r="J5" s="249"/>
      <c r="K5" s="249"/>
      <c r="L5" s="249"/>
      <c r="M5" s="249"/>
      <c r="N5" s="249"/>
      <c r="O5" s="249"/>
      <c r="P5" s="249"/>
      <c r="Q5" s="249"/>
      <c r="R5" s="249"/>
      <c r="S5" s="249"/>
      <c r="T5" s="249"/>
      <c r="U5" s="249"/>
      <c r="V5" s="249"/>
      <c r="W5" s="249"/>
      <c r="X5" s="249"/>
    </row>
    <row r="6" spans="1:25" s="11" customFormat="1">
      <c r="A6" s="150"/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150"/>
      <c r="T6" s="150"/>
      <c r="U6" s="150"/>
      <c r="V6" s="150"/>
      <c r="W6" s="150"/>
      <c r="X6" s="150"/>
    </row>
    <row r="7" spans="1:25" s="12" customFormat="1" ht="24.95" customHeight="1">
      <c r="A7" s="245" t="s">
        <v>61</v>
      </c>
      <c r="B7" s="246"/>
      <c r="C7" s="246"/>
      <c r="D7" s="246"/>
      <c r="E7" s="246"/>
      <c r="F7" s="246"/>
      <c r="G7" s="246"/>
      <c r="H7" s="246"/>
      <c r="I7" s="246"/>
      <c r="J7" s="246"/>
      <c r="K7" s="246"/>
      <c r="L7" s="246"/>
      <c r="M7" s="246"/>
      <c r="N7" s="246"/>
      <c r="O7" s="246"/>
      <c r="P7" s="246"/>
      <c r="Q7" s="246"/>
      <c r="R7" s="246"/>
      <c r="S7" s="246"/>
      <c r="T7" s="246"/>
      <c r="U7" s="246"/>
      <c r="V7" s="246"/>
      <c r="W7" s="246"/>
      <c r="X7" s="246"/>
    </row>
    <row r="8" spans="1:25" s="11" customFormat="1" ht="12.75" customHeight="1">
      <c r="A8" s="12"/>
      <c r="B8" s="12"/>
      <c r="F8" s="13"/>
      <c r="G8" s="13"/>
      <c r="H8" s="13"/>
    </row>
    <row r="9" spans="1:25" s="11" customFormat="1" ht="12.75" customHeight="1">
      <c r="A9" s="246" t="s">
        <v>10</v>
      </c>
      <c r="B9" s="246"/>
      <c r="C9" s="246"/>
      <c r="D9" s="246"/>
      <c r="E9" s="246"/>
      <c r="F9" s="246"/>
      <c r="G9" s="246"/>
      <c r="H9" s="246"/>
      <c r="I9" s="246"/>
      <c r="J9" s="246"/>
      <c r="K9" s="246"/>
      <c r="L9" s="246"/>
      <c r="M9" s="246"/>
      <c r="N9" s="246"/>
      <c r="O9" s="246"/>
      <c r="P9" s="246"/>
      <c r="Q9" s="246"/>
      <c r="R9" s="246"/>
      <c r="S9" s="246"/>
      <c r="T9" s="246"/>
      <c r="U9" s="246"/>
      <c r="V9" s="246"/>
      <c r="W9" s="246"/>
      <c r="X9" s="246"/>
      <c r="Y9" s="14"/>
    </row>
    <row r="10" spans="1:25" s="11" customFormat="1" ht="6" customHeight="1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14"/>
    </row>
    <row r="11" spans="1:25" s="11" customFormat="1" ht="12.75" customHeight="1">
      <c r="A11" s="253" t="s">
        <v>53</v>
      </c>
      <c r="B11" s="253"/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3"/>
      <c r="N11" s="253"/>
      <c r="O11" s="253"/>
      <c r="P11" s="253"/>
      <c r="Q11" s="253"/>
      <c r="R11" s="253"/>
      <c r="S11" s="253"/>
      <c r="T11" s="253"/>
      <c r="U11" s="253"/>
      <c r="V11" s="253"/>
      <c r="W11" s="253"/>
      <c r="X11" s="253"/>
    </row>
    <row r="12" spans="1:25" s="11" customFormat="1" ht="6" customHeight="1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</row>
    <row r="13" spans="1:25" s="11" customFormat="1" ht="24.95" customHeight="1">
      <c r="A13" s="253" t="s">
        <v>0</v>
      </c>
      <c r="B13" s="253"/>
      <c r="C13" s="253"/>
      <c r="D13" s="253"/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3"/>
      <c r="P13" s="253"/>
      <c r="Q13" s="253"/>
      <c r="R13" s="253"/>
      <c r="S13" s="253"/>
      <c r="T13" s="253"/>
      <c r="U13" s="253"/>
      <c r="V13" s="253"/>
      <c r="W13" s="253"/>
      <c r="X13" s="253"/>
    </row>
    <row r="14" spans="1:25" s="11" customFormat="1">
      <c r="A14" s="12"/>
      <c r="B14" s="12"/>
      <c r="F14" s="13"/>
      <c r="G14" s="13"/>
      <c r="H14" s="13"/>
    </row>
    <row r="15" spans="1:25" s="11" customFormat="1">
      <c r="A15" s="245" t="s">
        <v>11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6"/>
      <c r="T15" s="246"/>
      <c r="U15" s="246"/>
      <c r="V15" s="246"/>
      <c r="W15" s="246"/>
      <c r="X15" s="246"/>
    </row>
    <row r="16" spans="1:25" s="11" customFormat="1">
      <c r="A16" s="12"/>
      <c r="B16" s="12"/>
      <c r="F16" s="13"/>
      <c r="G16" s="13"/>
      <c r="H16" s="13"/>
    </row>
    <row r="17" spans="1:24" s="11" customFormat="1">
      <c r="A17" s="240" t="s">
        <v>54</v>
      </c>
      <c r="B17" s="241"/>
      <c r="C17" s="241"/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1"/>
      <c r="T17" s="241"/>
      <c r="U17" s="241"/>
      <c r="V17" s="241"/>
      <c r="W17" s="241"/>
      <c r="X17" s="241"/>
    </row>
    <row r="18" spans="1:24" s="11" customFormat="1" ht="6" customHeight="1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</row>
    <row r="19" spans="1:24" s="11" customFormat="1" ht="12.75" customHeight="1">
      <c r="A19" s="202" t="s">
        <v>4</v>
      </c>
      <c r="B19" s="202"/>
      <c r="C19" s="203"/>
      <c r="D19" s="203"/>
      <c r="E19" s="203"/>
      <c r="F19" s="203"/>
      <c r="G19" s="203"/>
      <c r="H19" s="203"/>
      <c r="I19" s="203"/>
      <c r="J19" s="203"/>
      <c r="K19" s="203"/>
      <c r="L19" s="203"/>
      <c r="M19" s="203"/>
      <c r="N19" s="203"/>
      <c r="O19" s="203"/>
      <c r="P19" s="203"/>
      <c r="Q19" s="203"/>
      <c r="R19" s="203"/>
      <c r="S19" s="203"/>
      <c r="T19" s="203"/>
      <c r="U19" s="203"/>
      <c r="V19" s="203"/>
      <c r="W19" s="203"/>
      <c r="X19" s="203"/>
    </row>
    <row r="20" spans="1:24" s="11" customFormat="1" ht="6" customHeight="1">
      <c r="A20" s="29"/>
      <c r="B20" s="29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</row>
    <row r="21" spans="1:24" s="11" customFormat="1" ht="12.75" customHeight="1">
      <c r="A21" s="197" t="s">
        <v>103</v>
      </c>
      <c r="B21" s="197"/>
      <c r="C21" s="218"/>
      <c r="D21" s="218"/>
      <c r="E21" s="218"/>
      <c r="F21" s="218"/>
      <c r="G21" s="218"/>
      <c r="H21" s="218"/>
      <c r="I21" s="218"/>
      <c r="J21" s="218"/>
      <c r="K21" s="218"/>
      <c r="L21" s="218"/>
      <c r="M21" s="218"/>
      <c r="N21" s="218"/>
      <c r="O21" s="218"/>
      <c r="P21" s="218"/>
      <c r="Q21" s="218"/>
      <c r="R21" s="218"/>
      <c r="S21" s="218"/>
      <c r="T21" s="218"/>
      <c r="U21" s="218"/>
      <c r="V21" s="218"/>
      <c r="W21" s="218"/>
      <c r="X21" s="218"/>
    </row>
    <row r="22" spans="1:24" s="11" customFormat="1" ht="6" customHeight="1">
      <c r="A22" s="15"/>
      <c r="B22" s="15"/>
      <c r="F22" s="13"/>
      <c r="G22" s="13"/>
      <c r="H22" s="13"/>
    </row>
    <row r="23" spans="1:24" ht="12.75" customHeight="1">
      <c r="A23" s="215" t="s">
        <v>59</v>
      </c>
      <c r="B23" s="217"/>
      <c r="C23" s="219" t="s">
        <v>55</v>
      </c>
      <c r="D23" s="220"/>
      <c r="E23" s="220"/>
      <c r="F23" s="220"/>
      <c r="G23" s="220"/>
      <c r="H23" s="220"/>
      <c r="I23" s="221"/>
      <c r="J23" s="215" t="s">
        <v>56</v>
      </c>
      <c r="K23" s="216"/>
      <c r="L23" s="216"/>
      <c r="M23" s="216"/>
      <c r="N23" s="216"/>
      <c r="O23" s="216"/>
      <c r="P23" s="216"/>
      <c r="Q23" s="216"/>
      <c r="R23" s="216"/>
      <c r="S23" s="216"/>
      <c r="T23" s="217"/>
      <c r="U23" s="215" t="s">
        <v>57</v>
      </c>
      <c r="V23" s="216"/>
      <c r="W23" s="216"/>
      <c r="X23" s="217"/>
    </row>
    <row r="24" spans="1:24" ht="12.75" customHeight="1">
      <c r="A24" s="225" t="s">
        <v>237</v>
      </c>
      <c r="B24" s="226"/>
      <c r="C24" s="227" t="s">
        <v>240</v>
      </c>
      <c r="D24" s="228"/>
      <c r="E24" s="228"/>
      <c r="F24" s="228"/>
      <c r="G24" s="228"/>
      <c r="H24" s="228"/>
      <c r="I24" s="226"/>
      <c r="J24" s="250" t="s">
        <v>239</v>
      </c>
      <c r="K24" s="251"/>
      <c r="L24" s="251"/>
      <c r="M24" s="251"/>
      <c r="N24" s="251"/>
      <c r="O24" s="251"/>
      <c r="P24" s="251"/>
      <c r="Q24" s="251"/>
      <c r="R24" s="251"/>
      <c r="S24" s="251"/>
      <c r="T24" s="252"/>
      <c r="U24" s="227" t="s">
        <v>238</v>
      </c>
      <c r="V24" s="228"/>
      <c r="W24" s="228"/>
      <c r="X24" s="226"/>
    </row>
    <row r="25" spans="1:24" ht="6" customHeight="1">
      <c r="A25" s="185"/>
      <c r="B25" s="185"/>
      <c r="C25" s="185"/>
      <c r="D25" s="185"/>
      <c r="E25" s="185"/>
      <c r="F25" s="185"/>
      <c r="G25" s="185"/>
      <c r="H25" s="185"/>
      <c r="I25" s="185"/>
      <c r="J25" s="185"/>
      <c r="K25" s="185"/>
      <c r="L25" s="185"/>
      <c r="M25" s="185"/>
      <c r="N25" s="185"/>
      <c r="O25" s="185"/>
      <c r="P25" s="185"/>
      <c r="Q25" s="185"/>
      <c r="R25" s="185"/>
      <c r="S25" s="185"/>
      <c r="T25" s="185"/>
      <c r="U25" s="185"/>
      <c r="V25" s="185"/>
      <c r="W25" s="11"/>
      <c r="X25" s="11"/>
    </row>
    <row r="26" spans="1:24">
      <c r="A26" s="219" t="s">
        <v>84</v>
      </c>
      <c r="B26" s="220"/>
      <c r="C26" s="220"/>
      <c r="D26" s="220"/>
      <c r="E26" s="220"/>
      <c r="F26" s="220"/>
      <c r="G26" s="220"/>
      <c r="H26" s="220"/>
      <c r="I26" s="221"/>
      <c r="J26" s="219" t="s">
        <v>85</v>
      </c>
      <c r="K26" s="220"/>
      <c r="L26" s="220"/>
      <c r="M26" s="220"/>
      <c r="N26" s="220"/>
      <c r="O26" s="220"/>
      <c r="P26" s="220"/>
      <c r="Q26" s="220"/>
      <c r="R26" s="220"/>
      <c r="S26" s="220"/>
      <c r="T26" s="221"/>
      <c r="U26" s="219" t="s">
        <v>125</v>
      </c>
      <c r="V26" s="220"/>
      <c r="W26" s="220"/>
      <c r="X26" s="221"/>
    </row>
    <row r="27" spans="1:24">
      <c r="A27" s="229" t="s">
        <v>242</v>
      </c>
      <c r="B27" s="230"/>
      <c r="C27" s="230"/>
      <c r="D27" s="230"/>
      <c r="E27" s="230"/>
      <c r="F27" s="230"/>
      <c r="G27" s="230"/>
      <c r="H27" s="230"/>
      <c r="I27" s="231"/>
      <c r="J27" s="250" t="s">
        <v>243</v>
      </c>
      <c r="K27" s="251"/>
      <c r="L27" s="251"/>
      <c r="M27" s="251"/>
      <c r="N27" s="251"/>
      <c r="O27" s="251"/>
      <c r="P27" s="251"/>
      <c r="Q27" s="251"/>
      <c r="R27" s="251"/>
      <c r="S27" s="251"/>
      <c r="T27" s="252"/>
      <c r="U27" s="229" t="s">
        <v>303</v>
      </c>
      <c r="V27" s="230"/>
      <c r="W27" s="230"/>
      <c r="X27" s="231"/>
    </row>
    <row r="28" spans="1:24" s="11" customFormat="1" ht="9" customHeight="1">
      <c r="A28" s="12"/>
      <c r="B28" s="12"/>
      <c r="F28" s="13"/>
      <c r="G28" s="13"/>
      <c r="H28" s="13"/>
    </row>
    <row r="29" spans="1:24" s="17" customFormat="1">
      <c r="A29" s="215" t="s">
        <v>6</v>
      </c>
      <c r="B29" s="217"/>
      <c r="C29" s="215" t="s">
        <v>5</v>
      </c>
      <c r="D29" s="217"/>
      <c r="E29" s="219" t="s">
        <v>101</v>
      </c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1"/>
      <c r="T29" s="186" t="s">
        <v>62</v>
      </c>
      <c r="U29" s="186" t="s">
        <v>63</v>
      </c>
      <c r="V29" s="186" t="s">
        <v>64</v>
      </c>
      <c r="W29" s="186" t="s">
        <v>65</v>
      </c>
      <c r="X29" s="186" t="s">
        <v>66</v>
      </c>
    </row>
    <row r="30" spans="1:24" s="11" customFormat="1" ht="12.75" customHeight="1">
      <c r="A30" s="242">
        <v>43070</v>
      </c>
      <c r="B30" s="243"/>
      <c r="C30" s="195">
        <v>43282</v>
      </c>
      <c r="D30" s="196"/>
      <c r="E30" s="257" t="s">
        <v>241</v>
      </c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9"/>
      <c r="T30" s="187">
        <v>0.25</v>
      </c>
      <c r="U30" s="182"/>
      <c r="V30" s="182"/>
      <c r="W30" s="182"/>
      <c r="X30" s="182"/>
    </row>
    <row r="31" spans="1:24" s="11" customFormat="1" ht="9" customHeight="1">
      <c r="A31" s="183"/>
      <c r="B31" s="183"/>
      <c r="C31" s="188"/>
      <c r="D31" s="188"/>
      <c r="E31" s="188"/>
      <c r="F31" s="188"/>
      <c r="G31" s="188"/>
      <c r="H31" s="188"/>
      <c r="I31" s="188"/>
      <c r="J31" s="188"/>
      <c r="K31" s="188"/>
      <c r="L31" s="189"/>
      <c r="M31" s="189"/>
      <c r="N31" s="189"/>
      <c r="O31" s="189"/>
      <c r="P31" s="189"/>
      <c r="Q31" s="189"/>
      <c r="R31" s="189"/>
      <c r="S31" s="189"/>
      <c r="T31" s="189"/>
      <c r="U31" s="189"/>
      <c r="V31" s="189"/>
      <c r="W31" s="189"/>
      <c r="X31" s="189"/>
    </row>
    <row r="32" spans="1:24" s="11" customFormat="1" ht="12.75" customHeight="1">
      <c r="A32" s="254" t="s">
        <v>128</v>
      </c>
      <c r="B32" s="255"/>
      <c r="C32" s="255"/>
      <c r="D32" s="255"/>
      <c r="E32" s="256"/>
      <c r="F32" s="254" t="s">
        <v>129</v>
      </c>
      <c r="G32" s="255"/>
      <c r="H32" s="255"/>
      <c r="I32" s="255"/>
      <c r="J32" s="256"/>
    </row>
    <row r="33" spans="1:24" s="11" customFormat="1" ht="12.75" customHeight="1">
      <c r="A33" s="190" t="s">
        <v>126</v>
      </c>
      <c r="B33" s="232" t="s">
        <v>345</v>
      </c>
      <c r="C33" s="233"/>
      <c r="D33" s="233"/>
      <c r="E33" s="234"/>
      <c r="F33" s="190" t="s">
        <v>126</v>
      </c>
      <c r="G33" s="232" t="s">
        <v>347</v>
      </c>
      <c r="H33" s="232"/>
      <c r="I33" s="232"/>
      <c r="J33" s="235"/>
    </row>
    <row r="34" spans="1:24" s="11" customFormat="1" ht="11.25" customHeight="1">
      <c r="A34" s="191" t="s">
        <v>127</v>
      </c>
      <c r="B34" s="222" t="s">
        <v>346</v>
      </c>
      <c r="C34" s="223"/>
      <c r="D34" s="223"/>
      <c r="E34" s="224"/>
      <c r="F34" s="191" t="s">
        <v>127</v>
      </c>
      <c r="G34" s="222" t="s">
        <v>348</v>
      </c>
      <c r="H34" s="223"/>
      <c r="I34" s="223"/>
      <c r="J34" s="224"/>
      <c r="L34" s="189"/>
      <c r="R34" s="189"/>
      <c r="S34" s="189"/>
      <c r="T34" s="189"/>
      <c r="U34" s="189"/>
      <c r="V34" s="189"/>
      <c r="W34" s="189"/>
      <c r="X34" s="189"/>
    </row>
    <row r="35" spans="1:24" s="11" customFormat="1" ht="12.75" customHeight="1">
      <c r="A35" s="197"/>
      <c r="B35" s="197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8"/>
      <c r="T35" s="198"/>
      <c r="U35" s="198"/>
      <c r="V35" s="198"/>
      <c r="W35" s="198"/>
      <c r="X35" s="198"/>
    </row>
    <row r="36" spans="1:24" s="11" customFormat="1" ht="12.75" customHeight="1">
      <c r="A36" s="202" t="s">
        <v>104</v>
      </c>
      <c r="B36" s="202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</row>
    <row r="37" spans="1:24" s="11" customFormat="1" ht="12.75" customHeight="1">
      <c r="A37" s="16"/>
      <c r="B37" s="16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</row>
    <row r="38" spans="1:24" s="11" customFormat="1" ht="12.75" customHeight="1">
      <c r="A38" s="197" t="s">
        <v>105</v>
      </c>
      <c r="B38" s="197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</row>
    <row r="39" spans="1:24" s="11" customFormat="1" ht="12.75" customHeight="1">
      <c r="A39" s="197" t="s">
        <v>106</v>
      </c>
      <c r="B39" s="197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</row>
    <row r="40" spans="1:24" s="11" customFormat="1" ht="12.75" customHeight="1">
      <c r="A40" s="199" t="s">
        <v>107</v>
      </c>
      <c r="B40" s="199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</row>
    <row r="41" spans="1:24" s="11" customFormat="1" ht="12.75" customHeight="1">
      <c r="A41" s="199" t="s">
        <v>108</v>
      </c>
      <c r="B41" s="199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</row>
    <row r="42" spans="1:24" s="11" customFormat="1" ht="12.75" customHeight="1">
      <c r="A42" s="197" t="s">
        <v>109</v>
      </c>
      <c r="B42" s="197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</row>
    <row r="43" spans="1:24" s="11" customFormat="1" ht="12.75" customHeight="1">
      <c r="A43" s="16"/>
      <c r="B43" s="16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</row>
    <row r="44" spans="1:24" s="11" customFormat="1" ht="12.75" customHeight="1">
      <c r="A44" s="202" t="s">
        <v>130</v>
      </c>
      <c r="B44" s="202"/>
      <c r="C44" s="203"/>
      <c r="D44" s="203"/>
      <c r="E44" s="203"/>
      <c r="F44" s="203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</row>
    <row r="45" spans="1:24" s="11" customFormat="1">
      <c r="A45" s="29"/>
      <c r="B45" s="29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</row>
    <row r="46" spans="1:24" s="11" customFormat="1" ht="12.75" customHeight="1">
      <c r="A46" s="197" t="s">
        <v>131</v>
      </c>
      <c r="B46" s="197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</row>
    <row r="47" spans="1:24" s="11" customFormat="1" ht="12.75" customHeight="1">
      <c r="A47" s="204" t="s">
        <v>67</v>
      </c>
      <c r="B47" s="204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</row>
    <row r="48" spans="1:24" s="11" customFormat="1" ht="12.75" customHeight="1">
      <c r="A48" s="207" t="s">
        <v>110</v>
      </c>
      <c r="B48" s="207"/>
      <c r="C48" s="208"/>
      <c r="D48" s="208"/>
      <c r="E48" s="208"/>
      <c r="F48" s="208"/>
      <c r="G48" s="208"/>
      <c r="H48" s="208"/>
      <c r="I48" s="208"/>
      <c r="J48" s="208"/>
      <c r="K48" s="208"/>
      <c r="L48" s="208"/>
      <c r="M48" s="208"/>
      <c r="N48" s="208"/>
      <c r="O48" s="208"/>
      <c r="P48" s="208"/>
      <c r="Q48" s="208"/>
      <c r="R48" s="208"/>
      <c r="S48" s="208"/>
      <c r="T48" s="208"/>
      <c r="U48" s="208"/>
      <c r="V48" s="208"/>
      <c r="W48" s="208"/>
      <c r="X48" s="208"/>
    </row>
    <row r="49" spans="1:24" s="11" customFormat="1" ht="12.75" customHeight="1">
      <c r="A49" s="209" t="s">
        <v>111</v>
      </c>
      <c r="B49" s="209"/>
      <c r="C49" s="210"/>
      <c r="D49" s="210"/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0"/>
    </row>
    <row r="50" spans="1:24" s="11" customFormat="1" ht="12.75" customHeight="1">
      <c r="A50" s="247" t="s">
        <v>112</v>
      </c>
      <c r="B50" s="247"/>
      <c r="C50" s="248"/>
      <c r="D50" s="248"/>
      <c r="E50" s="248"/>
      <c r="F50" s="248"/>
      <c r="G50" s="248"/>
      <c r="H50" s="248"/>
      <c r="I50" s="248"/>
      <c r="J50" s="248"/>
      <c r="K50" s="248"/>
      <c r="L50" s="248"/>
      <c r="M50" s="248"/>
      <c r="N50" s="248"/>
      <c r="O50" s="248"/>
      <c r="P50" s="248"/>
      <c r="Q50" s="248"/>
      <c r="R50" s="248"/>
      <c r="S50" s="248"/>
      <c r="T50" s="248"/>
      <c r="U50" s="248"/>
      <c r="V50" s="248"/>
      <c r="W50" s="248"/>
      <c r="X50" s="248"/>
    </row>
    <row r="51" spans="1:24" s="11" customFormat="1" ht="12.75" customHeight="1">
      <c r="A51" s="197" t="s">
        <v>132</v>
      </c>
      <c r="B51" s="197"/>
      <c r="C51" s="201"/>
      <c r="D51" s="201"/>
      <c r="E51" s="201"/>
      <c r="F51" s="201"/>
      <c r="G51" s="201"/>
      <c r="H51" s="201"/>
      <c r="I51" s="201"/>
      <c r="J51" s="201"/>
      <c r="K51" s="201"/>
      <c r="L51" s="201"/>
      <c r="M51" s="201"/>
      <c r="N51" s="201"/>
      <c r="O51" s="201"/>
      <c r="P51" s="201"/>
      <c r="Q51" s="201"/>
      <c r="R51" s="201"/>
      <c r="S51" s="201"/>
      <c r="T51" s="201"/>
      <c r="U51" s="201"/>
      <c r="V51" s="201"/>
      <c r="W51" s="201"/>
      <c r="X51" s="201"/>
    </row>
    <row r="52" spans="1:24" s="11" customFormat="1" ht="12.75" customHeight="1">
      <c r="A52" s="197" t="s">
        <v>133</v>
      </c>
      <c r="B52" s="197"/>
      <c r="C52" s="201"/>
      <c r="D52" s="201"/>
      <c r="E52" s="201"/>
      <c r="F52" s="201"/>
      <c r="G52" s="201"/>
      <c r="H52" s="201"/>
      <c r="I52" s="201"/>
      <c r="J52" s="201"/>
      <c r="K52" s="201"/>
      <c r="L52" s="201"/>
      <c r="M52" s="201"/>
      <c r="N52" s="201"/>
      <c r="O52" s="201"/>
      <c r="P52" s="201"/>
      <c r="Q52" s="201"/>
      <c r="R52" s="201"/>
      <c r="S52" s="201"/>
      <c r="T52" s="201"/>
      <c r="U52" s="201"/>
      <c r="V52" s="201"/>
      <c r="W52" s="201"/>
      <c r="X52" s="201"/>
    </row>
    <row r="53" spans="1:24" s="11" customFormat="1" ht="12.75" customHeight="1">
      <c r="A53" s="199" t="s">
        <v>134</v>
      </c>
      <c r="B53" s="199"/>
      <c r="C53" s="206"/>
      <c r="D53" s="206"/>
      <c r="E53" s="206"/>
      <c r="F53" s="206"/>
      <c r="G53" s="206"/>
      <c r="H53" s="206"/>
      <c r="I53" s="206"/>
      <c r="J53" s="206"/>
      <c r="K53" s="206"/>
      <c r="L53" s="206"/>
      <c r="M53" s="206"/>
      <c r="N53" s="206"/>
      <c r="O53" s="206"/>
      <c r="P53" s="206"/>
      <c r="Q53" s="206"/>
      <c r="R53" s="206"/>
      <c r="S53" s="206"/>
      <c r="T53" s="206"/>
      <c r="U53" s="206"/>
      <c r="V53" s="206"/>
      <c r="W53" s="206"/>
      <c r="X53" s="206"/>
    </row>
    <row r="54" spans="1:24" ht="12.75" customHeight="1">
      <c r="A54" s="197" t="s">
        <v>135</v>
      </c>
      <c r="B54" s="197"/>
      <c r="C54" s="201"/>
      <c r="D54" s="201"/>
      <c r="E54" s="201"/>
      <c r="F54" s="201"/>
      <c r="G54" s="201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S54" s="201"/>
      <c r="T54" s="201"/>
      <c r="U54" s="201"/>
      <c r="V54" s="201"/>
      <c r="W54" s="201"/>
      <c r="X54" s="201"/>
    </row>
    <row r="55" spans="1:24" ht="12.75" customHeight="1">
      <c r="A55" s="199" t="s">
        <v>136</v>
      </c>
      <c r="B55" s="199"/>
      <c r="C55" s="206"/>
      <c r="D55" s="206"/>
      <c r="E55" s="206"/>
      <c r="F55" s="206"/>
      <c r="G55" s="206"/>
      <c r="H55" s="206"/>
      <c r="I55" s="206"/>
      <c r="J55" s="206"/>
      <c r="K55" s="206"/>
      <c r="L55" s="206"/>
      <c r="M55" s="206"/>
      <c r="N55" s="206"/>
      <c r="O55" s="206"/>
      <c r="P55" s="206"/>
      <c r="Q55" s="206"/>
      <c r="R55" s="206"/>
      <c r="S55" s="206"/>
      <c r="T55" s="206"/>
      <c r="U55" s="206"/>
      <c r="V55" s="206"/>
      <c r="W55" s="206"/>
      <c r="X55" s="206"/>
    </row>
    <row r="56" spans="1:24" ht="25.5" customHeight="1">
      <c r="A56" s="199" t="s">
        <v>137</v>
      </c>
      <c r="B56" s="199"/>
      <c r="C56" s="206"/>
      <c r="D56" s="206"/>
      <c r="E56" s="206"/>
      <c r="F56" s="206"/>
      <c r="G56" s="206"/>
      <c r="H56" s="206"/>
      <c r="I56" s="206"/>
      <c r="J56" s="206"/>
      <c r="K56" s="206"/>
      <c r="L56" s="206"/>
      <c r="M56" s="206"/>
      <c r="N56" s="206"/>
      <c r="O56" s="206"/>
      <c r="P56" s="206"/>
      <c r="Q56" s="206"/>
      <c r="R56" s="206"/>
      <c r="S56" s="206"/>
      <c r="T56" s="206"/>
      <c r="U56" s="206"/>
      <c r="V56" s="206"/>
      <c r="W56" s="206"/>
      <c r="X56" s="206"/>
    </row>
    <row r="57" spans="1:24" ht="12.75" customHeight="1">
      <c r="A57" s="199" t="s">
        <v>138</v>
      </c>
      <c r="B57" s="199"/>
      <c r="C57" s="206"/>
      <c r="D57" s="206"/>
      <c r="E57" s="206"/>
      <c r="F57" s="206"/>
      <c r="G57" s="206"/>
      <c r="H57" s="206"/>
      <c r="I57" s="206"/>
      <c r="J57" s="206"/>
      <c r="K57" s="206"/>
      <c r="L57" s="206"/>
      <c r="M57" s="206"/>
      <c r="N57" s="206"/>
      <c r="O57" s="206"/>
      <c r="P57" s="206"/>
      <c r="Q57" s="206"/>
      <c r="R57" s="206"/>
      <c r="S57" s="206"/>
      <c r="T57" s="206"/>
      <c r="U57" s="206"/>
      <c r="V57" s="206"/>
      <c r="W57" s="206"/>
      <c r="X57" s="206"/>
    </row>
    <row r="58" spans="1:24" ht="12.75" customHeight="1">
      <c r="A58" s="199" t="s">
        <v>139</v>
      </c>
      <c r="B58" s="199"/>
      <c r="C58" s="206"/>
      <c r="D58" s="206"/>
      <c r="E58" s="206"/>
      <c r="F58" s="206"/>
      <c r="G58" s="206"/>
      <c r="H58" s="206"/>
      <c r="I58" s="206"/>
      <c r="J58" s="206"/>
      <c r="K58" s="206"/>
      <c r="L58" s="206"/>
      <c r="M58" s="206"/>
      <c r="N58" s="206"/>
      <c r="O58" s="206"/>
      <c r="P58" s="206"/>
      <c r="Q58" s="206"/>
      <c r="R58" s="206"/>
      <c r="S58" s="206"/>
      <c r="T58" s="206"/>
      <c r="U58" s="206"/>
      <c r="V58" s="206"/>
      <c r="W58" s="206"/>
      <c r="X58" s="206"/>
    </row>
    <row r="59" spans="1:24" ht="12.75" customHeight="1">
      <c r="A59" s="197" t="s">
        <v>140</v>
      </c>
      <c r="B59" s="197"/>
      <c r="C59" s="201"/>
      <c r="D59" s="201"/>
      <c r="E59" s="201"/>
      <c r="F59" s="201"/>
      <c r="G59" s="201"/>
      <c r="H59" s="201"/>
      <c r="I59" s="201"/>
      <c r="J59" s="201"/>
      <c r="K59" s="201"/>
      <c r="L59" s="201"/>
      <c r="M59" s="201"/>
      <c r="N59" s="201"/>
      <c r="O59" s="201"/>
      <c r="P59" s="201"/>
      <c r="Q59" s="201"/>
      <c r="R59" s="201"/>
      <c r="S59" s="201"/>
      <c r="T59" s="201"/>
      <c r="U59" s="201"/>
      <c r="V59" s="201"/>
      <c r="W59" s="201"/>
      <c r="X59" s="201"/>
    </row>
    <row r="60" spans="1:24" ht="12.75" customHeight="1">
      <c r="A60" s="197" t="s">
        <v>141</v>
      </c>
      <c r="B60" s="197"/>
      <c r="C60" s="201"/>
      <c r="D60" s="201"/>
      <c r="E60" s="201"/>
      <c r="F60" s="201"/>
      <c r="G60" s="201"/>
      <c r="H60" s="201"/>
      <c r="I60" s="201"/>
      <c r="J60" s="201"/>
      <c r="K60" s="201"/>
      <c r="L60" s="201"/>
      <c r="M60" s="201"/>
      <c r="N60" s="201"/>
      <c r="O60" s="201"/>
      <c r="P60" s="201"/>
      <c r="Q60" s="201"/>
      <c r="R60" s="201"/>
      <c r="S60" s="201"/>
      <c r="T60" s="201"/>
      <c r="U60" s="201"/>
      <c r="V60" s="201"/>
      <c r="W60" s="201"/>
      <c r="X60" s="201"/>
    </row>
    <row r="61" spans="1:24" ht="12.75" customHeight="1">
      <c r="A61" s="197" t="s">
        <v>142</v>
      </c>
      <c r="B61" s="197"/>
      <c r="C61" s="201"/>
      <c r="D61" s="201"/>
      <c r="E61" s="201"/>
      <c r="F61" s="201"/>
      <c r="G61" s="201"/>
      <c r="H61" s="201"/>
      <c r="I61" s="201"/>
      <c r="J61" s="201"/>
      <c r="K61" s="201"/>
      <c r="L61" s="201"/>
      <c r="M61" s="201"/>
      <c r="N61" s="201"/>
      <c r="O61" s="201"/>
      <c r="P61" s="201"/>
      <c r="Q61" s="201"/>
      <c r="R61" s="201"/>
      <c r="S61" s="201"/>
      <c r="T61" s="201"/>
      <c r="U61" s="201"/>
      <c r="V61" s="201"/>
      <c r="W61" s="201"/>
      <c r="X61" s="201"/>
    </row>
    <row r="62" spans="1:24" s="11" customFormat="1" ht="12.75" customHeight="1">
      <c r="A62" s="197" t="s">
        <v>143</v>
      </c>
      <c r="B62" s="197"/>
      <c r="C62" s="201"/>
      <c r="D62" s="201"/>
      <c r="E62" s="201"/>
      <c r="F62" s="201"/>
      <c r="G62" s="201"/>
      <c r="H62" s="201"/>
      <c r="I62" s="201"/>
      <c r="J62" s="201"/>
      <c r="K62" s="201"/>
      <c r="L62" s="201"/>
      <c r="M62" s="201"/>
      <c r="N62" s="201"/>
      <c r="O62" s="201"/>
      <c r="P62" s="201"/>
      <c r="Q62" s="201"/>
      <c r="R62" s="201"/>
      <c r="S62" s="201"/>
      <c r="T62" s="201"/>
      <c r="U62" s="201"/>
      <c r="V62" s="201"/>
      <c r="W62" s="201"/>
      <c r="X62" s="201"/>
    </row>
    <row r="63" spans="1:24" s="11" customFormat="1" ht="12.75" customHeight="1">
      <c r="A63" s="197" t="s">
        <v>144</v>
      </c>
      <c r="B63" s="197"/>
      <c r="C63" s="201"/>
      <c r="D63" s="201"/>
      <c r="E63" s="201"/>
      <c r="F63" s="201"/>
      <c r="G63" s="201"/>
      <c r="H63" s="201"/>
      <c r="I63" s="201"/>
      <c r="J63" s="201"/>
      <c r="K63" s="201"/>
      <c r="L63" s="201"/>
      <c r="M63" s="201"/>
      <c r="N63" s="201"/>
      <c r="O63" s="201"/>
      <c r="P63" s="201"/>
      <c r="Q63" s="201"/>
      <c r="R63" s="201"/>
      <c r="S63" s="201"/>
      <c r="T63" s="201"/>
      <c r="U63" s="201"/>
      <c r="V63" s="201"/>
      <c r="W63" s="201"/>
      <c r="X63" s="201"/>
    </row>
    <row r="64" spans="1:24" s="11" customFormat="1">
      <c r="A64" s="197"/>
      <c r="B64" s="197"/>
      <c r="C64" s="201"/>
      <c r="D64" s="201"/>
      <c r="E64" s="201"/>
      <c r="F64" s="201"/>
      <c r="G64" s="201"/>
      <c r="H64" s="201"/>
      <c r="I64" s="201"/>
      <c r="J64" s="201"/>
      <c r="K64" s="201"/>
      <c r="L64" s="201"/>
      <c r="M64" s="201"/>
      <c r="N64" s="201"/>
      <c r="O64" s="201"/>
      <c r="P64" s="201"/>
      <c r="Q64" s="201"/>
      <c r="R64" s="201"/>
      <c r="S64" s="201"/>
      <c r="T64" s="201"/>
      <c r="U64" s="201"/>
      <c r="V64" s="201"/>
      <c r="W64" s="201"/>
      <c r="X64" s="201"/>
    </row>
    <row r="65" spans="1:24">
      <c r="A65" s="202" t="s">
        <v>145</v>
      </c>
      <c r="B65" s="202"/>
      <c r="C65" s="203"/>
      <c r="D65" s="203"/>
      <c r="E65" s="203"/>
      <c r="F65" s="203"/>
      <c r="G65" s="203"/>
      <c r="H65" s="203"/>
      <c r="I65" s="203"/>
      <c r="J65" s="203"/>
      <c r="K65" s="203"/>
      <c r="L65" s="203"/>
      <c r="M65" s="203"/>
      <c r="N65" s="203"/>
      <c r="O65" s="203"/>
      <c r="P65" s="203"/>
      <c r="Q65" s="203"/>
      <c r="R65" s="203"/>
      <c r="S65" s="203"/>
      <c r="T65" s="203"/>
      <c r="U65" s="203"/>
      <c r="V65" s="203"/>
      <c r="W65" s="203"/>
      <c r="X65" s="203"/>
    </row>
    <row r="66" spans="1:24" ht="12.75" customHeight="1">
      <c r="A66" s="199"/>
      <c r="B66" s="199"/>
      <c r="C66" s="200"/>
      <c r="D66" s="200"/>
      <c r="E66" s="200"/>
      <c r="F66" s="200"/>
      <c r="G66" s="200"/>
      <c r="H66" s="200"/>
      <c r="I66" s="200"/>
      <c r="J66" s="200"/>
      <c r="K66" s="200"/>
      <c r="L66" s="200"/>
      <c r="M66" s="200"/>
      <c r="N66" s="200"/>
      <c r="O66" s="200"/>
      <c r="P66" s="200"/>
      <c r="Q66" s="200"/>
      <c r="R66" s="200"/>
      <c r="S66" s="200"/>
      <c r="T66" s="200"/>
      <c r="U66" s="200"/>
      <c r="V66" s="200"/>
      <c r="W66" s="200"/>
      <c r="X66" s="200"/>
    </row>
    <row r="67" spans="1:24" ht="12.75" customHeight="1">
      <c r="A67" s="197" t="s">
        <v>146</v>
      </c>
      <c r="B67" s="197"/>
      <c r="C67" s="198"/>
      <c r="D67" s="198"/>
      <c r="E67" s="198"/>
      <c r="F67" s="198"/>
      <c r="G67" s="198"/>
      <c r="H67" s="198"/>
      <c r="I67" s="198"/>
      <c r="J67" s="198"/>
      <c r="K67" s="198"/>
      <c r="L67" s="198"/>
      <c r="M67" s="198"/>
      <c r="N67" s="198"/>
      <c r="O67" s="198"/>
      <c r="P67" s="198"/>
      <c r="Q67" s="198"/>
      <c r="R67" s="198"/>
      <c r="S67" s="198"/>
      <c r="T67" s="198"/>
      <c r="U67" s="198"/>
      <c r="V67" s="198"/>
      <c r="W67" s="198"/>
      <c r="X67" s="198"/>
    </row>
    <row r="68" spans="1:24" ht="12.75" customHeight="1">
      <c r="A68" s="197" t="s">
        <v>147</v>
      </c>
      <c r="B68" s="197"/>
      <c r="C68" s="198"/>
      <c r="D68" s="198"/>
      <c r="E68" s="198"/>
      <c r="F68" s="198"/>
      <c r="G68" s="198"/>
      <c r="H68" s="198"/>
      <c r="I68" s="198"/>
      <c r="J68" s="198"/>
      <c r="K68" s="198"/>
      <c r="L68" s="198"/>
      <c r="M68" s="198"/>
      <c r="N68" s="198"/>
      <c r="O68" s="198"/>
      <c r="P68" s="198"/>
      <c r="Q68" s="198"/>
      <c r="R68" s="198"/>
      <c r="S68" s="198"/>
      <c r="T68" s="198"/>
      <c r="U68" s="198"/>
      <c r="V68" s="198"/>
      <c r="W68" s="198"/>
      <c r="X68" s="198"/>
    </row>
    <row r="69" spans="1:24">
      <c r="A69" s="197" t="s">
        <v>148</v>
      </c>
      <c r="B69" s="197"/>
      <c r="C69" s="198"/>
      <c r="D69" s="198"/>
      <c r="E69" s="198"/>
      <c r="F69" s="198"/>
      <c r="G69" s="198"/>
      <c r="H69" s="198"/>
      <c r="I69" s="198"/>
      <c r="J69" s="198"/>
      <c r="K69" s="198"/>
      <c r="L69" s="198"/>
      <c r="M69" s="198"/>
      <c r="N69" s="198"/>
      <c r="O69" s="198"/>
      <c r="P69" s="198"/>
      <c r="Q69" s="198"/>
      <c r="R69" s="198"/>
      <c r="S69" s="198"/>
      <c r="T69" s="198"/>
      <c r="U69" s="198"/>
      <c r="V69" s="198"/>
      <c r="W69" s="198"/>
      <c r="X69" s="198"/>
    </row>
    <row r="145" spans="1:11">
      <c r="A145" s="213" t="s">
        <v>12</v>
      </c>
      <c r="B145" s="214"/>
      <c r="C145" s="214"/>
      <c r="D145" s="214"/>
      <c r="E145" s="214"/>
      <c r="F145" s="19"/>
      <c r="G145" s="213" t="s">
        <v>81</v>
      </c>
      <c r="H145" s="214"/>
      <c r="I145" s="214"/>
      <c r="J145" s="214"/>
      <c r="K145" s="214"/>
    </row>
    <row r="146" spans="1:11">
      <c r="A146" s="131" t="s">
        <v>31</v>
      </c>
      <c r="B146" s="211" t="str">
        <f>B33</f>
        <v>Andrelina Nunes Da Silva</v>
      </c>
      <c r="C146" s="212"/>
      <c r="D146" s="212"/>
      <c r="E146" s="212"/>
      <c r="F146" s="19"/>
      <c r="G146" s="184" t="s">
        <v>31</v>
      </c>
      <c r="H146" s="211" t="str">
        <f>G33</f>
        <v>Luiz Celso Moraes de Oliveira</v>
      </c>
      <c r="I146" s="212"/>
      <c r="J146" s="212"/>
      <c r="K146" s="212"/>
    </row>
    <row r="147" spans="1:11">
      <c r="A147" s="131" t="s">
        <v>13</v>
      </c>
      <c r="B147" s="211" t="str">
        <f>B34</f>
        <v>Assistente Social CRESS/MT nº 3928</v>
      </c>
      <c r="C147" s="212"/>
      <c r="D147" s="212"/>
      <c r="E147" s="212"/>
      <c r="F147" s="19"/>
      <c r="G147" s="184" t="s">
        <v>13</v>
      </c>
      <c r="H147" s="211" t="str">
        <f>G34</f>
        <v>Secretario Mun. Viação e Obras</v>
      </c>
      <c r="I147" s="212"/>
      <c r="J147" s="212"/>
      <c r="K147" s="212"/>
    </row>
  </sheetData>
  <sheetProtection algorithmName="SHA-512" hashValue="jIEsw+MdMommvVzopKTnm849OBJLf9n2SypqVzzAflYsOA4r6PkyObeRXR2MZ9K4QvAg49HN11RAatxXTCzrNA==" saltValue="UstXQPoM7RaSrGLj2rzRrw==" spinCount="100000" sheet="1" objects="1" scenarios="1" formatRows="0"/>
  <mergeCells count="75">
    <mergeCell ref="A5:X5"/>
    <mergeCell ref="A36:X36"/>
    <mergeCell ref="J24:T24"/>
    <mergeCell ref="A9:X9"/>
    <mergeCell ref="A19:X19"/>
    <mergeCell ref="A11:X11"/>
    <mergeCell ref="A13:X13"/>
    <mergeCell ref="B34:E34"/>
    <mergeCell ref="J27:T27"/>
    <mergeCell ref="A26:I26"/>
    <mergeCell ref="A27:I27"/>
    <mergeCell ref="A32:E32"/>
    <mergeCell ref="F32:J32"/>
    <mergeCell ref="E29:S29"/>
    <mergeCell ref="E30:S30"/>
    <mergeCell ref="C29:D29"/>
    <mergeCell ref="A69:X69"/>
    <mergeCell ref="A68:X68"/>
    <mergeCell ref="A66:X66"/>
    <mergeCell ref="A61:X61"/>
    <mergeCell ref="A54:X54"/>
    <mergeCell ref="A59:X59"/>
    <mergeCell ref="A60:X60"/>
    <mergeCell ref="A65:X65"/>
    <mergeCell ref="A67:X67"/>
    <mergeCell ref="A64:X64"/>
    <mergeCell ref="A63:X63"/>
    <mergeCell ref="B1:X2"/>
    <mergeCell ref="H147:K147"/>
    <mergeCell ref="U24:X24"/>
    <mergeCell ref="A17:X17"/>
    <mergeCell ref="A30:B30"/>
    <mergeCell ref="A4:X4"/>
    <mergeCell ref="A7:X7"/>
    <mergeCell ref="B146:E146"/>
    <mergeCell ref="A29:B29"/>
    <mergeCell ref="A15:X15"/>
    <mergeCell ref="B147:E147"/>
    <mergeCell ref="A42:X42"/>
    <mergeCell ref="A35:X35"/>
    <mergeCell ref="A145:E145"/>
    <mergeCell ref="A50:X50"/>
    <mergeCell ref="A52:X52"/>
    <mergeCell ref="H146:K146"/>
    <mergeCell ref="G145:K145"/>
    <mergeCell ref="U23:X23"/>
    <mergeCell ref="A21:X21"/>
    <mergeCell ref="U26:X26"/>
    <mergeCell ref="G34:J34"/>
    <mergeCell ref="J23:T23"/>
    <mergeCell ref="A23:B23"/>
    <mergeCell ref="A24:B24"/>
    <mergeCell ref="C23:I23"/>
    <mergeCell ref="C24:I24"/>
    <mergeCell ref="J26:T26"/>
    <mergeCell ref="U27:X27"/>
    <mergeCell ref="B33:E33"/>
    <mergeCell ref="G33:J33"/>
    <mergeCell ref="A46:X46"/>
    <mergeCell ref="C30:D30"/>
    <mergeCell ref="A38:X38"/>
    <mergeCell ref="A39:X39"/>
    <mergeCell ref="A41:X41"/>
    <mergeCell ref="A62:X62"/>
    <mergeCell ref="A40:X40"/>
    <mergeCell ref="A44:X44"/>
    <mergeCell ref="A47:X47"/>
    <mergeCell ref="A53:X53"/>
    <mergeCell ref="A58:X58"/>
    <mergeCell ref="A56:X56"/>
    <mergeCell ref="A57:X57"/>
    <mergeCell ref="A55:X55"/>
    <mergeCell ref="A51:X51"/>
    <mergeCell ref="A48:X48"/>
    <mergeCell ref="A49:X49"/>
  </mergeCells>
  <phoneticPr fontId="24" type="noConversion"/>
  <conditionalFormatting sqref="A24:X24 A27:X27 A30:X30 B33:E34 G33:J34">
    <cfRule type="expression" dxfId="166" priority="1" stopIfTrue="1">
      <formula>A24=""</formula>
    </cfRule>
  </conditionalFormatting>
  <dataValidations count="7">
    <dataValidation allowBlank="1" showInputMessage="1" showErrorMessage="1" promptTitle="Nº OPERAÇÃO:" prompt="nº do Contrato de Repasse ou Termo de Compromisso, firmado com a CAIXA._x000a_Formato 0.000.000-00/0000." sqref="A24:B24"/>
    <dataValidation allowBlank="1" showInputMessage="1" showErrorMessage="1" promptTitle="Obj. do Contrato" prompt="Informar sinteticamente o objeto da intervenção física." sqref="A27"/>
    <dataValidation type="date" operator="greaterThan" allowBlank="1" showInputMessage="1" showErrorMessage="1" errorTitle="Erro de valor" error="Digite somente datas." promptTitle="Data Base" prompt="Informar mês e ano de coleta de preço dos insumos (mm/aaaa)" sqref="A30:B30">
      <formula1>36526</formula1>
    </dataValidation>
    <dataValidation type="date" operator="greaterThan" allowBlank="1" showInputMessage="1" showErrorMessage="1" errorTitle="Erro de valor" error="Digite somente datas." promptTitle="Data Início" prompt="Inserir mês e ano previsto para o início do objeto de trabalho social._x000a_Obs: o mês informado servirá de  base para a estruturação do cronograma físico financeiro da aba &quot;CFF&quot;" sqref="C30:D30">
      <formula1>36526</formula1>
    </dataValidation>
    <dataValidation allowBlank="1" showInputMessage="1" showErrorMessage="1" promptTitle="Objeto do Trabalho Social" prompt="Informar  a que parte do TS se refere a planilha orçamentária._x000a_Exemplos:_x000a_Execução do PTS-P;_x000a_Execução do PTS;_x000a_Elaboração de diagnóstico;_x000a_Execução do PDST..." sqref="J27"/>
    <dataValidation type="list" operator="greaterThan" allowBlank="1" showErrorMessage="1" errorTitle="Erro de valor" error="Digite somente datas." promptTitle="Regime de Execução do TS" prompt="Opções:_x000a_Administração Direta_x000a_Administração Indireta_x000a_Administração Mista" sqref="U27:X27">
      <formula1>"Administração Direta,Administração Indireta,Administração Mista"</formula1>
    </dataValidation>
    <dataValidation allowBlank="1" showInputMessage="1" showErrorMessage="1" promptTitle="Despesas Indiretas" prompt="Informe aqui o percentual de despesas indiretas (DI)" sqref="T30:X30"/>
  </dataValidations>
  <pageMargins left="0.78740157480314998" right="0.78740157480314998" top="0.78740157480314998" bottom="0.78740157480314998" header="0.59055118110236204" footer="0.59055118110236204"/>
  <pageSetup paperSize="9" scale="41" orientation="portrait" r:id="rId1"/>
  <headerFooter alignWithMargins="0">
    <oddFooter>&amp;R&amp;P&amp;LXX.XXX v001  micro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Plan2">
    <pageSetUpPr fitToPage="1"/>
  </sheetPr>
  <dimension ref="A1:G170"/>
  <sheetViews>
    <sheetView showGridLines="0" topLeftCell="C1" workbookViewId="0">
      <pane ySplit="5" topLeftCell="A60" activePane="bottomLeft" state="frozen"/>
      <selection activeCell="B3" sqref="B3"/>
      <selection pane="bottomLeft" activeCell="G8" sqref="G8"/>
    </sheetView>
  </sheetViews>
  <sheetFormatPr defaultRowHeight="12.75"/>
  <cols>
    <col min="1" max="1" width="17.42578125" style="163" hidden="1" customWidth="1"/>
    <col min="2" max="2" width="13.28515625" style="163" customWidth="1"/>
    <col min="3" max="3" width="9.7109375" style="164" customWidth="1"/>
    <col min="4" max="4" width="13.42578125" style="163" customWidth="1"/>
    <col min="5" max="5" width="72.28515625" style="163" customWidth="1"/>
    <col min="6" max="6" width="10.7109375" style="163" customWidth="1"/>
    <col min="7" max="7" width="12.7109375" style="164" customWidth="1"/>
    <col min="8" max="16384" width="9.140625" style="163"/>
  </cols>
  <sheetData>
    <row r="1" spans="1:7" hidden="1">
      <c r="A1" s="162">
        <v>2</v>
      </c>
    </row>
    <row r="2" spans="1:7" hidden="1">
      <c r="A2" s="162" t="str">
        <f>CHOOSE(A1,"Rec. Humanos","Rec. Materiais","Serv. Terc.")</f>
        <v>Rec. Materiais</v>
      </c>
    </row>
    <row r="3" spans="1:7" ht="53.25" customHeight="1">
      <c r="A3" s="162">
        <f ca="1">MATCH(A2,OFFSET(Banco,0,1,,1),0)+ROW(Banco)+COUNTIF(OFFSET(Banco,0,1,,1),Banco.Opção)-1</f>
        <v>84</v>
      </c>
      <c r="B3" s="260" t="s">
        <v>114</v>
      </c>
      <c r="C3" s="260"/>
      <c r="D3" s="260"/>
      <c r="E3" s="260"/>
      <c r="F3" s="260"/>
      <c r="G3" s="260"/>
    </row>
    <row r="4" spans="1:7" ht="15" customHeight="1">
      <c r="B4" s="152" t="s">
        <v>73</v>
      </c>
      <c r="C4" s="153" t="s">
        <v>74</v>
      </c>
      <c r="D4" s="153" t="s">
        <v>75</v>
      </c>
      <c r="E4" s="154" t="s">
        <v>83</v>
      </c>
      <c r="F4" s="152" t="s">
        <v>76</v>
      </c>
      <c r="G4" s="155" t="s">
        <v>77</v>
      </c>
    </row>
    <row r="5" spans="1:7" hidden="1">
      <c r="A5" s="163" t="str">
        <f t="shared" ref="A5:A17" ca="1" si="0">B5&amp;"-"&amp;C5</f>
        <v>-000</v>
      </c>
      <c r="B5" s="156"/>
      <c r="C5" s="157" t="str">
        <f t="shared" ref="C5:C17" ca="1" si="1">TEXT(COUNTIF(OFFSET(Banco,1,1,ROW(C5)-ROW(Banco),1),B5),"000")</f>
        <v>000</v>
      </c>
      <c r="D5" s="158"/>
      <c r="E5" s="159"/>
      <c r="F5" s="160"/>
      <c r="G5" s="161"/>
    </row>
    <row r="6" spans="1:7">
      <c r="A6" s="163" t="str">
        <f t="shared" ca="1" si="0"/>
        <v>Rec. Humanos-001</v>
      </c>
      <c r="B6" s="156" t="s">
        <v>78</v>
      </c>
      <c r="C6" s="157" t="str">
        <f t="shared" ca="1" si="1"/>
        <v>001</v>
      </c>
      <c r="D6" s="158" t="s">
        <v>172</v>
      </c>
      <c r="E6" s="159" t="s">
        <v>173</v>
      </c>
      <c r="F6" s="160" t="s">
        <v>206</v>
      </c>
      <c r="G6" s="161">
        <v>150.28</v>
      </c>
    </row>
    <row r="7" spans="1:7">
      <c r="A7" s="163" t="str">
        <f t="shared" ca="1" si="0"/>
        <v>Rec. Humanos-002</v>
      </c>
      <c r="B7" s="156" t="s">
        <v>78</v>
      </c>
      <c r="C7" s="157" t="str">
        <f t="shared" ca="1" si="1"/>
        <v>002</v>
      </c>
      <c r="D7" s="158" t="s">
        <v>172</v>
      </c>
      <c r="E7" s="159" t="s">
        <v>269</v>
      </c>
      <c r="F7" s="160" t="s">
        <v>206</v>
      </c>
      <c r="G7" s="161">
        <v>133.81</v>
      </c>
    </row>
    <row r="8" spans="1:7">
      <c r="A8" s="163" t="str">
        <f t="shared" ca="1" si="0"/>
        <v>Rec. Humanos-003</v>
      </c>
      <c r="B8" s="156" t="s">
        <v>78</v>
      </c>
      <c r="C8" s="157" t="str">
        <f t="shared" ca="1" si="1"/>
        <v>003</v>
      </c>
      <c r="D8" s="158" t="s">
        <v>184</v>
      </c>
      <c r="E8" s="159" t="s">
        <v>313</v>
      </c>
      <c r="F8" s="160" t="s">
        <v>206</v>
      </c>
      <c r="G8" s="161">
        <v>103.65</v>
      </c>
    </row>
    <row r="9" spans="1:7">
      <c r="A9" s="163" t="str">
        <f t="shared" ca="1" si="0"/>
        <v>Rec. Humanos-004</v>
      </c>
      <c r="B9" s="156" t="s">
        <v>78</v>
      </c>
      <c r="C9" s="157" t="str">
        <f t="shared" ca="1" si="1"/>
        <v>004</v>
      </c>
      <c r="D9" s="158" t="s">
        <v>331</v>
      </c>
      <c r="E9" s="159" t="s">
        <v>174</v>
      </c>
      <c r="F9" s="160" t="s">
        <v>206</v>
      </c>
      <c r="G9" s="161">
        <v>9.7899999999999991</v>
      </c>
    </row>
    <row r="10" spans="1:7">
      <c r="A10" s="163" t="str">
        <f ca="1">B10&amp;"-"&amp;C10</f>
        <v>Rec. Humanos-005</v>
      </c>
      <c r="B10" s="156" t="s">
        <v>78</v>
      </c>
      <c r="C10" s="157" t="str">
        <f t="shared" ca="1" si="1"/>
        <v>005</v>
      </c>
      <c r="D10" s="158"/>
      <c r="E10" s="159"/>
      <c r="F10" s="160"/>
      <c r="G10" s="161"/>
    </row>
    <row r="11" spans="1:7">
      <c r="A11" s="163" t="str">
        <f ca="1">B11&amp;"-"&amp;C11</f>
        <v>Rec. Humanos-006</v>
      </c>
      <c r="B11" s="156" t="s">
        <v>78</v>
      </c>
      <c r="C11" s="157" t="str">
        <f t="shared" ca="1" si="1"/>
        <v>006</v>
      </c>
      <c r="D11" s="158"/>
      <c r="E11" s="159"/>
      <c r="F11" s="160"/>
      <c r="G11" s="161"/>
    </row>
    <row r="12" spans="1:7">
      <c r="A12" s="163" t="str">
        <f ca="1">B12&amp;"-"&amp;C12</f>
        <v>Rec. Humanos-007</v>
      </c>
      <c r="B12" s="156" t="s">
        <v>78</v>
      </c>
      <c r="C12" s="157" t="str">
        <f ca="1">TEXT(COUNTIF(OFFSET(Banco,1,1,ROW(C12)-ROW(Banco),1),B12),"000")</f>
        <v>007</v>
      </c>
      <c r="D12" s="158"/>
      <c r="E12" s="159"/>
      <c r="F12" s="160"/>
      <c r="G12" s="161"/>
    </row>
    <row r="13" spans="1:7">
      <c r="A13" s="163" t="str">
        <f t="shared" ca="1" si="0"/>
        <v>Rec. Materiais-001</v>
      </c>
      <c r="B13" s="156" t="s">
        <v>79</v>
      </c>
      <c r="C13" s="157" t="str">
        <f t="shared" ca="1" si="1"/>
        <v>001</v>
      </c>
      <c r="D13" s="158" t="s">
        <v>184</v>
      </c>
      <c r="E13" s="159" t="s">
        <v>175</v>
      </c>
      <c r="F13" s="160" t="s">
        <v>177</v>
      </c>
      <c r="G13" s="161">
        <v>28</v>
      </c>
    </row>
    <row r="14" spans="1:7">
      <c r="A14" s="163" t="str">
        <f t="shared" ca="1" si="0"/>
        <v>Rec. Materiais-002</v>
      </c>
      <c r="B14" s="156" t="s">
        <v>79</v>
      </c>
      <c r="C14" s="157" t="str">
        <f t="shared" ca="1" si="1"/>
        <v>002</v>
      </c>
      <c r="D14" s="158" t="s">
        <v>184</v>
      </c>
      <c r="E14" s="159" t="s">
        <v>176</v>
      </c>
      <c r="F14" s="160" t="s">
        <v>39</v>
      </c>
      <c r="G14" s="161">
        <v>180</v>
      </c>
    </row>
    <row r="15" spans="1:7">
      <c r="A15" s="163" t="str">
        <f t="shared" ca="1" si="0"/>
        <v>Rec. Materiais-003</v>
      </c>
      <c r="B15" s="156" t="s">
        <v>79</v>
      </c>
      <c r="C15" s="157" t="str">
        <f t="shared" ca="1" si="1"/>
        <v>003</v>
      </c>
      <c r="D15" s="158" t="s">
        <v>184</v>
      </c>
      <c r="E15" s="159" t="s">
        <v>178</v>
      </c>
      <c r="F15" s="160" t="s">
        <v>179</v>
      </c>
      <c r="G15" s="161">
        <v>45</v>
      </c>
    </row>
    <row r="16" spans="1:7">
      <c r="A16" s="163" t="str">
        <f t="shared" ca="1" si="0"/>
        <v>Rec. Materiais-004</v>
      </c>
      <c r="B16" s="156" t="s">
        <v>79</v>
      </c>
      <c r="C16" s="157" t="str">
        <f t="shared" ca="1" si="1"/>
        <v>004</v>
      </c>
      <c r="D16" s="158" t="s">
        <v>184</v>
      </c>
      <c r="E16" s="159" t="s">
        <v>180</v>
      </c>
      <c r="F16" s="160" t="s">
        <v>179</v>
      </c>
      <c r="G16" s="161">
        <v>13.45</v>
      </c>
    </row>
    <row r="17" spans="1:7">
      <c r="A17" s="163" t="str">
        <f t="shared" ca="1" si="0"/>
        <v>Rec. Materiais-005</v>
      </c>
      <c r="B17" s="156" t="s">
        <v>79</v>
      </c>
      <c r="C17" s="157" t="str">
        <f t="shared" ca="1" si="1"/>
        <v>005</v>
      </c>
      <c r="D17" s="158" t="s">
        <v>184</v>
      </c>
      <c r="E17" s="159" t="s">
        <v>181</v>
      </c>
      <c r="F17" s="160" t="s">
        <v>179</v>
      </c>
      <c r="G17" s="161">
        <v>7.1</v>
      </c>
    </row>
    <row r="18" spans="1:7">
      <c r="A18" s="163" t="str">
        <f t="shared" ref="A18:A81" ca="1" si="2">B18&amp;"-"&amp;C18</f>
        <v>Rec. Materiais-006</v>
      </c>
      <c r="B18" s="156" t="s">
        <v>79</v>
      </c>
      <c r="C18" s="157" t="str">
        <f t="shared" ref="C18:C81" ca="1" si="3">TEXT(COUNTIF(OFFSET(Banco,1,1,ROW(C18)-ROW(Banco),1),B18),"000")</f>
        <v>006</v>
      </c>
      <c r="D18" s="158" t="s">
        <v>192</v>
      </c>
      <c r="E18" s="159" t="s">
        <v>249</v>
      </c>
      <c r="F18" s="160" t="s">
        <v>206</v>
      </c>
      <c r="G18" s="161">
        <v>70</v>
      </c>
    </row>
    <row r="19" spans="1:7">
      <c r="A19" s="163" t="str">
        <f t="shared" ca="1" si="2"/>
        <v>Rec. Materiais-007</v>
      </c>
      <c r="B19" s="156" t="s">
        <v>79</v>
      </c>
      <c r="C19" s="157" t="str">
        <f t="shared" ca="1" si="3"/>
        <v>007</v>
      </c>
      <c r="D19" s="158" t="s">
        <v>184</v>
      </c>
      <c r="E19" s="159" t="s">
        <v>182</v>
      </c>
      <c r="F19" s="160" t="s">
        <v>39</v>
      </c>
      <c r="G19" s="161">
        <v>60</v>
      </c>
    </row>
    <row r="20" spans="1:7">
      <c r="A20" s="163" t="str">
        <f t="shared" ca="1" si="2"/>
        <v>Rec. Materiais-008</v>
      </c>
      <c r="B20" s="156" t="s">
        <v>79</v>
      </c>
      <c r="C20" s="157" t="str">
        <f t="shared" ca="1" si="3"/>
        <v>008</v>
      </c>
      <c r="D20" s="158" t="s">
        <v>184</v>
      </c>
      <c r="E20" s="159" t="s">
        <v>254</v>
      </c>
      <c r="F20" s="160" t="s">
        <v>39</v>
      </c>
      <c r="G20" s="161">
        <v>5.2</v>
      </c>
    </row>
    <row r="21" spans="1:7">
      <c r="A21" s="163" t="str">
        <f t="shared" ca="1" si="2"/>
        <v>Rec. Materiais-009</v>
      </c>
      <c r="B21" s="156" t="s">
        <v>79</v>
      </c>
      <c r="C21" s="157" t="str">
        <f t="shared" ca="1" si="3"/>
        <v>009</v>
      </c>
      <c r="D21" s="158" t="s">
        <v>184</v>
      </c>
      <c r="E21" s="159" t="s">
        <v>203</v>
      </c>
      <c r="F21" s="160" t="s">
        <v>39</v>
      </c>
      <c r="G21" s="161">
        <v>12</v>
      </c>
    </row>
    <row r="22" spans="1:7">
      <c r="A22" s="163" t="str">
        <f t="shared" ca="1" si="2"/>
        <v>Rec. Materiais-010</v>
      </c>
      <c r="B22" s="156" t="s">
        <v>79</v>
      </c>
      <c r="C22" s="157" t="str">
        <f t="shared" ca="1" si="3"/>
        <v>010</v>
      </c>
      <c r="D22" s="158" t="s">
        <v>184</v>
      </c>
      <c r="E22" s="159" t="s">
        <v>315</v>
      </c>
      <c r="F22" s="160" t="s">
        <v>308</v>
      </c>
      <c r="G22" s="161">
        <v>6.62</v>
      </c>
    </row>
    <row r="23" spans="1:7">
      <c r="A23" s="163" t="str">
        <f t="shared" ca="1" si="2"/>
        <v>Rec. Materiais-011</v>
      </c>
      <c r="B23" s="156" t="s">
        <v>79</v>
      </c>
      <c r="C23" s="157" t="str">
        <f t="shared" ca="1" si="3"/>
        <v>011</v>
      </c>
      <c r="D23" s="158" t="s">
        <v>184</v>
      </c>
      <c r="E23" s="159"/>
      <c r="F23" s="160" t="s">
        <v>39</v>
      </c>
      <c r="G23" s="161"/>
    </row>
    <row r="24" spans="1:7">
      <c r="A24" s="163" t="str">
        <f t="shared" ca="1" si="2"/>
        <v>Rec. Materiais-012</v>
      </c>
      <c r="B24" s="156" t="s">
        <v>79</v>
      </c>
      <c r="C24" s="157" t="str">
        <f t="shared" ca="1" si="3"/>
        <v>012</v>
      </c>
      <c r="D24" s="158" t="s">
        <v>184</v>
      </c>
      <c r="E24" s="159"/>
      <c r="F24" s="160" t="s">
        <v>39</v>
      </c>
      <c r="G24" s="161"/>
    </row>
    <row r="25" spans="1:7">
      <c r="A25" s="163" t="str">
        <f t="shared" ca="1" si="2"/>
        <v>Rec. Materiais-013</v>
      </c>
      <c r="B25" s="156" t="s">
        <v>79</v>
      </c>
      <c r="C25" s="157" t="str">
        <f t="shared" ca="1" si="3"/>
        <v>013</v>
      </c>
      <c r="D25" s="158" t="s">
        <v>184</v>
      </c>
      <c r="E25" s="159"/>
      <c r="F25" s="160" t="s">
        <v>39</v>
      </c>
      <c r="G25" s="161"/>
    </row>
    <row r="26" spans="1:7">
      <c r="A26" s="163" t="str">
        <f t="shared" ca="1" si="2"/>
        <v>Rec. Materiais-014</v>
      </c>
      <c r="B26" s="156" t="s">
        <v>79</v>
      </c>
      <c r="C26" s="157" t="str">
        <f t="shared" ca="1" si="3"/>
        <v>014</v>
      </c>
      <c r="D26" s="158" t="s">
        <v>184</v>
      </c>
      <c r="E26" s="159"/>
      <c r="F26" s="160" t="s">
        <v>39</v>
      </c>
      <c r="G26" s="161"/>
    </row>
    <row r="27" spans="1:7">
      <c r="A27" s="163" t="str">
        <f t="shared" ca="1" si="2"/>
        <v>Rec. Materiais-015</v>
      </c>
      <c r="B27" s="156" t="s">
        <v>79</v>
      </c>
      <c r="C27" s="157" t="str">
        <f t="shared" ca="1" si="3"/>
        <v>015</v>
      </c>
      <c r="D27" s="158" t="s">
        <v>184</v>
      </c>
      <c r="E27" s="159"/>
      <c r="F27" s="160" t="s">
        <v>39</v>
      </c>
      <c r="G27" s="161"/>
    </row>
    <row r="28" spans="1:7">
      <c r="A28" s="163" t="str">
        <f t="shared" ca="1" si="2"/>
        <v>Rec. Materiais-016</v>
      </c>
      <c r="B28" s="156" t="s">
        <v>79</v>
      </c>
      <c r="C28" s="157" t="str">
        <f t="shared" ca="1" si="3"/>
        <v>016</v>
      </c>
      <c r="D28" s="158" t="s">
        <v>184</v>
      </c>
      <c r="E28" s="159"/>
      <c r="F28" s="160" t="s">
        <v>39</v>
      </c>
      <c r="G28" s="161"/>
    </row>
    <row r="29" spans="1:7">
      <c r="A29" s="163" t="str">
        <f t="shared" ca="1" si="2"/>
        <v>Rec. Materiais-017</v>
      </c>
      <c r="B29" s="156" t="s">
        <v>79</v>
      </c>
      <c r="C29" s="157" t="str">
        <f t="shared" ca="1" si="3"/>
        <v>017</v>
      </c>
      <c r="D29" s="158" t="s">
        <v>184</v>
      </c>
      <c r="E29" s="159"/>
      <c r="F29" s="160" t="s">
        <v>39</v>
      </c>
      <c r="G29" s="161"/>
    </row>
    <row r="30" spans="1:7">
      <c r="A30" s="163" t="str">
        <f t="shared" ca="1" si="2"/>
        <v>Rec. Materiais-018</v>
      </c>
      <c r="B30" s="156" t="s">
        <v>79</v>
      </c>
      <c r="C30" s="157" t="str">
        <f t="shared" ca="1" si="3"/>
        <v>018</v>
      </c>
      <c r="D30" s="158" t="s">
        <v>184</v>
      </c>
      <c r="E30" s="159" t="s">
        <v>183</v>
      </c>
      <c r="F30" s="160" t="s">
        <v>39</v>
      </c>
      <c r="G30" s="161">
        <v>6.18</v>
      </c>
    </row>
    <row r="31" spans="1:7">
      <c r="A31" s="163" t="str">
        <f t="shared" ca="1" si="2"/>
        <v>Rec. Materiais-019</v>
      </c>
      <c r="B31" s="156" t="s">
        <v>79</v>
      </c>
      <c r="C31" s="157" t="str">
        <f t="shared" ca="1" si="3"/>
        <v>019</v>
      </c>
      <c r="D31" s="158" t="s">
        <v>184</v>
      </c>
      <c r="E31" s="159" t="s">
        <v>207</v>
      </c>
      <c r="F31" s="160" t="s">
        <v>179</v>
      </c>
      <c r="G31" s="161">
        <v>77.400000000000006</v>
      </c>
    </row>
    <row r="32" spans="1:7">
      <c r="A32" s="163" t="str">
        <f t="shared" ca="1" si="2"/>
        <v>Rec. Materiais-020</v>
      </c>
      <c r="B32" s="156" t="s">
        <v>79</v>
      </c>
      <c r="C32" s="157" t="str">
        <f t="shared" ca="1" si="3"/>
        <v>020</v>
      </c>
      <c r="D32" s="158" t="s">
        <v>184</v>
      </c>
      <c r="E32" s="159" t="s">
        <v>197</v>
      </c>
      <c r="F32" s="160" t="s">
        <v>198</v>
      </c>
      <c r="G32" s="161">
        <v>12</v>
      </c>
    </row>
    <row r="33" spans="1:7">
      <c r="A33" s="163" t="str">
        <f t="shared" ca="1" si="2"/>
        <v>Rec. Materiais-021</v>
      </c>
      <c r="B33" s="156" t="s">
        <v>79</v>
      </c>
      <c r="C33" s="157" t="str">
        <f t="shared" ca="1" si="3"/>
        <v>021</v>
      </c>
      <c r="D33" s="158" t="s">
        <v>184</v>
      </c>
      <c r="E33" s="159" t="s">
        <v>196</v>
      </c>
      <c r="F33" s="160" t="s">
        <v>199</v>
      </c>
      <c r="G33" s="161">
        <v>1.5</v>
      </c>
    </row>
    <row r="34" spans="1:7">
      <c r="A34" s="163" t="str">
        <f t="shared" ca="1" si="2"/>
        <v>Rec. Materiais-022</v>
      </c>
      <c r="B34" s="156" t="s">
        <v>79</v>
      </c>
      <c r="C34" s="157" t="str">
        <f t="shared" ca="1" si="3"/>
        <v>022</v>
      </c>
      <c r="D34" s="158" t="s">
        <v>184</v>
      </c>
      <c r="E34" s="159" t="s">
        <v>253</v>
      </c>
      <c r="F34" s="160" t="s">
        <v>39</v>
      </c>
      <c r="G34" s="161">
        <v>9</v>
      </c>
    </row>
    <row r="35" spans="1:7">
      <c r="A35" s="163" t="str">
        <f t="shared" ca="1" si="2"/>
        <v>Rec. Materiais-023</v>
      </c>
      <c r="B35" s="156" t="s">
        <v>79</v>
      </c>
      <c r="C35" s="157" t="str">
        <f t="shared" ca="1" si="3"/>
        <v>023</v>
      </c>
      <c r="D35" s="158" t="s">
        <v>184</v>
      </c>
      <c r="E35" s="159" t="s">
        <v>305</v>
      </c>
      <c r="F35" s="160" t="s">
        <v>39</v>
      </c>
      <c r="G35" s="161">
        <v>16.23</v>
      </c>
    </row>
    <row r="36" spans="1:7" ht="25.5">
      <c r="A36" s="163" t="str">
        <f t="shared" ca="1" si="2"/>
        <v>Rec. Materiais-024</v>
      </c>
      <c r="B36" s="156" t="s">
        <v>79</v>
      </c>
      <c r="C36" s="157" t="str">
        <f t="shared" ca="1" si="3"/>
        <v>024</v>
      </c>
      <c r="D36" s="158" t="s">
        <v>184</v>
      </c>
      <c r="E36" s="159" t="s">
        <v>202</v>
      </c>
      <c r="F36" s="160" t="s">
        <v>39</v>
      </c>
      <c r="G36" s="161">
        <v>600</v>
      </c>
    </row>
    <row r="37" spans="1:7">
      <c r="A37" s="163" t="str">
        <f t="shared" ca="1" si="2"/>
        <v>Rec. Materiais-025</v>
      </c>
      <c r="B37" s="156" t="s">
        <v>79</v>
      </c>
      <c r="C37" s="157" t="str">
        <f t="shared" ca="1" si="3"/>
        <v>025</v>
      </c>
      <c r="D37" s="158" t="s">
        <v>184</v>
      </c>
      <c r="E37" s="159" t="s">
        <v>204</v>
      </c>
      <c r="F37" s="160" t="s">
        <v>39</v>
      </c>
      <c r="G37" s="161">
        <v>5.2</v>
      </c>
    </row>
    <row r="38" spans="1:7">
      <c r="A38" s="163" t="str">
        <f t="shared" ca="1" si="2"/>
        <v>Rec. Materiais-026</v>
      </c>
      <c r="B38" s="156" t="s">
        <v>79</v>
      </c>
      <c r="C38" s="157" t="str">
        <f t="shared" ca="1" si="3"/>
        <v>026</v>
      </c>
      <c r="D38" s="158" t="s">
        <v>184</v>
      </c>
      <c r="E38" s="159" t="s">
        <v>205</v>
      </c>
      <c r="F38" s="160" t="s">
        <v>198</v>
      </c>
      <c r="G38" s="161">
        <v>15</v>
      </c>
    </row>
    <row r="39" spans="1:7">
      <c r="A39" s="163" t="str">
        <f t="shared" ca="1" si="2"/>
        <v>Rec. Materiais-027</v>
      </c>
      <c r="B39" s="156" t="s">
        <v>79</v>
      </c>
      <c r="C39" s="157" t="str">
        <f t="shared" ca="1" si="3"/>
        <v>027</v>
      </c>
      <c r="D39" s="158" t="s">
        <v>184</v>
      </c>
      <c r="E39" s="159" t="s">
        <v>224</v>
      </c>
      <c r="F39" s="160" t="s">
        <v>39</v>
      </c>
      <c r="G39" s="161">
        <v>3.99</v>
      </c>
    </row>
    <row r="40" spans="1:7">
      <c r="A40" s="163" t="str">
        <f t="shared" ca="1" si="2"/>
        <v>Rec. Materiais-028</v>
      </c>
      <c r="B40" s="156" t="s">
        <v>79</v>
      </c>
      <c r="C40" s="157" t="str">
        <f t="shared" ca="1" si="3"/>
        <v>028</v>
      </c>
      <c r="D40" s="158" t="s">
        <v>184</v>
      </c>
      <c r="E40" s="159" t="s">
        <v>232</v>
      </c>
      <c r="F40" s="160" t="s">
        <v>39</v>
      </c>
      <c r="G40" s="161">
        <v>6</v>
      </c>
    </row>
    <row r="41" spans="1:7">
      <c r="A41" s="163" t="str">
        <f t="shared" ca="1" si="2"/>
        <v>Rec. Materiais-029</v>
      </c>
      <c r="B41" s="156" t="s">
        <v>79</v>
      </c>
      <c r="C41" s="157" t="str">
        <f t="shared" ca="1" si="3"/>
        <v>029</v>
      </c>
      <c r="D41" s="158" t="s">
        <v>184</v>
      </c>
      <c r="E41" s="159" t="s">
        <v>233</v>
      </c>
      <c r="F41" s="160" t="s">
        <v>39</v>
      </c>
      <c r="G41" s="161">
        <v>3</v>
      </c>
    </row>
    <row r="42" spans="1:7">
      <c r="A42" s="163" t="str">
        <f t="shared" ca="1" si="2"/>
        <v>Rec. Materiais-030</v>
      </c>
      <c r="B42" s="156" t="s">
        <v>79</v>
      </c>
      <c r="C42" s="157" t="str">
        <f t="shared" ca="1" si="3"/>
        <v>030</v>
      </c>
      <c r="D42" s="158" t="s">
        <v>184</v>
      </c>
      <c r="E42" s="159" t="s">
        <v>236</v>
      </c>
      <c r="F42" s="160" t="s">
        <v>39</v>
      </c>
      <c r="G42" s="161">
        <v>19.39</v>
      </c>
    </row>
    <row r="43" spans="1:7">
      <c r="A43" s="163" t="str">
        <f t="shared" ca="1" si="2"/>
        <v>Rec. Materiais-031</v>
      </c>
      <c r="B43" s="156" t="s">
        <v>79</v>
      </c>
      <c r="C43" s="157" t="str">
        <f t="shared" ca="1" si="3"/>
        <v>031</v>
      </c>
      <c r="D43" s="158" t="s">
        <v>184</v>
      </c>
      <c r="E43" s="159" t="s">
        <v>332</v>
      </c>
      <c r="F43" s="160" t="s">
        <v>39</v>
      </c>
      <c r="G43" s="161">
        <v>2.62</v>
      </c>
    </row>
    <row r="44" spans="1:7">
      <c r="A44" s="163" t="str">
        <f t="shared" ca="1" si="2"/>
        <v>Rec. Materiais-032</v>
      </c>
      <c r="B44" s="156" t="s">
        <v>79</v>
      </c>
      <c r="C44" s="157" t="str">
        <f t="shared" ca="1" si="3"/>
        <v>032</v>
      </c>
      <c r="D44" s="158" t="s">
        <v>184</v>
      </c>
      <c r="E44" s="159"/>
      <c r="F44" s="160" t="s">
        <v>39</v>
      </c>
      <c r="G44" s="161"/>
    </row>
    <row r="45" spans="1:7">
      <c r="A45" s="163" t="str">
        <f t="shared" ca="1" si="2"/>
        <v>Rec. Materiais-033</v>
      </c>
      <c r="B45" s="156" t="s">
        <v>79</v>
      </c>
      <c r="C45" s="157" t="str">
        <f t="shared" ca="1" si="3"/>
        <v>033</v>
      </c>
      <c r="D45" s="158" t="s">
        <v>184</v>
      </c>
      <c r="E45" s="159"/>
      <c r="F45" s="160" t="s">
        <v>39</v>
      </c>
      <c r="G45" s="161"/>
    </row>
    <row r="46" spans="1:7">
      <c r="A46" s="163" t="str">
        <f t="shared" ca="1" si="2"/>
        <v>Rec. Materiais-034</v>
      </c>
      <c r="B46" s="156" t="s">
        <v>79</v>
      </c>
      <c r="C46" s="157" t="str">
        <f t="shared" ca="1" si="3"/>
        <v>034</v>
      </c>
      <c r="D46" s="158" t="s">
        <v>184</v>
      </c>
      <c r="E46" s="159"/>
      <c r="F46" s="160" t="s">
        <v>39</v>
      </c>
      <c r="G46" s="161"/>
    </row>
    <row r="47" spans="1:7">
      <c r="A47" s="163" t="str">
        <f t="shared" ca="1" si="2"/>
        <v>Rec. Materiais-035</v>
      </c>
      <c r="B47" s="156" t="s">
        <v>79</v>
      </c>
      <c r="C47" s="157" t="str">
        <f t="shared" ca="1" si="3"/>
        <v>035</v>
      </c>
      <c r="D47" s="158" t="s">
        <v>184</v>
      </c>
      <c r="E47" s="159"/>
      <c r="F47" s="160" t="s">
        <v>39</v>
      </c>
      <c r="G47" s="161"/>
    </row>
    <row r="48" spans="1:7">
      <c r="A48" s="163" t="str">
        <f t="shared" ca="1" si="2"/>
        <v>Rec. Materiais-036</v>
      </c>
      <c r="B48" s="156" t="s">
        <v>79</v>
      </c>
      <c r="C48" s="157" t="str">
        <f t="shared" ca="1" si="3"/>
        <v>036</v>
      </c>
      <c r="D48" s="158" t="s">
        <v>184</v>
      </c>
      <c r="E48" s="159"/>
      <c r="F48" s="160" t="s">
        <v>39</v>
      </c>
      <c r="G48" s="161"/>
    </row>
    <row r="49" spans="1:7">
      <c r="A49" s="163" t="str">
        <f t="shared" ca="1" si="2"/>
        <v>Rec. Materiais-037</v>
      </c>
      <c r="B49" s="156" t="s">
        <v>79</v>
      </c>
      <c r="C49" s="157" t="str">
        <f t="shared" ca="1" si="3"/>
        <v>037</v>
      </c>
      <c r="D49" s="158" t="s">
        <v>192</v>
      </c>
      <c r="E49" s="159"/>
      <c r="F49" s="160" t="s">
        <v>39</v>
      </c>
      <c r="G49" s="161"/>
    </row>
    <row r="50" spans="1:7">
      <c r="A50" s="163" t="str">
        <f t="shared" ca="1" si="2"/>
        <v>Rec. Materiais-038</v>
      </c>
      <c r="B50" s="156" t="s">
        <v>79</v>
      </c>
      <c r="C50" s="157" t="str">
        <f t="shared" ca="1" si="3"/>
        <v>038</v>
      </c>
      <c r="D50" s="158" t="s">
        <v>184</v>
      </c>
      <c r="E50" s="159"/>
      <c r="F50" s="160" t="s">
        <v>39</v>
      </c>
      <c r="G50" s="161"/>
    </row>
    <row r="51" spans="1:7">
      <c r="A51" s="163" t="str">
        <f t="shared" ca="1" si="2"/>
        <v>Rec. Materiais-039</v>
      </c>
      <c r="B51" s="156" t="s">
        <v>79</v>
      </c>
      <c r="C51" s="157" t="str">
        <f t="shared" ca="1" si="3"/>
        <v>039</v>
      </c>
      <c r="D51" s="158" t="s">
        <v>184</v>
      </c>
      <c r="E51" s="159"/>
      <c r="F51" s="160" t="s">
        <v>39</v>
      </c>
      <c r="G51" s="161"/>
    </row>
    <row r="52" spans="1:7">
      <c r="A52" s="163" t="str">
        <f t="shared" ca="1" si="2"/>
        <v>Rec. Materiais-040</v>
      </c>
      <c r="B52" s="156" t="s">
        <v>79</v>
      </c>
      <c r="C52" s="157" t="str">
        <f t="shared" ca="1" si="3"/>
        <v>040</v>
      </c>
      <c r="D52" s="158" t="s">
        <v>184</v>
      </c>
      <c r="E52" s="159"/>
      <c r="F52" s="160" t="s">
        <v>39</v>
      </c>
      <c r="G52" s="161"/>
    </row>
    <row r="53" spans="1:7">
      <c r="A53" s="163" t="str">
        <f t="shared" ca="1" si="2"/>
        <v>Rec. Materiais-041</v>
      </c>
      <c r="B53" s="156" t="s">
        <v>79</v>
      </c>
      <c r="C53" s="157" t="str">
        <f t="shared" ca="1" si="3"/>
        <v>041</v>
      </c>
      <c r="D53" s="158" t="s">
        <v>184</v>
      </c>
      <c r="E53" s="159"/>
      <c r="F53" s="160" t="s">
        <v>198</v>
      </c>
      <c r="G53" s="161"/>
    </row>
    <row r="54" spans="1:7">
      <c r="A54" s="163" t="str">
        <f t="shared" ca="1" si="2"/>
        <v>Rec. Materiais-042</v>
      </c>
      <c r="B54" s="156" t="s">
        <v>79</v>
      </c>
      <c r="C54" s="157" t="str">
        <f t="shared" ca="1" si="3"/>
        <v>042</v>
      </c>
      <c r="D54" s="158" t="s">
        <v>184</v>
      </c>
      <c r="E54" s="159"/>
      <c r="F54" s="160" t="s">
        <v>39</v>
      </c>
      <c r="G54" s="161"/>
    </row>
    <row r="55" spans="1:7" ht="25.5">
      <c r="A55" s="163" t="str">
        <f t="shared" ca="1" si="2"/>
        <v>Rec. Materiais-043</v>
      </c>
      <c r="B55" s="156" t="s">
        <v>79</v>
      </c>
      <c r="C55" s="157" t="str">
        <f t="shared" ca="1" si="3"/>
        <v>043</v>
      </c>
      <c r="D55" s="158" t="s">
        <v>184</v>
      </c>
      <c r="E55" s="159" t="s">
        <v>316</v>
      </c>
      <c r="F55" s="160" t="s">
        <v>39</v>
      </c>
      <c r="G55" s="161">
        <v>170</v>
      </c>
    </row>
    <row r="56" spans="1:7" ht="25.5">
      <c r="A56" s="163" t="str">
        <f t="shared" ca="1" si="2"/>
        <v>Rec. Materiais-044</v>
      </c>
      <c r="B56" s="156" t="s">
        <v>79</v>
      </c>
      <c r="C56" s="157" t="str">
        <f t="shared" ca="1" si="3"/>
        <v>044</v>
      </c>
      <c r="D56" s="158" t="s">
        <v>184</v>
      </c>
      <c r="E56" s="159" t="s">
        <v>317</v>
      </c>
      <c r="F56" s="160" t="s">
        <v>309</v>
      </c>
      <c r="G56" s="161">
        <v>29.48</v>
      </c>
    </row>
    <row r="57" spans="1:7">
      <c r="A57" s="163" t="str">
        <f t="shared" ca="1" si="2"/>
        <v>Rec. Materiais-045</v>
      </c>
      <c r="B57" s="156" t="s">
        <v>79</v>
      </c>
      <c r="C57" s="157" t="str">
        <f t="shared" ca="1" si="3"/>
        <v>045</v>
      </c>
      <c r="D57" s="158" t="s">
        <v>184</v>
      </c>
      <c r="E57" s="159"/>
      <c r="F57" s="160" t="s">
        <v>39</v>
      </c>
      <c r="G57" s="161"/>
    </row>
    <row r="58" spans="1:7">
      <c r="A58" s="163" t="str">
        <f t="shared" ca="1" si="2"/>
        <v>Rec. Materiais-046</v>
      </c>
      <c r="B58" s="156" t="s">
        <v>79</v>
      </c>
      <c r="C58" s="157" t="str">
        <f t="shared" ca="1" si="3"/>
        <v>046</v>
      </c>
      <c r="D58" s="158" t="s">
        <v>184</v>
      </c>
      <c r="E58" s="159"/>
      <c r="F58" s="160" t="s">
        <v>208</v>
      </c>
      <c r="G58" s="161"/>
    </row>
    <row r="59" spans="1:7">
      <c r="A59" s="163" t="str">
        <f t="shared" ca="1" si="2"/>
        <v>Rec. Materiais-047</v>
      </c>
      <c r="B59" s="156" t="s">
        <v>79</v>
      </c>
      <c r="C59" s="157" t="str">
        <f t="shared" ca="1" si="3"/>
        <v>047</v>
      </c>
      <c r="D59" s="158" t="s">
        <v>184</v>
      </c>
      <c r="E59" s="159"/>
      <c r="F59" s="160" t="s">
        <v>39</v>
      </c>
      <c r="G59" s="161"/>
    </row>
    <row r="60" spans="1:7">
      <c r="A60" s="163" t="str">
        <f t="shared" ca="1" si="2"/>
        <v>Rec. Materiais-048</v>
      </c>
      <c r="B60" s="156" t="s">
        <v>79</v>
      </c>
      <c r="C60" s="157" t="str">
        <f t="shared" ca="1" si="3"/>
        <v>048</v>
      </c>
      <c r="D60" s="158" t="s">
        <v>184</v>
      </c>
      <c r="E60" s="159"/>
      <c r="F60" s="160" t="s">
        <v>39</v>
      </c>
      <c r="G60" s="161"/>
    </row>
    <row r="61" spans="1:7">
      <c r="A61" s="163" t="str">
        <f t="shared" ca="1" si="2"/>
        <v>Rec. Materiais-049</v>
      </c>
      <c r="B61" s="156" t="s">
        <v>79</v>
      </c>
      <c r="C61" s="157" t="str">
        <f t="shared" ca="1" si="3"/>
        <v>049</v>
      </c>
      <c r="D61" s="158" t="s">
        <v>184</v>
      </c>
      <c r="E61" s="159"/>
      <c r="F61" s="160" t="s">
        <v>39</v>
      </c>
      <c r="G61" s="161"/>
    </row>
    <row r="62" spans="1:7">
      <c r="A62" s="163" t="str">
        <f t="shared" ca="1" si="2"/>
        <v>Rec. Materiais-050</v>
      </c>
      <c r="B62" s="156" t="s">
        <v>79</v>
      </c>
      <c r="C62" s="157" t="str">
        <f t="shared" ca="1" si="3"/>
        <v>050</v>
      </c>
      <c r="D62" s="158" t="s">
        <v>184</v>
      </c>
      <c r="E62" s="159"/>
      <c r="F62" s="160" t="s">
        <v>39</v>
      </c>
      <c r="G62" s="161"/>
    </row>
    <row r="63" spans="1:7">
      <c r="A63" s="163" t="str">
        <f t="shared" ca="1" si="2"/>
        <v>Rec. Materiais-051</v>
      </c>
      <c r="B63" s="156" t="s">
        <v>79</v>
      </c>
      <c r="C63" s="157" t="str">
        <f t="shared" ca="1" si="3"/>
        <v>051</v>
      </c>
      <c r="D63" s="158" t="s">
        <v>184</v>
      </c>
      <c r="E63" s="159"/>
      <c r="F63" s="160" t="s">
        <v>39</v>
      </c>
      <c r="G63" s="161"/>
    </row>
    <row r="64" spans="1:7">
      <c r="A64" s="163" t="str">
        <f t="shared" ca="1" si="2"/>
        <v>Rec. Materiais-052</v>
      </c>
      <c r="B64" s="156" t="s">
        <v>79</v>
      </c>
      <c r="C64" s="157" t="str">
        <f t="shared" ca="1" si="3"/>
        <v>052</v>
      </c>
      <c r="D64" s="158" t="s">
        <v>184</v>
      </c>
      <c r="E64" s="159"/>
      <c r="F64" s="160" t="s">
        <v>209</v>
      </c>
      <c r="G64" s="161"/>
    </row>
    <row r="65" spans="1:7">
      <c r="A65" s="163" t="str">
        <f t="shared" ca="1" si="2"/>
        <v>Rec. Materiais-053</v>
      </c>
      <c r="B65" s="156" t="s">
        <v>79</v>
      </c>
      <c r="C65" s="157" t="str">
        <f t="shared" ca="1" si="3"/>
        <v>053</v>
      </c>
      <c r="D65" s="158" t="s">
        <v>184</v>
      </c>
      <c r="E65" s="159"/>
      <c r="F65" s="160" t="s">
        <v>39</v>
      </c>
      <c r="G65" s="161"/>
    </row>
    <row r="66" spans="1:7">
      <c r="A66" s="163" t="str">
        <f t="shared" ca="1" si="2"/>
        <v>Rec. Materiais-054</v>
      </c>
      <c r="B66" s="156" t="s">
        <v>79</v>
      </c>
      <c r="C66" s="157" t="str">
        <f t="shared" ca="1" si="3"/>
        <v>054</v>
      </c>
      <c r="D66" s="158" t="s">
        <v>184</v>
      </c>
      <c r="E66" s="159"/>
      <c r="F66" s="160" t="s">
        <v>39</v>
      </c>
      <c r="G66" s="161"/>
    </row>
    <row r="67" spans="1:7">
      <c r="A67" s="163" t="str">
        <f t="shared" ca="1" si="2"/>
        <v>Rec. Materiais-055</v>
      </c>
      <c r="B67" s="156" t="s">
        <v>79</v>
      </c>
      <c r="C67" s="157" t="str">
        <f t="shared" ca="1" si="3"/>
        <v>055</v>
      </c>
      <c r="D67" s="158" t="s">
        <v>184</v>
      </c>
      <c r="E67" s="159"/>
      <c r="F67" s="160" t="s">
        <v>39</v>
      </c>
      <c r="G67" s="161"/>
    </row>
    <row r="68" spans="1:7">
      <c r="A68" s="163" t="str">
        <f t="shared" ca="1" si="2"/>
        <v>Rec. Materiais-056</v>
      </c>
      <c r="B68" s="156" t="s">
        <v>79</v>
      </c>
      <c r="C68" s="157" t="str">
        <f t="shared" ca="1" si="3"/>
        <v>056</v>
      </c>
      <c r="D68" s="158" t="s">
        <v>184</v>
      </c>
      <c r="E68" s="159"/>
      <c r="F68" s="160" t="s">
        <v>39</v>
      </c>
      <c r="G68" s="161"/>
    </row>
    <row r="69" spans="1:7">
      <c r="A69" s="163" t="str">
        <f t="shared" ca="1" si="2"/>
        <v>Rec. Materiais-057</v>
      </c>
      <c r="B69" s="156" t="s">
        <v>79</v>
      </c>
      <c r="C69" s="157" t="str">
        <f t="shared" ca="1" si="3"/>
        <v>057</v>
      </c>
      <c r="D69" s="158" t="s">
        <v>184</v>
      </c>
      <c r="E69" s="159"/>
      <c r="F69" s="160" t="s">
        <v>39</v>
      </c>
      <c r="G69" s="161"/>
    </row>
    <row r="70" spans="1:7">
      <c r="A70" s="163" t="str">
        <f t="shared" ca="1" si="2"/>
        <v>Rec. Materiais-058</v>
      </c>
      <c r="B70" s="156" t="s">
        <v>79</v>
      </c>
      <c r="C70" s="157" t="str">
        <f t="shared" ca="1" si="3"/>
        <v>058</v>
      </c>
      <c r="D70" s="158" t="s">
        <v>184</v>
      </c>
      <c r="E70" s="159"/>
      <c r="F70" s="160" t="s">
        <v>39</v>
      </c>
      <c r="G70" s="161"/>
    </row>
    <row r="71" spans="1:7">
      <c r="A71" s="163" t="str">
        <f t="shared" ca="1" si="2"/>
        <v>Rec. Materiais-059</v>
      </c>
      <c r="B71" s="156" t="s">
        <v>79</v>
      </c>
      <c r="C71" s="157" t="str">
        <f t="shared" ca="1" si="3"/>
        <v>059</v>
      </c>
      <c r="D71" s="158" t="s">
        <v>184</v>
      </c>
      <c r="E71" s="159"/>
      <c r="F71" s="160" t="s">
        <v>39</v>
      </c>
      <c r="G71" s="161"/>
    </row>
    <row r="72" spans="1:7">
      <c r="A72" s="163" t="str">
        <f t="shared" ca="1" si="2"/>
        <v>Rec. Materiais-060</v>
      </c>
      <c r="B72" s="156" t="s">
        <v>79</v>
      </c>
      <c r="C72" s="157" t="str">
        <f t="shared" ca="1" si="3"/>
        <v>060</v>
      </c>
      <c r="D72" s="158" t="s">
        <v>184</v>
      </c>
      <c r="E72" s="159"/>
      <c r="F72" s="160" t="s">
        <v>39</v>
      </c>
      <c r="G72" s="161"/>
    </row>
    <row r="73" spans="1:7">
      <c r="A73" s="163" t="str">
        <f t="shared" ca="1" si="2"/>
        <v>Rec. Materiais-061</v>
      </c>
      <c r="B73" s="156" t="s">
        <v>79</v>
      </c>
      <c r="C73" s="157" t="str">
        <f t="shared" ca="1" si="3"/>
        <v>061</v>
      </c>
      <c r="D73" s="158" t="s">
        <v>184</v>
      </c>
      <c r="E73" s="159"/>
      <c r="F73" s="160" t="s">
        <v>209</v>
      </c>
      <c r="G73" s="161"/>
    </row>
    <row r="74" spans="1:7">
      <c r="A74" s="163" t="str">
        <f t="shared" ca="1" si="2"/>
        <v>Rec. Materiais-062</v>
      </c>
      <c r="B74" s="156" t="s">
        <v>79</v>
      </c>
      <c r="C74" s="157" t="str">
        <f t="shared" ca="1" si="3"/>
        <v>062</v>
      </c>
      <c r="D74" s="158" t="s">
        <v>184</v>
      </c>
      <c r="E74" s="159" t="s">
        <v>297</v>
      </c>
      <c r="F74" s="160" t="s">
        <v>198</v>
      </c>
      <c r="G74" s="161">
        <v>19.899999999999999</v>
      </c>
    </row>
    <row r="75" spans="1:7">
      <c r="A75" s="163" t="str">
        <f t="shared" ca="1" si="2"/>
        <v>Rec. Materiais-063</v>
      </c>
      <c r="B75" s="156" t="s">
        <v>79</v>
      </c>
      <c r="C75" s="157" t="str">
        <f t="shared" ca="1" si="3"/>
        <v>063</v>
      </c>
      <c r="D75" s="158" t="s">
        <v>184</v>
      </c>
      <c r="E75" s="159"/>
      <c r="F75" s="160" t="s">
        <v>39</v>
      </c>
      <c r="G75" s="161"/>
    </row>
    <row r="76" spans="1:7">
      <c r="A76" s="163" t="str">
        <f t="shared" ca="1" si="2"/>
        <v>Rec. Materiais-064</v>
      </c>
      <c r="B76" s="156" t="s">
        <v>79</v>
      </c>
      <c r="C76" s="157" t="str">
        <f t="shared" ca="1" si="3"/>
        <v>064</v>
      </c>
      <c r="D76" s="158" t="s">
        <v>184</v>
      </c>
      <c r="E76" s="159"/>
      <c r="F76" s="160" t="s">
        <v>39</v>
      </c>
      <c r="G76" s="161"/>
    </row>
    <row r="77" spans="1:7">
      <c r="A77" s="163" t="str">
        <f t="shared" ca="1" si="2"/>
        <v>Rec. Materiais-065</v>
      </c>
      <c r="B77" s="156" t="s">
        <v>79</v>
      </c>
      <c r="C77" s="157" t="str">
        <f t="shared" ca="1" si="3"/>
        <v>065</v>
      </c>
      <c r="D77" s="158" t="s">
        <v>184</v>
      </c>
      <c r="E77" s="159"/>
      <c r="F77" s="160" t="s">
        <v>209</v>
      </c>
      <c r="G77" s="161"/>
    </row>
    <row r="78" spans="1:7">
      <c r="A78" s="163" t="str">
        <f t="shared" ca="1" si="2"/>
        <v>Rec. Materiais-066</v>
      </c>
      <c r="B78" s="156" t="s">
        <v>79</v>
      </c>
      <c r="C78" s="157" t="str">
        <f t="shared" ca="1" si="3"/>
        <v>066</v>
      </c>
      <c r="D78" s="158" t="s">
        <v>184</v>
      </c>
      <c r="E78" s="159"/>
      <c r="F78" s="160"/>
      <c r="G78" s="161"/>
    </row>
    <row r="79" spans="1:7">
      <c r="A79" s="163" t="str">
        <f t="shared" ca="1" si="2"/>
        <v>Rec. Materiais-067</v>
      </c>
      <c r="B79" s="156" t="s">
        <v>79</v>
      </c>
      <c r="C79" s="157" t="str">
        <f t="shared" ca="1" si="3"/>
        <v>067</v>
      </c>
      <c r="D79" s="158" t="s">
        <v>184</v>
      </c>
      <c r="E79" s="159"/>
      <c r="F79" s="160"/>
      <c r="G79" s="161"/>
    </row>
    <row r="80" spans="1:7">
      <c r="A80" s="163" t="str">
        <f t="shared" ca="1" si="2"/>
        <v>Rec. Materiais-068</v>
      </c>
      <c r="B80" s="156" t="s">
        <v>79</v>
      </c>
      <c r="C80" s="157" t="str">
        <f t="shared" ca="1" si="3"/>
        <v>068</v>
      </c>
      <c r="D80" s="158" t="s">
        <v>184</v>
      </c>
      <c r="E80" s="159"/>
      <c r="F80" s="160"/>
      <c r="G80" s="161"/>
    </row>
    <row r="81" spans="1:7">
      <c r="A81" s="163" t="str">
        <f t="shared" ca="1" si="2"/>
        <v>Rec. Materiais-069</v>
      </c>
      <c r="B81" s="156" t="s">
        <v>79</v>
      </c>
      <c r="C81" s="157" t="str">
        <f t="shared" ca="1" si="3"/>
        <v>069</v>
      </c>
      <c r="D81" s="158" t="s">
        <v>192</v>
      </c>
      <c r="E81" s="159" t="s">
        <v>323</v>
      </c>
      <c r="F81" s="160" t="s">
        <v>39</v>
      </c>
      <c r="G81" s="161">
        <v>200</v>
      </c>
    </row>
    <row r="82" spans="1:7">
      <c r="A82" s="163" t="str">
        <f t="shared" ref="A82:A88" ca="1" si="4">B82&amp;"-"&amp;C82</f>
        <v>Rec. Materiais-070</v>
      </c>
      <c r="B82" s="156" t="s">
        <v>79</v>
      </c>
      <c r="C82" s="157" t="str">
        <f t="shared" ref="C82:C88" ca="1" si="5">TEXT(COUNTIF(OFFSET(Banco,1,1,ROW(C82)-ROW(Banco),1),B82),"000")</f>
        <v>070</v>
      </c>
      <c r="D82" s="158" t="s">
        <v>184</v>
      </c>
      <c r="E82" s="159" t="s">
        <v>324</v>
      </c>
      <c r="F82" s="160" t="s">
        <v>39</v>
      </c>
      <c r="G82" s="161">
        <v>150</v>
      </c>
    </row>
    <row r="83" spans="1:7">
      <c r="A83" s="163" t="str">
        <f t="shared" ca="1" si="4"/>
        <v>Rec. Materiais-071</v>
      </c>
      <c r="B83" s="156" t="s">
        <v>79</v>
      </c>
      <c r="C83" s="157" t="str">
        <f t="shared" ca="1" si="5"/>
        <v>071</v>
      </c>
      <c r="D83" s="158"/>
      <c r="E83" s="159"/>
      <c r="F83" s="160"/>
      <c r="G83" s="161"/>
    </row>
    <row r="84" spans="1:7">
      <c r="A84" s="163" t="str">
        <f t="shared" ca="1" si="4"/>
        <v>Serv. Terc.-001</v>
      </c>
      <c r="B84" s="156" t="s">
        <v>80</v>
      </c>
      <c r="C84" s="157" t="str">
        <f t="shared" ca="1" si="5"/>
        <v>001</v>
      </c>
      <c r="D84" s="158" t="s">
        <v>184</v>
      </c>
      <c r="E84" s="159" t="s">
        <v>185</v>
      </c>
      <c r="F84" s="160" t="s">
        <v>39</v>
      </c>
      <c r="G84" s="161">
        <v>0.3</v>
      </c>
    </row>
    <row r="85" spans="1:7">
      <c r="A85" s="163" t="str">
        <f t="shared" ca="1" si="4"/>
        <v>Serv. Terc.-002</v>
      </c>
      <c r="B85" s="156" t="s">
        <v>80</v>
      </c>
      <c r="C85" s="157" t="str">
        <f t="shared" ca="1" si="5"/>
        <v>002</v>
      </c>
      <c r="D85" s="158" t="s">
        <v>184</v>
      </c>
      <c r="E85" s="159" t="s">
        <v>186</v>
      </c>
      <c r="F85" s="160" t="s">
        <v>206</v>
      </c>
      <c r="G85" s="161">
        <v>200</v>
      </c>
    </row>
    <row r="86" spans="1:7">
      <c r="A86" s="163" t="str">
        <f t="shared" ca="1" si="4"/>
        <v>Serv. Terc.-003</v>
      </c>
      <c r="B86" s="156" t="s">
        <v>80</v>
      </c>
      <c r="C86" s="157" t="str">
        <f t="shared" ca="1" si="5"/>
        <v>003</v>
      </c>
      <c r="D86" s="158" t="s">
        <v>184</v>
      </c>
      <c r="E86" s="159" t="s">
        <v>187</v>
      </c>
      <c r="F86" s="160" t="s">
        <v>39</v>
      </c>
      <c r="G86" s="161">
        <v>3</v>
      </c>
    </row>
    <row r="87" spans="1:7">
      <c r="A87" s="163" t="str">
        <f t="shared" ca="1" si="4"/>
        <v>Serv. Terc.-004</v>
      </c>
      <c r="B87" s="156" t="s">
        <v>80</v>
      </c>
      <c r="C87" s="157" t="str">
        <f t="shared" ca="1" si="5"/>
        <v>004</v>
      </c>
      <c r="D87" s="158" t="s">
        <v>184</v>
      </c>
      <c r="E87" s="159" t="s">
        <v>188</v>
      </c>
      <c r="F87" s="160" t="s">
        <v>39</v>
      </c>
      <c r="G87" s="161">
        <v>2</v>
      </c>
    </row>
    <row r="88" spans="1:7">
      <c r="A88" s="163" t="str">
        <f t="shared" ca="1" si="4"/>
        <v>Serv. Terc.-005</v>
      </c>
      <c r="B88" s="156" t="s">
        <v>80</v>
      </c>
      <c r="C88" s="157" t="str">
        <f t="shared" ca="1" si="5"/>
        <v>005</v>
      </c>
      <c r="D88" s="158" t="s">
        <v>184</v>
      </c>
      <c r="E88" s="159" t="s">
        <v>189</v>
      </c>
      <c r="F88" s="160" t="s">
        <v>39</v>
      </c>
      <c r="G88" s="161">
        <v>40</v>
      </c>
    </row>
    <row r="89" spans="1:7">
      <c r="A89" s="163" t="str">
        <f t="shared" ref="A89:A152" ca="1" si="6">B89&amp;"-"&amp;C89</f>
        <v>Serv. Terc.-006</v>
      </c>
      <c r="B89" s="156" t="s">
        <v>80</v>
      </c>
      <c r="C89" s="157" t="str">
        <f t="shared" ref="C89:C152" ca="1" si="7">TEXT(COUNTIF(OFFSET(Banco,1,1,ROW(C89)-ROW(Banco),1),B89),"000")</f>
        <v>006</v>
      </c>
      <c r="D89" s="158" t="s">
        <v>184</v>
      </c>
      <c r="E89" s="159" t="s">
        <v>190</v>
      </c>
      <c r="F89" s="160" t="s">
        <v>39</v>
      </c>
      <c r="G89" s="161">
        <v>250</v>
      </c>
    </row>
    <row r="90" spans="1:7">
      <c r="A90" s="163" t="str">
        <f t="shared" ca="1" si="6"/>
        <v>Serv. Terc.-007</v>
      </c>
      <c r="B90" s="156" t="s">
        <v>80</v>
      </c>
      <c r="C90" s="157" t="str">
        <f t="shared" ca="1" si="7"/>
        <v>007</v>
      </c>
      <c r="D90" s="158"/>
      <c r="E90" s="159"/>
      <c r="F90" s="160"/>
      <c r="G90" s="161"/>
    </row>
    <row r="91" spans="1:7">
      <c r="A91" s="163" t="str">
        <f t="shared" ca="1" si="6"/>
        <v>Serv. Terc.-008</v>
      </c>
      <c r="B91" s="156" t="s">
        <v>80</v>
      </c>
      <c r="C91" s="157" t="str">
        <f t="shared" ca="1" si="7"/>
        <v>008</v>
      </c>
      <c r="D91" s="158" t="s">
        <v>184</v>
      </c>
      <c r="E91" s="159" t="s">
        <v>191</v>
      </c>
      <c r="F91" s="160" t="s">
        <v>39</v>
      </c>
      <c r="G91" s="161">
        <v>220</v>
      </c>
    </row>
    <row r="92" spans="1:7">
      <c r="A92" s="163" t="str">
        <f t="shared" ca="1" si="6"/>
        <v>Serv. Terc.-009</v>
      </c>
      <c r="B92" s="156" t="s">
        <v>80</v>
      </c>
      <c r="C92" s="157" t="str">
        <f t="shared" ca="1" si="7"/>
        <v>009</v>
      </c>
      <c r="D92" s="158" t="s">
        <v>184</v>
      </c>
      <c r="E92" s="159" t="s">
        <v>244</v>
      </c>
      <c r="F92" s="160" t="s">
        <v>39</v>
      </c>
      <c r="G92" s="161">
        <v>4</v>
      </c>
    </row>
    <row r="93" spans="1:7">
      <c r="A93" s="163" t="str">
        <f t="shared" ca="1" si="6"/>
        <v>Serv. Terc.-010</v>
      </c>
      <c r="B93" s="156" t="s">
        <v>80</v>
      </c>
      <c r="C93" s="157" t="str">
        <f t="shared" ca="1" si="7"/>
        <v>010</v>
      </c>
      <c r="D93" s="158" t="s">
        <v>192</v>
      </c>
      <c r="E93" s="159" t="s">
        <v>325</v>
      </c>
      <c r="F93" s="160" t="s">
        <v>39</v>
      </c>
      <c r="G93" s="161">
        <v>120</v>
      </c>
    </row>
    <row r="94" spans="1:7">
      <c r="A94" s="163" t="str">
        <f t="shared" ca="1" si="6"/>
        <v>Serv. Terc.-011</v>
      </c>
      <c r="B94" s="156" t="s">
        <v>80</v>
      </c>
      <c r="C94" s="157" t="str">
        <f t="shared" ca="1" si="7"/>
        <v>011</v>
      </c>
      <c r="D94" s="158" t="s">
        <v>192</v>
      </c>
      <c r="E94" s="159" t="s">
        <v>193</v>
      </c>
      <c r="F94" s="160" t="s">
        <v>39</v>
      </c>
      <c r="G94" s="161">
        <v>12</v>
      </c>
    </row>
    <row r="95" spans="1:7">
      <c r="A95" s="163" t="str">
        <f t="shared" ca="1" si="6"/>
        <v>Serv. Terc.-012</v>
      </c>
      <c r="B95" s="156" t="s">
        <v>80</v>
      </c>
      <c r="C95" s="157" t="str">
        <f t="shared" ca="1" si="7"/>
        <v>012</v>
      </c>
      <c r="D95" s="158" t="s">
        <v>184</v>
      </c>
      <c r="E95" s="159" t="s">
        <v>194</v>
      </c>
      <c r="F95" s="160" t="s">
        <v>39</v>
      </c>
      <c r="G95" s="161">
        <v>10</v>
      </c>
    </row>
    <row r="96" spans="1:7">
      <c r="A96" s="163" t="str">
        <f t="shared" ca="1" si="6"/>
        <v>Serv. Terc.-013</v>
      </c>
      <c r="B96" s="156" t="s">
        <v>80</v>
      </c>
      <c r="C96" s="157" t="str">
        <f t="shared" ca="1" si="7"/>
        <v>013</v>
      </c>
      <c r="D96" s="158" t="s">
        <v>184</v>
      </c>
      <c r="E96" s="159" t="s">
        <v>195</v>
      </c>
      <c r="F96" s="160" t="s">
        <v>39</v>
      </c>
      <c r="G96" s="161">
        <v>6.4</v>
      </c>
    </row>
    <row r="97" spans="1:7">
      <c r="A97" s="163" t="str">
        <f t="shared" ca="1" si="6"/>
        <v>Serv. Terc.-014</v>
      </c>
      <c r="B97" s="156" t="s">
        <v>80</v>
      </c>
      <c r="C97" s="157" t="str">
        <f t="shared" ca="1" si="7"/>
        <v>014</v>
      </c>
      <c r="D97" s="158"/>
      <c r="E97" s="159"/>
      <c r="F97" s="160"/>
      <c r="G97" s="161"/>
    </row>
    <row r="98" spans="1:7">
      <c r="A98" s="163" t="str">
        <f t="shared" ca="1" si="6"/>
        <v>Serv. Terc.-015</v>
      </c>
      <c r="B98" s="156" t="s">
        <v>80</v>
      </c>
      <c r="C98" s="157" t="str">
        <f t="shared" ca="1" si="7"/>
        <v>015</v>
      </c>
      <c r="D98" s="158" t="s">
        <v>184</v>
      </c>
      <c r="E98" s="159" t="s">
        <v>210</v>
      </c>
      <c r="F98" s="160" t="s">
        <v>247</v>
      </c>
      <c r="G98" s="161">
        <v>65</v>
      </c>
    </row>
    <row r="99" spans="1:7">
      <c r="A99" s="163" t="str">
        <f t="shared" ca="1" si="6"/>
        <v>Serv. Terc.-016</v>
      </c>
      <c r="B99" s="156" t="s">
        <v>80</v>
      </c>
      <c r="C99" s="157" t="str">
        <f t="shared" ca="1" si="7"/>
        <v>016</v>
      </c>
      <c r="D99" s="158"/>
      <c r="E99" s="159"/>
      <c r="F99" s="160"/>
      <c r="G99" s="161"/>
    </row>
    <row r="100" spans="1:7">
      <c r="A100" s="163" t="str">
        <f t="shared" ca="1" si="6"/>
        <v>Serv. Terc.-017</v>
      </c>
      <c r="B100" s="156" t="s">
        <v>80</v>
      </c>
      <c r="C100" s="157" t="str">
        <f t="shared" ca="1" si="7"/>
        <v>017</v>
      </c>
      <c r="D100" s="158" t="s">
        <v>184</v>
      </c>
      <c r="E100" s="159" t="s">
        <v>326</v>
      </c>
      <c r="F100" s="160" t="s">
        <v>206</v>
      </c>
      <c r="G100" s="161">
        <v>100</v>
      </c>
    </row>
    <row r="101" spans="1:7" ht="12" customHeight="1">
      <c r="A101" s="163" t="str">
        <f t="shared" ca="1" si="6"/>
        <v>Serv. Terc.-018</v>
      </c>
      <c r="B101" s="156" t="s">
        <v>80</v>
      </c>
      <c r="C101" s="157" t="str">
        <f t="shared" ca="1" si="7"/>
        <v>018</v>
      </c>
      <c r="D101" s="158" t="s">
        <v>184</v>
      </c>
      <c r="E101" s="159" t="s">
        <v>319</v>
      </c>
      <c r="F101" s="160" t="s">
        <v>39</v>
      </c>
      <c r="G101" s="161">
        <v>90.9</v>
      </c>
    </row>
    <row r="102" spans="1:7">
      <c r="A102" s="163" t="str">
        <f t="shared" ca="1" si="6"/>
        <v>Serv. Terc.-019</v>
      </c>
      <c r="B102" s="156" t="s">
        <v>80</v>
      </c>
      <c r="C102" s="157" t="str">
        <f t="shared" ca="1" si="7"/>
        <v>019</v>
      </c>
      <c r="D102" s="158" t="s">
        <v>184</v>
      </c>
      <c r="E102" s="159" t="s">
        <v>328</v>
      </c>
      <c r="F102" s="160" t="s">
        <v>39</v>
      </c>
      <c r="G102" s="161">
        <v>20</v>
      </c>
    </row>
    <row r="103" spans="1:7" ht="25.5">
      <c r="A103" s="163" t="str">
        <f t="shared" ca="1" si="6"/>
        <v>Serv. Terc.-020</v>
      </c>
      <c r="B103" s="156" t="s">
        <v>80</v>
      </c>
      <c r="C103" s="157" t="str">
        <f t="shared" ca="1" si="7"/>
        <v>020</v>
      </c>
      <c r="D103" s="158" t="s">
        <v>184</v>
      </c>
      <c r="E103" s="159" t="s">
        <v>318</v>
      </c>
      <c r="F103" s="160" t="s">
        <v>301</v>
      </c>
      <c r="G103" s="161">
        <v>300</v>
      </c>
    </row>
    <row r="104" spans="1:7">
      <c r="A104" s="163" t="str">
        <f t="shared" ca="1" si="6"/>
        <v>Serv. Terc.-021</v>
      </c>
      <c r="B104" s="156" t="s">
        <v>80</v>
      </c>
      <c r="C104" s="157" t="str">
        <f t="shared" ca="1" si="7"/>
        <v>021</v>
      </c>
      <c r="D104" s="158" t="s">
        <v>184</v>
      </c>
      <c r="E104" s="159" t="s">
        <v>306</v>
      </c>
      <c r="F104" s="160" t="s">
        <v>250</v>
      </c>
      <c r="G104" s="161">
        <v>168</v>
      </c>
    </row>
    <row r="105" spans="1:7">
      <c r="A105" s="163" t="str">
        <f t="shared" ca="1" si="6"/>
        <v>Serv. Terc.-022</v>
      </c>
      <c r="B105" s="156" t="s">
        <v>80</v>
      </c>
      <c r="C105" s="157" t="str">
        <f t="shared" ca="1" si="7"/>
        <v>022</v>
      </c>
      <c r="D105" s="158"/>
      <c r="E105" s="159"/>
      <c r="F105" s="160"/>
      <c r="G105" s="161"/>
    </row>
    <row r="106" spans="1:7">
      <c r="A106" s="163" t="str">
        <f t="shared" ca="1" si="6"/>
        <v>Serv. Terc.-023</v>
      </c>
      <c r="B106" s="156" t="s">
        <v>80</v>
      </c>
      <c r="C106" s="157" t="str">
        <f t="shared" ca="1" si="7"/>
        <v>023</v>
      </c>
      <c r="D106" s="158"/>
      <c r="E106" s="159"/>
      <c r="F106" s="160"/>
      <c r="G106" s="161"/>
    </row>
    <row r="107" spans="1:7">
      <c r="A107" s="163" t="str">
        <f t="shared" ca="1" si="6"/>
        <v>Serv. Terc.-024</v>
      </c>
      <c r="B107" s="156" t="s">
        <v>80</v>
      </c>
      <c r="C107" s="157" t="str">
        <f t="shared" ca="1" si="7"/>
        <v>024</v>
      </c>
      <c r="D107" s="158" t="s">
        <v>184</v>
      </c>
      <c r="E107" s="159"/>
      <c r="F107" s="160"/>
      <c r="G107" s="161"/>
    </row>
    <row r="108" spans="1:7">
      <c r="A108" s="163" t="str">
        <f t="shared" ca="1" si="6"/>
        <v>Serv. Terc.-025</v>
      </c>
      <c r="B108" s="156" t="s">
        <v>80</v>
      </c>
      <c r="C108" s="157" t="str">
        <f t="shared" ca="1" si="7"/>
        <v>025</v>
      </c>
      <c r="D108" s="158" t="s">
        <v>184</v>
      </c>
      <c r="E108" s="159"/>
      <c r="F108" s="160"/>
      <c r="G108" s="161"/>
    </row>
    <row r="109" spans="1:7">
      <c r="A109" s="163" t="str">
        <f t="shared" ca="1" si="6"/>
        <v>Serv. Terc.-026</v>
      </c>
      <c r="B109" s="156" t="s">
        <v>80</v>
      </c>
      <c r="C109" s="157" t="str">
        <f t="shared" ca="1" si="7"/>
        <v>026</v>
      </c>
      <c r="D109" s="158" t="s">
        <v>184</v>
      </c>
      <c r="E109" s="159" t="s">
        <v>210</v>
      </c>
      <c r="F109" s="160" t="s">
        <v>247</v>
      </c>
      <c r="G109" s="161">
        <v>65</v>
      </c>
    </row>
    <row r="110" spans="1:7">
      <c r="A110" s="163" t="str">
        <f t="shared" ca="1" si="6"/>
        <v>Serv. Terc.-027</v>
      </c>
      <c r="B110" s="156" t="s">
        <v>80</v>
      </c>
      <c r="C110" s="157" t="str">
        <f t="shared" ca="1" si="7"/>
        <v>027</v>
      </c>
      <c r="D110" s="158" t="s">
        <v>184</v>
      </c>
      <c r="E110" s="159" t="s">
        <v>212</v>
      </c>
      <c r="F110" s="160" t="s">
        <v>39</v>
      </c>
      <c r="G110" s="161">
        <v>6</v>
      </c>
    </row>
    <row r="111" spans="1:7">
      <c r="A111" s="163" t="str">
        <f t="shared" ca="1" si="6"/>
        <v>Serv. Terc.-028</v>
      </c>
      <c r="B111" s="156" t="s">
        <v>80</v>
      </c>
      <c r="C111" s="157" t="str">
        <f t="shared" ca="1" si="7"/>
        <v>028</v>
      </c>
      <c r="D111" s="158" t="s">
        <v>302</v>
      </c>
      <c r="E111" s="159" t="s">
        <v>285</v>
      </c>
      <c r="F111" s="160" t="s">
        <v>206</v>
      </c>
      <c r="G111" s="161">
        <v>91.88</v>
      </c>
    </row>
    <row r="112" spans="1:7">
      <c r="A112" s="163" t="str">
        <f t="shared" ca="1" si="6"/>
        <v>Serv. Terc.-029</v>
      </c>
      <c r="B112" s="156" t="s">
        <v>80</v>
      </c>
      <c r="C112" s="157" t="str">
        <f t="shared" ca="1" si="7"/>
        <v>029</v>
      </c>
      <c r="D112" s="158" t="s">
        <v>192</v>
      </c>
      <c r="E112" s="159" t="s">
        <v>307</v>
      </c>
      <c r="F112" s="160" t="s">
        <v>250</v>
      </c>
      <c r="G112" s="161">
        <v>480</v>
      </c>
    </row>
    <row r="113" spans="1:7">
      <c r="A113" s="163" t="str">
        <f t="shared" ca="1" si="6"/>
        <v>Serv. Terc.-030</v>
      </c>
      <c r="B113" s="156" t="s">
        <v>80</v>
      </c>
      <c r="C113" s="157" t="str">
        <f t="shared" ca="1" si="7"/>
        <v>030</v>
      </c>
      <c r="D113" s="158" t="s">
        <v>184</v>
      </c>
      <c r="E113" s="159"/>
      <c r="F113" s="160"/>
      <c r="G113" s="161"/>
    </row>
    <row r="114" spans="1:7">
      <c r="A114" s="163" t="str">
        <f t="shared" ca="1" si="6"/>
        <v>Serv. Terc.-031</v>
      </c>
      <c r="B114" s="156" t="s">
        <v>80</v>
      </c>
      <c r="C114" s="157" t="str">
        <f t="shared" ca="1" si="7"/>
        <v>031</v>
      </c>
      <c r="D114" s="158" t="s">
        <v>184</v>
      </c>
      <c r="E114" s="159" t="s">
        <v>329</v>
      </c>
      <c r="F114" s="160" t="s">
        <v>39</v>
      </c>
      <c r="G114" s="161">
        <v>15</v>
      </c>
    </row>
    <row r="115" spans="1:7">
      <c r="A115" s="163" t="str">
        <f t="shared" ca="1" si="6"/>
        <v>Serv. Terc.-032</v>
      </c>
      <c r="B115" s="156" t="s">
        <v>80</v>
      </c>
      <c r="C115" s="157" t="str">
        <f t="shared" ca="1" si="7"/>
        <v>032</v>
      </c>
      <c r="D115" s="158" t="s">
        <v>184</v>
      </c>
      <c r="E115" s="159" t="s">
        <v>320</v>
      </c>
      <c r="F115" s="160" t="s">
        <v>39</v>
      </c>
      <c r="G115" s="161">
        <v>4</v>
      </c>
    </row>
    <row r="116" spans="1:7">
      <c r="A116" s="163" t="str">
        <f t="shared" ca="1" si="6"/>
        <v>Serv. Terc.-033</v>
      </c>
      <c r="B116" s="156" t="s">
        <v>80</v>
      </c>
      <c r="C116" s="157" t="str">
        <f t="shared" ca="1" si="7"/>
        <v>033</v>
      </c>
      <c r="D116" s="158" t="s">
        <v>184</v>
      </c>
      <c r="E116" s="159" t="s">
        <v>213</v>
      </c>
      <c r="F116" s="160" t="s">
        <v>247</v>
      </c>
      <c r="G116" s="161">
        <v>65</v>
      </c>
    </row>
    <row r="117" spans="1:7">
      <c r="A117" s="163" t="str">
        <f t="shared" ca="1" si="6"/>
        <v>Serv. Terc.-034</v>
      </c>
      <c r="B117" s="156" t="s">
        <v>80</v>
      </c>
      <c r="C117" s="157" t="str">
        <f t="shared" ca="1" si="7"/>
        <v>034</v>
      </c>
      <c r="D117" s="158"/>
      <c r="E117" s="159"/>
      <c r="F117" s="160"/>
      <c r="G117" s="161"/>
    </row>
    <row r="118" spans="1:7">
      <c r="A118" s="163" t="str">
        <f t="shared" ca="1" si="6"/>
        <v>Serv. Terc.-035</v>
      </c>
      <c r="B118" s="156" t="s">
        <v>80</v>
      </c>
      <c r="C118" s="157" t="str">
        <f t="shared" ca="1" si="7"/>
        <v>035</v>
      </c>
      <c r="D118" s="158"/>
      <c r="E118" s="159"/>
      <c r="F118" s="160"/>
      <c r="G118" s="161"/>
    </row>
    <row r="119" spans="1:7">
      <c r="A119" s="163" t="str">
        <f t="shared" ca="1" si="6"/>
        <v>Serv. Terc.-036</v>
      </c>
      <c r="B119" s="156" t="s">
        <v>80</v>
      </c>
      <c r="C119" s="157" t="str">
        <f t="shared" ca="1" si="7"/>
        <v>036</v>
      </c>
      <c r="D119" s="158" t="s">
        <v>184</v>
      </c>
      <c r="E119" s="159" t="s">
        <v>299</v>
      </c>
      <c r="F119" s="160" t="s">
        <v>39</v>
      </c>
      <c r="G119" s="161">
        <v>186</v>
      </c>
    </row>
    <row r="120" spans="1:7">
      <c r="A120" s="163" t="str">
        <f t="shared" ca="1" si="6"/>
        <v>Serv. Terc.-037</v>
      </c>
      <c r="B120" s="156" t="s">
        <v>80</v>
      </c>
      <c r="C120" s="157" t="str">
        <f t="shared" ca="1" si="7"/>
        <v>037</v>
      </c>
      <c r="D120" s="158" t="s">
        <v>184</v>
      </c>
      <c r="E120" s="159" t="s">
        <v>214</v>
      </c>
      <c r="F120" s="160" t="s">
        <v>39</v>
      </c>
      <c r="G120" s="161">
        <v>190</v>
      </c>
    </row>
    <row r="121" spans="1:7">
      <c r="A121" s="163" t="str">
        <f t="shared" ca="1" si="6"/>
        <v>Serv. Terc.-038</v>
      </c>
      <c r="B121" s="156" t="s">
        <v>80</v>
      </c>
      <c r="C121" s="157" t="str">
        <f t="shared" ca="1" si="7"/>
        <v>038</v>
      </c>
      <c r="D121" s="158" t="s">
        <v>184</v>
      </c>
      <c r="E121" s="159" t="s">
        <v>215</v>
      </c>
      <c r="F121" s="160" t="s">
        <v>39</v>
      </c>
      <c r="G121" s="161">
        <v>200</v>
      </c>
    </row>
    <row r="122" spans="1:7">
      <c r="A122" s="163" t="str">
        <f t="shared" ca="1" si="6"/>
        <v>Serv. Terc.-039</v>
      </c>
      <c r="B122" s="156" t="s">
        <v>80</v>
      </c>
      <c r="C122" s="157" t="str">
        <f t="shared" ca="1" si="7"/>
        <v>039</v>
      </c>
      <c r="D122" s="158" t="s">
        <v>184</v>
      </c>
      <c r="E122" s="159" t="s">
        <v>216</v>
      </c>
      <c r="F122" s="160" t="s">
        <v>39</v>
      </c>
      <c r="G122" s="161">
        <v>250</v>
      </c>
    </row>
    <row r="123" spans="1:7">
      <c r="A123" s="163" t="str">
        <f t="shared" ca="1" si="6"/>
        <v>Serv. Terc.-040</v>
      </c>
      <c r="B123" s="156" t="s">
        <v>80</v>
      </c>
      <c r="C123" s="157" t="str">
        <f t="shared" ca="1" si="7"/>
        <v>040</v>
      </c>
      <c r="D123" s="158"/>
      <c r="E123" s="159"/>
      <c r="F123" s="160"/>
      <c r="G123" s="161"/>
    </row>
    <row r="124" spans="1:7">
      <c r="A124" s="163" t="str">
        <f t="shared" ca="1" si="6"/>
        <v>Serv. Terc.-041</v>
      </c>
      <c r="B124" s="156" t="s">
        <v>80</v>
      </c>
      <c r="C124" s="157" t="str">
        <f t="shared" ca="1" si="7"/>
        <v>041</v>
      </c>
      <c r="D124" s="158" t="s">
        <v>296</v>
      </c>
      <c r="E124" s="159" t="s">
        <v>333</v>
      </c>
      <c r="F124" s="160" t="s">
        <v>206</v>
      </c>
      <c r="G124" s="161">
        <v>86.85</v>
      </c>
    </row>
    <row r="125" spans="1:7">
      <c r="A125" s="163" t="str">
        <f t="shared" ca="1" si="6"/>
        <v>Serv. Terc.-042</v>
      </c>
      <c r="B125" s="156" t="s">
        <v>80</v>
      </c>
      <c r="C125" s="157" t="str">
        <f t="shared" ca="1" si="7"/>
        <v>042</v>
      </c>
      <c r="D125" s="158" t="s">
        <v>184</v>
      </c>
      <c r="E125" s="159" t="s">
        <v>335</v>
      </c>
      <c r="F125" s="160" t="s">
        <v>208</v>
      </c>
      <c r="G125" s="161">
        <v>39</v>
      </c>
    </row>
    <row r="126" spans="1:7">
      <c r="A126" s="163" t="str">
        <f t="shared" ca="1" si="6"/>
        <v>Serv. Terc.-043</v>
      </c>
      <c r="B126" s="156" t="s">
        <v>80</v>
      </c>
      <c r="C126" s="157" t="str">
        <f t="shared" ca="1" si="7"/>
        <v>043</v>
      </c>
      <c r="D126" s="158" t="s">
        <v>283</v>
      </c>
      <c r="E126" s="159" t="s">
        <v>251</v>
      </c>
      <c r="F126" s="160" t="s">
        <v>250</v>
      </c>
      <c r="G126" s="161">
        <v>700.63</v>
      </c>
    </row>
    <row r="127" spans="1:7">
      <c r="A127" s="163" t="str">
        <f t="shared" ca="1" si="6"/>
        <v>Serv. Terc.-044</v>
      </c>
      <c r="B127" s="156" t="s">
        <v>80</v>
      </c>
      <c r="C127" s="157" t="str">
        <f t="shared" ca="1" si="7"/>
        <v>044</v>
      </c>
      <c r="D127" s="158" t="s">
        <v>192</v>
      </c>
      <c r="E127" s="159"/>
      <c r="F127" s="160"/>
      <c r="G127" s="161"/>
    </row>
    <row r="128" spans="1:7">
      <c r="A128" s="163" t="str">
        <f t="shared" ca="1" si="6"/>
        <v>Serv. Terc.-045</v>
      </c>
      <c r="B128" s="156" t="s">
        <v>80</v>
      </c>
      <c r="C128" s="157" t="str">
        <f t="shared" ca="1" si="7"/>
        <v>045</v>
      </c>
      <c r="D128" s="158" t="s">
        <v>184</v>
      </c>
      <c r="E128" s="159"/>
      <c r="F128" s="160"/>
      <c r="G128" s="161"/>
    </row>
    <row r="129" spans="1:7">
      <c r="A129" s="163" t="str">
        <f t="shared" ca="1" si="6"/>
        <v>Serv. Terc.-046</v>
      </c>
      <c r="B129" s="156" t="s">
        <v>80</v>
      </c>
      <c r="C129" s="157" t="str">
        <f t="shared" ca="1" si="7"/>
        <v>046</v>
      </c>
      <c r="D129" s="158" t="s">
        <v>184</v>
      </c>
      <c r="E129" s="159"/>
      <c r="F129" s="160"/>
      <c r="G129" s="161"/>
    </row>
    <row r="130" spans="1:7">
      <c r="A130" s="163" t="str">
        <f t="shared" ca="1" si="6"/>
        <v>Serv. Terc.-047</v>
      </c>
      <c r="B130" s="156" t="s">
        <v>80</v>
      </c>
      <c r="C130" s="157" t="str">
        <f t="shared" ca="1" si="7"/>
        <v>047</v>
      </c>
      <c r="D130" s="158" t="s">
        <v>184</v>
      </c>
      <c r="E130" s="159"/>
      <c r="F130" s="160"/>
      <c r="G130" s="161"/>
    </row>
    <row r="131" spans="1:7">
      <c r="A131" s="163" t="str">
        <f t="shared" ca="1" si="6"/>
        <v>Serv. Terc.-048</v>
      </c>
      <c r="B131" s="156" t="s">
        <v>80</v>
      </c>
      <c r="C131" s="157" t="str">
        <f t="shared" ca="1" si="7"/>
        <v>048</v>
      </c>
      <c r="D131" s="158" t="s">
        <v>184</v>
      </c>
      <c r="E131" s="159"/>
      <c r="F131" s="160"/>
      <c r="G131" s="161"/>
    </row>
    <row r="132" spans="1:7">
      <c r="A132" s="163" t="str">
        <f t="shared" ca="1" si="6"/>
        <v>Serv. Terc.-049</v>
      </c>
      <c r="B132" s="156" t="s">
        <v>80</v>
      </c>
      <c r="C132" s="157" t="str">
        <f t="shared" ca="1" si="7"/>
        <v>049</v>
      </c>
      <c r="D132" s="158" t="s">
        <v>184</v>
      </c>
      <c r="E132" s="159"/>
      <c r="F132" s="160"/>
      <c r="G132" s="161"/>
    </row>
    <row r="133" spans="1:7">
      <c r="A133" s="163" t="str">
        <f t="shared" ca="1" si="6"/>
        <v>Serv. Terc.-050</v>
      </c>
      <c r="B133" s="156" t="s">
        <v>80</v>
      </c>
      <c r="C133" s="157" t="str">
        <f t="shared" ca="1" si="7"/>
        <v>050</v>
      </c>
      <c r="D133" s="158" t="s">
        <v>184</v>
      </c>
      <c r="E133" s="159"/>
      <c r="F133" s="160"/>
      <c r="G133" s="161"/>
    </row>
    <row r="134" spans="1:7">
      <c r="A134" s="163" t="str">
        <f t="shared" ca="1" si="6"/>
        <v>Serv. Terc.-051</v>
      </c>
      <c r="B134" s="156" t="s">
        <v>80</v>
      </c>
      <c r="C134" s="157" t="str">
        <f t="shared" ca="1" si="7"/>
        <v>051</v>
      </c>
      <c r="D134" s="158" t="s">
        <v>184</v>
      </c>
      <c r="E134" s="159"/>
      <c r="F134" s="160"/>
      <c r="G134" s="161"/>
    </row>
    <row r="135" spans="1:7">
      <c r="A135" s="163" t="str">
        <f t="shared" ca="1" si="6"/>
        <v>Serv. Terc.-052</v>
      </c>
      <c r="B135" s="156" t="s">
        <v>80</v>
      </c>
      <c r="C135" s="157" t="str">
        <f t="shared" ca="1" si="7"/>
        <v>052</v>
      </c>
      <c r="D135" s="158" t="s">
        <v>184</v>
      </c>
      <c r="E135" s="159"/>
      <c r="F135" s="160"/>
      <c r="G135" s="161"/>
    </row>
    <row r="136" spans="1:7">
      <c r="A136" s="163" t="str">
        <f t="shared" ca="1" si="6"/>
        <v>Serv. Terc.-053</v>
      </c>
      <c r="B136" s="156" t="s">
        <v>80</v>
      </c>
      <c r="C136" s="157" t="str">
        <f t="shared" ca="1" si="7"/>
        <v>053</v>
      </c>
      <c r="D136" s="158" t="s">
        <v>184</v>
      </c>
      <c r="E136" s="159"/>
      <c r="F136" s="160"/>
      <c r="G136" s="161"/>
    </row>
    <row r="137" spans="1:7">
      <c r="A137" s="163" t="str">
        <f t="shared" ca="1" si="6"/>
        <v>Serv. Terc.-054</v>
      </c>
      <c r="B137" s="156" t="s">
        <v>80</v>
      </c>
      <c r="C137" s="157" t="str">
        <f t="shared" ca="1" si="7"/>
        <v>054</v>
      </c>
      <c r="D137" s="158" t="s">
        <v>184</v>
      </c>
      <c r="E137" s="159"/>
      <c r="F137" s="160"/>
      <c r="G137" s="161"/>
    </row>
    <row r="138" spans="1:7">
      <c r="A138" s="163" t="str">
        <f t="shared" ca="1" si="6"/>
        <v>Serv. Terc.-055</v>
      </c>
      <c r="B138" s="156" t="s">
        <v>80</v>
      </c>
      <c r="C138" s="157" t="str">
        <f t="shared" ca="1" si="7"/>
        <v>055</v>
      </c>
      <c r="D138" s="158" t="s">
        <v>184</v>
      </c>
      <c r="E138" s="159"/>
      <c r="F138" s="160"/>
      <c r="G138" s="161"/>
    </row>
    <row r="139" spans="1:7">
      <c r="A139" s="163" t="str">
        <f t="shared" ca="1" si="6"/>
        <v>Serv. Terc.-056</v>
      </c>
      <c r="B139" s="156" t="s">
        <v>80</v>
      </c>
      <c r="C139" s="157" t="str">
        <f t="shared" ca="1" si="7"/>
        <v>056</v>
      </c>
      <c r="D139" s="158" t="s">
        <v>184</v>
      </c>
      <c r="E139" s="159"/>
      <c r="F139" s="160"/>
      <c r="G139" s="161"/>
    </row>
    <row r="140" spans="1:7">
      <c r="A140" s="163" t="str">
        <f t="shared" ca="1" si="6"/>
        <v>Serv. Terc.-057</v>
      </c>
      <c r="B140" s="156" t="s">
        <v>80</v>
      </c>
      <c r="C140" s="157" t="str">
        <f t="shared" ca="1" si="7"/>
        <v>057</v>
      </c>
      <c r="D140" s="158" t="s">
        <v>184</v>
      </c>
      <c r="E140" s="159"/>
      <c r="F140" s="160"/>
      <c r="G140" s="161"/>
    </row>
    <row r="141" spans="1:7">
      <c r="A141" s="163" t="str">
        <f t="shared" ca="1" si="6"/>
        <v>Serv. Terc.-058</v>
      </c>
      <c r="B141" s="156" t="s">
        <v>80</v>
      </c>
      <c r="C141" s="157" t="str">
        <f t="shared" ca="1" si="7"/>
        <v>058</v>
      </c>
      <c r="D141" s="158" t="s">
        <v>184</v>
      </c>
      <c r="E141" s="159"/>
      <c r="F141" s="160"/>
      <c r="G141" s="161"/>
    </row>
    <row r="142" spans="1:7">
      <c r="A142" s="163" t="str">
        <f t="shared" ca="1" si="6"/>
        <v>Serv. Terc.-059</v>
      </c>
      <c r="B142" s="156" t="s">
        <v>80</v>
      </c>
      <c r="C142" s="157" t="str">
        <f t="shared" ca="1" si="7"/>
        <v>059</v>
      </c>
      <c r="D142" s="158" t="s">
        <v>184</v>
      </c>
      <c r="E142" s="159"/>
      <c r="F142" s="160"/>
      <c r="G142" s="161"/>
    </row>
    <row r="143" spans="1:7">
      <c r="A143" s="163" t="str">
        <f t="shared" ca="1" si="6"/>
        <v>Serv. Terc.-060</v>
      </c>
      <c r="B143" s="156" t="s">
        <v>80</v>
      </c>
      <c r="C143" s="157" t="str">
        <f t="shared" ca="1" si="7"/>
        <v>060</v>
      </c>
      <c r="D143" s="158" t="s">
        <v>184</v>
      </c>
      <c r="E143" s="159"/>
      <c r="F143" s="160"/>
      <c r="G143" s="161"/>
    </row>
    <row r="144" spans="1:7">
      <c r="A144" s="163" t="str">
        <f t="shared" ca="1" si="6"/>
        <v>Serv. Terc.-061</v>
      </c>
      <c r="B144" s="156" t="s">
        <v>80</v>
      </c>
      <c r="C144" s="157" t="str">
        <f t="shared" ca="1" si="7"/>
        <v>061</v>
      </c>
      <c r="D144" s="158" t="s">
        <v>184</v>
      </c>
      <c r="E144" s="159" t="s">
        <v>293</v>
      </c>
      <c r="F144" s="160" t="s">
        <v>312</v>
      </c>
      <c r="G144" s="161">
        <v>102.94</v>
      </c>
    </row>
    <row r="145" spans="1:7">
      <c r="A145" s="163" t="str">
        <f t="shared" ca="1" si="6"/>
        <v>Serv. Terc.-062</v>
      </c>
      <c r="B145" s="156" t="s">
        <v>80</v>
      </c>
      <c r="C145" s="157" t="str">
        <f t="shared" ca="1" si="7"/>
        <v>062</v>
      </c>
      <c r="D145" s="158" t="s">
        <v>278</v>
      </c>
      <c r="E145" s="159" t="s">
        <v>298</v>
      </c>
      <c r="F145" s="160" t="s">
        <v>206</v>
      </c>
      <c r="G145" s="161">
        <v>432.79</v>
      </c>
    </row>
    <row r="146" spans="1:7">
      <c r="A146" s="163" t="str">
        <f t="shared" ca="1" si="6"/>
        <v>Serv. Terc.-063</v>
      </c>
      <c r="B146" s="156" t="s">
        <v>80</v>
      </c>
      <c r="C146" s="157" t="str">
        <f t="shared" ca="1" si="7"/>
        <v>063</v>
      </c>
      <c r="D146" s="158" t="s">
        <v>304</v>
      </c>
      <c r="E146" s="159" t="s">
        <v>334</v>
      </c>
      <c r="F146" s="160" t="s">
        <v>206</v>
      </c>
      <c r="G146" s="161">
        <v>350</v>
      </c>
    </row>
    <row r="147" spans="1:7">
      <c r="A147" s="163" t="str">
        <f t="shared" ca="1" si="6"/>
        <v>Serv. Terc.-064</v>
      </c>
      <c r="B147" s="156" t="s">
        <v>80</v>
      </c>
      <c r="C147" s="157" t="str">
        <f t="shared" ca="1" si="7"/>
        <v>064</v>
      </c>
      <c r="D147" s="158"/>
      <c r="E147" s="159"/>
      <c r="F147" s="160"/>
      <c r="G147" s="161"/>
    </row>
    <row r="148" spans="1:7">
      <c r="A148" s="163" t="str">
        <f t="shared" ca="1" si="6"/>
        <v>Serv. Terc.-065</v>
      </c>
      <c r="B148" s="156" t="s">
        <v>80</v>
      </c>
      <c r="C148" s="157" t="str">
        <f t="shared" ca="1" si="7"/>
        <v>065</v>
      </c>
      <c r="D148" s="158" t="s">
        <v>172</v>
      </c>
      <c r="E148" s="159" t="s">
        <v>291</v>
      </c>
      <c r="F148" s="160" t="s">
        <v>206</v>
      </c>
      <c r="G148" s="161">
        <v>141.75</v>
      </c>
    </row>
    <row r="149" spans="1:7">
      <c r="A149" s="163" t="str">
        <f t="shared" ca="1" si="6"/>
        <v>Serv. Terc.-066</v>
      </c>
      <c r="B149" s="156" t="s">
        <v>80</v>
      </c>
      <c r="C149" s="157" t="str">
        <f t="shared" ca="1" si="7"/>
        <v>066</v>
      </c>
      <c r="D149" s="158" t="s">
        <v>273</v>
      </c>
      <c r="E149" s="159" t="s">
        <v>292</v>
      </c>
      <c r="F149" s="160" t="s">
        <v>206</v>
      </c>
      <c r="G149" s="161">
        <v>197</v>
      </c>
    </row>
    <row r="150" spans="1:7">
      <c r="A150" s="163" t="str">
        <f t="shared" ca="1" si="6"/>
        <v>Serv. Terc.-067</v>
      </c>
      <c r="B150" s="156" t="s">
        <v>80</v>
      </c>
      <c r="C150" s="157" t="str">
        <f t="shared" ca="1" si="7"/>
        <v>067</v>
      </c>
      <c r="D150" s="158" t="s">
        <v>184</v>
      </c>
      <c r="E150" s="159" t="s">
        <v>330</v>
      </c>
      <c r="F150" s="160" t="s">
        <v>39</v>
      </c>
      <c r="G150" s="161">
        <v>19</v>
      </c>
    </row>
    <row r="151" spans="1:7">
      <c r="A151" s="163" t="str">
        <f t="shared" ca="1" si="6"/>
        <v>Serv. Terc.-068</v>
      </c>
      <c r="B151" s="156" t="s">
        <v>80</v>
      </c>
      <c r="C151" s="157" t="str">
        <f t="shared" ca="1" si="7"/>
        <v>068</v>
      </c>
      <c r="D151" s="158" t="s">
        <v>272</v>
      </c>
      <c r="E151" s="159" t="s">
        <v>290</v>
      </c>
      <c r="F151" s="160" t="s">
        <v>206</v>
      </c>
      <c r="G151" s="161">
        <v>100.72</v>
      </c>
    </row>
    <row r="152" spans="1:7">
      <c r="A152" s="163" t="str">
        <f t="shared" ca="1" si="6"/>
        <v>Serv. Terc.-069</v>
      </c>
      <c r="B152" s="156" t="s">
        <v>80</v>
      </c>
      <c r="C152" s="157" t="str">
        <f t="shared" ca="1" si="7"/>
        <v>069</v>
      </c>
      <c r="D152" s="158" t="s">
        <v>184</v>
      </c>
      <c r="E152" s="159" t="s">
        <v>327</v>
      </c>
      <c r="F152" s="160" t="s">
        <v>39</v>
      </c>
      <c r="G152" s="161">
        <v>6</v>
      </c>
    </row>
    <row r="153" spans="1:7">
      <c r="A153" s="163" t="str">
        <f t="shared" ref="A153:A170" ca="1" si="8">B153&amp;"-"&amp;C153</f>
        <v>Serv. Terc.-070</v>
      </c>
      <c r="B153" s="156" t="s">
        <v>80</v>
      </c>
      <c r="C153" s="157" t="str">
        <f t="shared" ref="C153:C170" ca="1" si="9">TEXT(COUNTIF(OFFSET(Banco,1,1,ROW(C153)-ROW(Banco),1),B153),"000")</f>
        <v>070</v>
      </c>
      <c r="D153" s="158"/>
      <c r="E153" s="159"/>
      <c r="F153" s="160"/>
      <c r="G153" s="161"/>
    </row>
    <row r="154" spans="1:7">
      <c r="A154" s="163" t="str">
        <f t="shared" ca="1" si="8"/>
        <v>Serv. Terc.-071</v>
      </c>
      <c r="B154" s="156" t="s">
        <v>80</v>
      </c>
      <c r="C154" s="157" t="str">
        <f t="shared" ca="1" si="9"/>
        <v>071</v>
      </c>
      <c r="D154" s="158"/>
      <c r="E154" s="159"/>
      <c r="F154" s="160"/>
      <c r="G154" s="161"/>
    </row>
    <row r="155" spans="1:7">
      <c r="A155" s="163" t="str">
        <f t="shared" ca="1" si="8"/>
        <v>Serv. Terc.-072</v>
      </c>
      <c r="B155" s="156" t="s">
        <v>80</v>
      </c>
      <c r="C155" s="157" t="str">
        <f t="shared" ca="1" si="9"/>
        <v>072</v>
      </c>
      <c r="D155" s="158"/>
      <c r="E155" s="159"/>
      <c r="F155" s="160"/>
      <c r="G155" s="161"/>
    </row>
    <row r="156" spans="1:7">
      <c r="A156" s="163" t="str">
        <f t="shared" ca="1" si="8"/>
        <v>Serv. Terc.-073</v>
      </c>
      <c r="B156" s="156" t="s">
        <v>80</v>
      </c>
      <c r="C156" s="157" t="str">
        <f t="shared" ca="1" si="9"/>
        <v>073</v>
      </c>
      <c r="D156" s="158"/>
      <c r="E156" s="193"/>
      <c r="F156" s="160"/>
      <c r="G156" s="161"/>
    </row>
    <row r="157" spans="1:7">
      <c r="A157" s="163" t="str">
        <f t="shared" ca="1" si="8"/>
        <v>Serv. Terc.-074</v>
      </c>
      <c r="B157" s="156" t="s">
        <v>80</v>
      </c>
      <c r="C157" s="157" t="str">
        <f t="shared" ca="1" si="9"/>
        <v>074</v>
      </c>
      <c r="D157" s="158" t="s">
        <v>184</v>
      </c>
      <c r="E157" s="159" t="s">
        <v>228</v>
      </c>
      <c r="F157" s="160" t="s">
        <v>39</v>
      </c>
      <c r="G157" s="161">
        <v>250</v>
      </c>
    </row>
    <row r="158" spans="1:7">
      <c r="A158" s="163" t="str">
        <f t="shared" ca="1" si="8"/>
        <v>Serv. Terc.-075</v>
      </c>
      <c r="B158" s="156" t="s">
        <v>80</v>
      </c>
      <c r="C158" s="157" t="str">
        <f t="shared" ca="1" si="9"/>
        <v>075</v>
      </c>
      <c r="D158" s="158"/>
      <c r="E158" s="159"/>
      <c r="F158" s="160"/>
      <c r="G158" s="161"/>
    </row>
    <row r="159" spans="1:7">
      <c r="A159" s="163" t="str">
        <f t="shared" ca="1" si="8"/>
        <v>Serv. Terc.-076</v>
      </c>
      <c r="B159" s="156" t="s">
        <v>80</v>
      </c>
      <c r="C159" s="157" t="str">
        <f t="shared" ca="1" si="9"/>
        <v>076</v>
      </c>
      <c r="D159" s="158" t="s">
        <v>184</v>
      </c>
      <c r="E159" s="159" t="s">
        <v>310</v>
      </c>
      <c r="F159" s="160" t="s">
        <v>309</v>
      </c>
      <c r="G159" s="161">
        <v>90</v>
      </c>
    </row>
    <row r="160" spans="1:7">
      <c r="A160" s="163" t="str">
        <f t="shared" ca="1" si="8"/>
        <v>Serv. Terc.-077</v>
      </c>
      <c r="B160" s="156" t="s">
        <v>80</v>
      </c>
      <c r="C160" s="157" t="str">
        <f t="shared" ca="1" si="9"/>
        <v>077</v>
      </c>
      <c r="D160" s="158" t="s">
        <v>184</v>
      </c>
      <c r="E160" s="159" t="s">
        <v>311</v>
      </c>
      <c r="F160" s="160" t="s">
        <v>309</v>
      </c>
      <c r="G160" s="161">
        <v>300</v>
      </c>
    </row>
    <row r="161" spans="1:7">
      <c r="A161" s="163" t="str">
        <f t="shared" ca="1" si="8"/>
        <v>Serv. Terc.-078</v>
      </c>
      <c r="B161" s="156" t="s">
        <v>80</v>
      </c>
      <c r="C161" s="157" t="str">
        <f t="shared" ca="1" si="9"/>
        <v>078</v>
      </c>
      <c r="D161" s="158"/>
      <c r="E161" s="159"/>
      <c r="F161" s="160"/>
      <c r="G161" s="161"/>
    </row>
    <row r="162" spans="1:7">
      <c r="A162" s="163" t="str">
        <f t="shared" ca="1" si="8"/>
        <v>Serv. Terc.-079</v>
      </c>
      <c r="B162" s="156" t="s">
        <v>80</v>
      </c>
      <c r="C162" s="157" t="str">
        <f t="shared" ca="1" si="9"/>
        <v>079</v>
      </c>
      <c r="D162" s="158" t="s">
        <v>184</v>
      </c>
      <c r="E162" s="159" t="s">
        <v>234</v>
      </c>
      <c r="F162" s="160" t="s">
        <v>39</v>
      </c>
      <c r="G162" s="161">
        <v>6</v>
      </c>
    </row>
    <row r="163" spans="1:7">
      <c r="A163" s="163" t="str">
        <f t="shared" ca="1" si="8"/>
        <v>Serv. Terc.-080</v>
      </c>
      <c r="B163" s="156" t="s">
        <v>80</v>
      </c>
      <c r="C163" s="157" t="str">
        <f t="shared" ca="1" si="9"/>
        <v>080</v>
      </c>
      <c r="D163" s="158" t="s">
        <v>280</v>
      </c>
      <c r="E163" s="159" t="s">
        <v>282</v>
      </c>
      <c r="F163" s="160" t="s">
        <v>39</v>
      </c>
      <c r="G163" s="161">
        <v>123.02</v>
      </c>
    </row>
    <row r="164" spans="1:7">
      <c r="A164" s="163" t="str">
        <f t="shared" ca="1" si="8"/>
        <v>Serv. Terc.-081</v>
      </c>
      <c r="B164" s="156" t="s">
        <v>80</v>
      </c>
      <c r="C164" s="157" t="str">
        <f t="shared" ca="1" si="9"/>
        <v>081</v>
      </c>
      <c r="D164" s="158" t="s">
        <v>184</v>
      </c>
      <c r="E164" s="159" t="s">
        <v>288</v>
      </c>
      <c r="F164" s="160" t="s">
        <v>206</v>
      </c>
      <c r="G164" s="161">
        <v>80</v>
      </c>
    </row>
    <row r="165" spans="1:7">
      <c r="A165" s="163" t="str">
        <f t="shared" ca="1" si="8"/>
        <v>Serv. Terc.-082</v>
      </c>
      <c r="B165" s="156" t="s">
        <v>80</v>
      </c>
      <c r="C165" s="157" t="str">
        <f t="shared" ca="1" si="9"/>
        <v>082</v>
      </c>
      <c r="D165" s="158" t="s">
        <v>184</v>
      </c>
      <c r="E165" s="159" t="s">
        <v>252</v>
      </c>
      <c r="F165" s="160" t="s">
        <v>39</v>
      </c>
      <c r="G165" s="161">
        <v>20</v>
      </c>
    </row>
    <row r="166" spans="1:7">
      <c r="A166" s="163" t="str">
        <f t="shared" ca="1" si="8"/>
        <v>Serv. Terc.-083</v>
      </c>
      <c r="B166" s="156" t="s">
        <v>80</v>
      </c>
      <c r="C166" s="157" t="str">
        <f t="shared" ca="1" si="9"/>
        <v>083</v>
      </c>
      <c r="D166" s="158" t="s">
        <v>283</v>
      </c>
      <c r="E166" s="159" t="s">
        <v>257</v>
      </c>
      <c r="F166" s="160" t="s">
        <v>250</v>
      </c>
      <c r="G166" s="161">
        <v>736.88</v>
      </c>
    </row>
    <row r="167" spans="1:7">
      <c r="A167" s="163" t="str">
        <f t="shared" ca="1" si="8"/>
        <v>Serv. Terc.-084</v>
      </c>
      <c r="B167" s="156" t="s">
        <v>80</v>
      </c>
      <c r="C167" s="157" t="str">
        <f t="shared" ca="1" si="9"/>
        <v>084</v>
      </c>
      <c r="D167" s="158" t="s">
        <v>283</v>
      </c>
      <c r="E167" s="159" t="s">
        <v>286</v>
      </c>
      <c r="F167" s="160" t="s">
        <v>250</v>
      </c>
      <c r="G167" s="161">
        <v>306.23</v>
      </c>
    </row>
    <row r="168" spans="1:7">
      <c r="A168" s="163" t="str">
        <f t="shared" ca="1" si="8"/>
        <v>Serv. Terc.-085</v>
      </c>
      <c r="B168" s="156" t="s">
        <v>80</v>
      </c>
      <c r="C168" s="157" t="str">
        <f t="shared" ca="1" si="9"/>
        <v>085</v>
      </c>
      <c r="D168" s="194" t="s">
        <v>281</v>
      </c>
      <c r="E168" s="159" t="s">
        <v>284</v>
      </c>
      <c r="F168" s="160" t="s">
        <v>250</v>
      </c>
      <c r="G168" s="161">
        <v>41.6</v>
      </c>
    </row>
    <row r="169" spans="1:7">
      <c r="A169" s="163" t="str">
        <f t="shared" ca="1" si="8"/>
        <v>Serv. Terc.-086</v>
      </c>
      <c r="B169" s="156" t="s">
        <v>80</v>
      </c>
      <c r="C169" s="157" t="str">
        <f t="shared" ca="1" si="9"/>
        <v>086</v>
      </c>
      <c r="D169" s="158" t="s">
        <v>280</v>
      </c>
      <c r="E169" s="159" t="s">
        <v>287</v>
      </c>
      <c r="F169" s="160" t="s">
        <v>206</v>
      </c>
      <c r="G169" s="161">
        <v>92.65</v>
      </c>
    </row>
    <row r="170" spans="1:7">
      <c r="A170" s="163" t="str">
        <f t="shared" ca="1" si="8"/>
        <v>Serv. Terc.-087</v>
      </c>
      <c r="B170" s="156" t="s">
        <v>80</v>
      </c>
      <c r="C170" s="157" t="str">
        <f t="shared" ca="1" si="9"/>
        <v>087</v>
      </c>
      <c r="D170" s="158" t="s">
        <v>275</v>
      </c>
      <c r="E170" s="159" t="s">
        <v>289</v>
      </c>
      <c r="F170" s="160" t="s">
        <v>206</v>
      </c>
      <c r="G170" s="161">
        <v>896.51</v>
      </c>
    </row>
  </sheetData>
  <sheetProtection algorithmName="SHA-512" hashValue="Umo3NQM0JpOR79ccSH5KAJe+SBrPACggMbEhkHo+TgIBJB/ApiHTn6jrg+LQ7yZ9NNRdO8S7uGOaSm8ZOpU73g==" saltValue="nWJ43HrOWm/+egd5p9r2Ag==" spinCount="100000" sheet="1" objects="1" scenarios="1" formatRows="0"/>
  <mergeCells count="1">
    <mergeCell ref="B3:G3"/>
  </mergeCells>
  <phoneticPr fontId="43" type="noConversion"/>
  <conditionalFormatting sqref="B5:C6 B13:C13 B84:C84">
    <cfRule type="expression" dxfId="165" priority="577" stopIfTrue="1">
      <formula>$B5="Rec. Materiais"</formula>
    </cfRule>
  </conditionalFormatting>
  <conditionalFormatting sqref="B7:C7">
    <cfRule type="expression" dxfId="164" priority="573" stopIfTrue="1">
      <formula>$B7="Rec. Materiais"</formula>
    </cfRule>
  </conditionalFormatting>
  <conditionalFormatting sqref="B8:C8">
    <cfRule type="expression" dxfId="163" priority="571" stopIfTrue="1">
      <formula>$B8="Rec. Materiais"</formula>
    </cfRule>
  </conditionalFormatting>
  <conditionalFormatting sqref="B9:C9">
    <cfRule type="expression" dxfId="162" priority="569" stopIfTrue="1">
      <formula>$B9="Rec. Materiais"</formula>
    </cfRule>
  </conditionalFormatting>
  <conditionalFormatting sqref="B14:C14">
    <cfRule type="expression" dxfId="161" priority="555" stopIfTrue="1">
      <formula>$B14="Rec. Materiais"</formula>
    </cfRule>
  </conditionalFormatting>
  <conditionalFormatting sqref="B15:C15">
    <cfRule type="expression" dxfId="160" priority="553" stopIfTrue="1">
      <formula>$B15="Rec. Materiais"</formula>
    </cfRule>
  </conditionalFormatting>
  <conditionalFormatting sqref="B16:C16">
    <cfRule type="expression" dxfId="159" priority="551" stopIfTrue="1">
      <formula>$B16="Rec. Materiais"</formula>
    </cfRule>
  </conditionalFormatting>
  <conditionalFormatting sqref="B17:C17">
    <cfRule type="expression" dxfId="158" priority="549" stopIfTrue="1">
      <formula>$B17="Rec. Materiais"</formula>
    </cfRule>
  </conditionalFormatting>
  <conditionalFormatting sqref="B85:C85">
    <cfRule type="expression" dxfId="157" priority="533" stopIfTrue="1">
      <formula>$B85="Rec. Materiais"</formula>
    </cfRule>
  </conditionalFormatting>
  <conditionalFormatting sqref="B86:C86">
    <cfRule type="expression" dxfId="156" priority="531" stopIfTrue="1">
      <formula>$B86="Rec. Materiais"</formula>
    </cfRule>
  </conditionalFormatting>
  <conditionalFormatting sqref="B87:C87">
    <cfRule type="expression" dxfId="155" priority="529" stopIfTrue="1">
      <formula>$B87="Rec. Materiais"</formula>
    </cfRule>
  </conditionalFormatting>
  <conditionalFormatting sqref="B88:C88">
    <cfRule type="expression" dxfId="154" priority="519" stopIfTrue="1">
      <formula>$B88="Rec. Materiais"</formula>
    </cfRule>
  </conditionalFormatting>
  <conditionalFormatting sqref="B10:C10">
    <cfRule type="expression" dxfId="153" priority="303" stopIfTrue="1">
      <formula>$B10="Rec. Materiais"</formula>
    </cfRule>
  </conditionalFormatting>
  <conditionalFormatting sqref="B18:C18">
    <cfRule type="expression" dxfId="152" priority="301" stopIfTrue="1">
      <formula>$B18="Rec. Materiais"</formula>
    </cfRule>
  </conditionalFormatting>
  <conditionalFormatting sqref="B19:C19">
    <cfRule type="expression" dxfId="151" priority="299" stopIfTrue="1">
      <formula>$B19="Rec. Materiais"</formula>
    </cfRule>
  </conditionalFormatting>
  <conditionalFormatting sqref="B20:C20">
    <cfRule type="expression" dxfId="150" priority="297" stopIfTrue="1">
      <formula>$B20="Rec. Materiais"</formula>
    </cfRule>
  </conditionalFormatting>
  <conditionalFormatting sqref="B21:C21">
    <cfRule type="expression" dxfId="149" priority="295" stopIfTrue="1">
      <formula>$B21="Rec. Materiais"</formula>
    </cfRule>
  </conditionalFormatting>
  <conditionalFormatting sqref="B22:C22">
    <cfRule type="expression" dxfId="148" priority="293" stopIfTrue="1">
      <formula>$B22="Rec. Materiais"</formula>
    </cfRule>
  </conditionalFormatting>
  <conditionalFormatting sqref="B23:C23">
    <cfRule type="expression" dxfId="147" priority="291" stopIfTrue="1">
      <formula>$B23="Rec. Materiais"</formula>
    </cfRule>
  </conditionalFormatting>
  <conditionalFormatting sqref="B24:C24">
    <cfRule type="expression" dxfId="146" priority="289" stopIfTrue="1">
      <formula>$B24="Rec. Materiais"</formula>
    </cfRule>
  </conditionalFormatting>
  <conditionalFormatting sqref="B25:C25">
    <cfRule type="expression" dxfId="145" priority="287" stopIfTrue="1">
      <formula>$B25="Rec. Materiais"</formula>
    </cfRule>
  </conditionalFormatting>
  <conditionalFormatting sqref="B26:C26">
    <cfRule type="expression" dxfId="144" priority="285" stopIfTrue="1">
      <formula>$B26="Rec. Materiais"</formula>
    </cfRule>
  </conditionalFormatting>
  <conditionalFormatting sqref="B27:C27">
    <cfRule type="expression" dxfId="143" priority="283" stopIfTrue="1">
      <formula>$B27="Rec. Materiais"</formula>
    </cfRule>
  </conditionalFormatting>
  <conditionalFormatting sqref="B28:C28">
    <cfRule type="expression" dxfId="142" priority="281" stopIfTrue="1">
      <formula>$B28="Rec. Materiais"</formula>
    </cfRule>
  </conditionalFormatting>
  <conditionalFormatting sqref="B29:C29">
    <cfRule type="expression" dxfId="141" priority="279" stopIfTrue="1">
      <formula>$B29="Rec. Materiais"</formula>
    </cfRule>
  </conditionalFormatting>
  <conditionalFormatting sqref="B89:C89">
    <cfRule type="expression" dxfId="140" priority="277" stopIfTrue="1">
      <formula>$B89="Rec. Materiais"</formula>
    </cfRule>
  </conditionalFormatting>
  <conditionalFormatting sqref="B90:C90">
    <cfRule type="expression" dxfId="139" priority="275" stopIfTrue="1">
      <formula>$B90="Rec. Materiais"</formula>
    </cfRule>
  </conditionalFormatting>
  <conditionalFormatting sqref="B91:C91">
    <cfRule type="expression" dxfId="138" priority="273" stopIfTrue="1">
      <formula>$B91="Rec. Materiais"</formula>
    </cfRule>
  </conditionalFormatting>
  <conditionalFormatting sqref="B30:C30">
    <cfRule type="expression" dxfId="137" priority="271" stopIfTrue="1">
      <formula>$B30="Rec. Materiais"</formula>
    </cfRule>
  </conditionalFormatting>
  <conditionalFormatting sqref="B92:C92">
    <cfRule type="expression" dxfId="136" priority="269" stopIfTrue="1">
      <formula>$B92="Rec. Materiais"</formula>
    </cfRule>
  </conditionalFormatting>
  <conditionalFormatting sqref="B93:C93">
    <cfRule type="expression" dxfId="135" priority="267" stopIfTrue="1">
      <formula>$B93="Rec. Materiais"</formula>
    </cfRule>
  </conditionalFormatting>
  <conditionalFormatting sqref="B31:C31">
    <cfRule type="expression" dxfId="134" priority="265" stopIfTrue="1">
      <formula>$B31="Rec. Materiais"</formula>
    </cfRule>
  </conditionalFormatting>
  <conditionalFormatting sqref="B94:C94">
    <cfRule type="expression" dxfId="133" priority="263" stopIfTrue="1">
      <formula>$B94="Rec. Materiais"</formula>
    </cfRule>
  </conditionalFormatting>
  <conditionalFormatting sqref="B95:C95">
    <cfRule type="expression" dxfId="132" priority="261" stopIfTrue="1">
      <formula>$B95="Rec. Materiais"</formula>
    </cfRule>
  </conditionalFormatting>
  <conditionalFormatting sqref="B96:C96">
    <cfRule type="expression" dxfId="131" priority="259" stopIfTrue="1">
      <formula>$B96="Rec. Materiais"</formula>
    </cfRule>
  </conditionalFormatting>
  <conditionalFormatting sqref="B97:C97">
    <cfRule type="expression" dxfId="130" priority="257" stopIfTrue="1">
      <formula>$B97="Rec. Materiais"</formula>
    </cfRule>
  </conditionalFormatting>
  <conditionalFormatting sqref="B11:C11">
    <cfRule type="expression" dxfId="129" priority="255" stopIfTrue="1">
      <formula>$B11="Rec. Materiais"</formula>
    </cfRule>
  </conditionalFormatting>
  <conditionalFormatting sqref="B32:C32">
    <cfRule type="expression" dxfId="128" priority="253" stopIfTrue="1">
      <formula>$B32="Rec. Materiais"</formula>
    </cfRule>
  </conditionalFormatting>
  <conditionalFormatting sqref="B33:C33">
    <cfRule type="expression" dxfId="127" priority="251" stopIfTrue="1">
      <formula>$B33="Rec. Materiais"</formula>
    </cfRule>
  </conditionalFormatting>
  <conditionalFormatting sqref="B34:C34">
    <cfRule type="expression" dxfId="126" priority="249" stopIfTrue="1">
      <formula>$B34="Rec. Materiais"</formula>
    </cfRule>
  </conditionalFormatting>
  <conditionalFormatting sqref="B35:C35">
    <cfRule type="expression" dxfId="125" priority="247" stopIfTrue="1">
      <formula>$B35="Rec. Materiais"</formula>
    </cfRule>
  </conditionalFormatting>
  <conditionalFormatting sqref="B36:C36">
    <cfRule type="expression" dxfId="124" priority="245" stopIfTrue="1">
      <formula>$B36="Rec. Materiais"</formula>
    </cfRule>
  </conditionalFormatting>
  <conditionalFormatting sqref="B98:C98">
    <cfRule type="expression" dxfId="123" priority="243" stopIfTrue="1">
      <formula>$B98="Rec. Materiais"</formula>
    </cfRule>
  </conditionalFormatting>
  <conditionalFormatting sqref="B99:C99">
    <cfRule type="expression" dxfId="122" priority="241" stopIfTrue="1">
      <formula>$B99="Rec. Materiais"</formula>
    </cfRule>
  </conditionalFormatting>
  <conditionalFormatting sqref="B100:C100">
    <cfRule type="expression" dxfId="121" priority="239" stopIfTrue="1">
      <formula>$B100="Rec. Materiais"</formula>
    </cfRule>
  </conditionalFormatting>
  <conditionalFormatting sqref="B101:C101">
    <cfRule type="expression" dxfId="120" priority="237" stopIfTrue="1">
      <formula>$B101="Rec. Materiais"</formula>
    </cfRule>
  </conditionalFormatting>
  <conditionalFormatting sqref="B102:C102">
    <cfRule type="expression" dxfId="119" priority="235" stopIfTrue="1">
      <formula>$B102="Rec. Materiais"</formula>
    </cfRule>
  </conditionalFormatting>
  <conditionalFormatting sqref="B37:C37">
    <cfRule type="expression" dxfId="118" priority="233" stopIfTrue="1">
      <formula>$B37="Rec. Materiais"</formula>
    </cfRule>
  </conditionalFormatting>
  <conditionalFormatting sqref="B103:C103">
    <cfRule type="expression" dxfId="117" priority="231" stopIfTrue="1">
      <formula>$B103="Rec. Materiais"</formula>
    </cfRule>
  </conditionalFormatting>
  <conditionalFormatting sqref="B104:C104">
    <cfRule type="expression" dxfId="116" priority="229" stopIfTrue="1">
      <formula>$B104="Rec. Materiais"</formula>
    </cfRule>
  </conditionalFormatting>
  <conditionalFormatting sqref="B105:C105">
    <cfRule type="expression" dxfId="115" priority="227" stopIfTrue="1">
      <formula>$B105="Rec. Materiais"</formula>
    </cfRule>
  </conditionalFormatting>
  <conditionalFormatting sqref="B106:C106">
    <cfRule type="expression" dxfId="114" priority="225" stopIfTrue="1">
      <formula>$B106="Rec. Materiais"</formula>
    </cfRule>
  </conditionalFormatting>
  <conditionalFormatting sqref="B38:C38">
    <cfRule type="expression" dxfId="113" priority="223" stopIfTrue="1">
      <formula>$B38="Rec. Materiais"</formula>
    </cfRule>
  </conditionalFormatting>
  <conditionalFormatting sqref="B107:C107">
    <cfRule type="expression" dxfId="112" priority="221" stopIfTrue="1">
      <formula>$B107="Rec. Materiais"</formula>
    </cfRule>
  </conditionalFormatting>
  <conditionalFormatting sqref="B39:C39">
    <cfRule type="expression" dxfId="111" priority="219" stopIfTrue="1">
      <formula>$B39="Rec. Materiais"</formula>
    </cfRule>
  </conditionalFormatting>
  <conditionalFormatting sqref="B108:C108">
    <cfRule type="expression" dxfId="110" priority="217" stopIfTrue="1">
      <formula>$B108="Rec. Materiais"</formula>
    </cfRule>
  </conditionalFormatting>
  <conditionalFormatting sqref="B12:C12">
    <cfRule type="expression" dxfId="109" priority="215" stopIfTrue="1">
      <formula>$B12="Rec. Materiais"</formula>
    </cfRule>
  </conditionalFormatting>
  <conditionalFormatting sqref="B109:C109">
    <cfRule type="expression" dxfId="108" priority="213" stopIfTrue="1">
      <formula>$B109="Rec. Materiais"</formula>
    </cfRule>
  </conditionalFormatting>
  <conditionalFormatting sqref="B110:C110">
    <cfRule type="expression" dxfId="107" priority="211" stopIfTrue="1">
      <formula>$B110="Rec. Materiais"</formula>
    </cfRule>
  </conditionalFormatting>
  <conditionalFormatting sqref="B111:C111">
    <cfRule type="expression" dxfId="106" priority="209" stopIfTrue="1">
      <formula>$B111="Rec. Materiais"</formula>
    </cfRule>
  </conditionalFormatting>
  <conditionalFormatting sqref="B112:C112">
    <cfRule type="expression" dxfId="105" priority="207" stopIfTrue="1">
      <formula>$B112="Rec. Materiais"</formula>
    </cfRule>
  </conditionalFormatting>
  <conditionalFormatting sqref="B40:C40">
    <cfRule type="expression" dxfId="104" priority="205" stopIfTrue="1">
      <formula>$B40="Rec. Materiais"</formula>
    </cfRule>
  </conditionalFormatting>
  <conditionalFormatting sqref="B41:C41">
    <cfRule type="expression" dxfId="103" priority="203" stopIfTrue="1">
      <formula>$B41="Rec. Materiais"</formula>
    </cfRule>
  </conditionalFormatting>
  <conditionalFormatting sqref="B42:C42">
    <cfRule type="expression" dxfId="102" priority="201" stopIfTrue="1">
      <formula>$B42="Rec. Materiais"</formula>
    </cfRule>
  </conditionalFormatting>
  <conditionalFormatting sqref="B43:C43">
    <cfRule type="expression" dxfId="101" priority="199" stopIfTrue="1">
      <formula>$B43="Rec. Materiais"</formula>
    </cfRule>
  </conditionalFormatting>
  <conditionalFormatting sqref="B44:C44">
    <cfRule type="expression" dxfId="100" priority="197" stopIfTrue="1">
      <formula>$B44="Rec. Materiais"</formula>
    </cfRule>
  </conditionalFormatting>
  <conditionalFormatting sqref="B45:C45">
    <cfRule type="expression" dxfId="99" priority="195" stopIfTrue="1">
      <formula>$B45="Rec. Materiais"</formula>
    </cfRule>
  </conditionalFormatting>
  <conditionalFormatting sqref="B46:C46">
    <cfRule type="expression" dxfId="98" priority="193" stopIfTrue="1">
      <formula>$B46="Rec. Materiais"</formula>
    </cfRule>
  </conditionalFormatting>
  <conditionalFormatting sqref="B113:C113">
    <cfRule type="expression" dxfId="97" priority="191" stopIfTrue="1">
      <formula>$B113="Rec. Materiais"</formula>
    </cfRule>
  </conditionalFormatting>
  <conditionalFormatting sqref="B114:C114">
    <cfRule type="expression" dxfId="96" priority="189" stopIfTrue="1">
      <formula>$B114="Rec. Materiais"</formula>
    </cfRule>
  </conditionalFormatting>
  <conditionalFormatting sqref="B115:C115">
    <cfRule type="expression" dxfId="95" priority="187" stopIfTrue="1">
      <formula>$B115="Rec. Materiais"</formula>
    </cfRule>
  </conditionalFormatting>
  <conditionalFormatting sqref="B116:C116">
    <cfRule type="expression" dxfId="94" priority="185" stopIfTrue="1">
      <formula>$B116="Rec. Materiais"</formula>
    </cfRule>
  </conditionalFormatting>
  <conditionalFormatting sqref="B117:C117">
    <cfRule type="expression" dxfId="93" priority="183" stopIfTrue="1">
      <formula>$B117="Rec. Materiais"</formula>
    </cfRule>
  </conditionalFormatting>
  <conditionalFormatting sqref="B118:C118">
    <cfRule type="expression" dxfId="92" priority="181" stopIfTrue="1">
      <formula>$B118="Rec. Materiais"</formula>
    </cfRule>
  </conditionalFormatting>
  <conditionalFormatting sqref="B119:C119">
    <cfRule type="expression" dxfId="91" priority="179" stopIfTrue="1">
      <formula>$B119="Rec. Materiais"</formula>
    </cfRule>
  </conditionalFormatting>
  <conditionalFormatting sqref="B120:C120">
    <cfRule type="expression" dxfId="90" priority="177" stopIfTrue="1">
      <formula>$B120="Rec. Materiais"</formula>
    </cfRule>
  </conditionalFormatting>
  <conditionalFormatting sqref="B121:C121">
    <cfRule type="expression" dxfId="89" priority="175" stopIfTrue="1">
      <formula>$B121="Rec. Materiais"</formula>
    </cfRule>
  </conditionalFormatting>
  <conditionalFormatting sqref="B122:C122">
    <cfRule type="expression" dxfId="88" priority="173" stopIfTrue="1">
      <formula>$B122="Rec. Materiais"</formula>
    </cfRule>
  </conditionalFormatting>
  <conditionalFormatting sqref="B123:C123">
    <cfRule type="expression" dxfId="87" priority="171" stopIfTrue="1">
      <formula>$B123="Rec. Materiais"</formula>
    </cfRule>
  </conditionalFormatting>
  <conditionalFormatting sqref="B124:C124">
    <cfRule type="expression" dxfId="86" priority="169" stopIfTrue="1">
      <formula>$B124="Rec. Materiais"</formula>
    </cfRule>
  </conditionalFormatting>
  <conditionalFormatting sqref="B125:C125">
    <cfRule type="expression" dxfId="85" priority="167" stopIfTrue="1">
      <formula>$B125="Rec. Materiais"</formula>
    </cfRule>
  </conditionalFormatting>
  <conditionalFormatting sqref="B126:C126">
    <cfRule type="expression" dxfId="84" priority="165" stopIfTrue="1">
      <formula>$B126="Rec. Materiais"</formula>
    </cfRule>
  </conditionalFormatting>
  <conditionalFormatting sqref="B127:C127">
    <cfRule type="expression" dxfId="83" priority="163" stopIfTrue="1">
      <formula>$B127="Rec. Materiais"</formula>
    </cfRule>
  </conditionalFormatting>
  <conditionalFormatting sqref="B128:C128">
    <cfRule type="expression" dxfId="82" priority="161" stopIfTrue="1">
      <formula>$B128="Rec. Materiais"</formula>
    </cfRule>
  </conditionalFormatting>
  <conditionalFormatting sqref="B129:C129">
    <cfRule type="expression" dxfId="81" priority="159" stopIfTrue="1">
      <formula>$B129="Rec. Materiais"</formula>
    </cfRule>
  </conditionalFormatting>
  <conditionalFormatting sqref="B130:C130">
    <cfRule type="expression" dxfId="80" priority="157" stopIfTrue="1">
      <formula>$B130="Rec. Materiais"</formula>
    </cfRule>
  </conditionalFormatting>
  <conditionalFormatting sqref="B131:C131">
    <cfRule type="expression" dxfId="79" priority="155" stopIfTrue="1">
      <formula>$B131="Rec. Materiais"</formula>
    </cfRule>
  </conditionalFormatting>
  <conditionalFormatting sqref="B132:C132">
    <cfRule type="expression" dxfId="78" priority="153" stopIfTrue="1">
      <formula>$B132="Rec. Materiais"</formula>
    </cfRule>
  </conditionalFormatting>
  <conditionalFormatting sqref="B133:C133">
    <cfRule type="expression" dxfId="77" priority="151" stopIfTrue="1">
      <formula>$B133="Rec. Materiais"</formula>
    </cfRule>
  </conditionalFormatting>
  <conditionalFormatting sqref="B134:C134">
    <cfRule type="expression" dxfId="76" priority="149" stopIfTrue="1">
      <formula>$B134="Rec. Materiais"</formula>
    </cfRule>
  </conditionalFormatting>
  <conditionalFormatting sqref="B135:C135">
    <cfRule type="expression" dxfId="75" priority="147" stopIfTrue="1">
      <formula>$B135="Rec. Materiais"</formula>
    </cfRule>
  </conditionalFormatting>
  <conditionalFormatting sqref="B136:C136">
    <cfRule type="expression" dxfId="74" priority="145" stopIfTrue="1">
      <formula>$B136="Rec. Materiais"</formula>
    </cfRule>
  </conditionalFormatting>
  <conditionalFormatting sqref="B137:C137">
    <cfRule type="expression" dxfId="73" priority="143" stopIfTrue="1">
      <formula>$B137="Rec. Materiais"</formula>
    </cfRule>
  </conditionalFormatting>
  <conditionalFormatting sqref="B138:C138">
    <cfRule type="expression" dxfId="72" priority="141" stopIfTrue="1">
      <formula>$B138="Rec. Materiais"</formula>
    </cfRule>
  </conditionalFormatting>
  <conditionalFormatting sqref="B139:C139">
    <cfRule type="expression" dxfId="71" priority="139" stopIfTrue="1">
      <formula>$B139="Rec. Materiais"</formula>
    </cfRule>
  </conditionalFormatting>
  <conditionalFormatting sqref="B140:C140">
    <cfRule type="expression" dxfId="70" priority="137" stopIfTrue="1">
      <formula>$B140="Rec. Materiais"</formula>
    </cfRule>
  </conditionalFormatting>
  <conditionalFormatting sqref="B141:C141">
    <cfRule type="expression" dxfId="69" priority="135" stopIfTrue="1">
      <formula>$B141="Rec. Materiais"</formula>
    </cfRule>
  </conditionalFormatting>
  <conditionalFormatting sqref="B142:C142">
    <cfRule type="expression" dxfId="68" priority="133" stopIfTrue="1">
      <formula>$B142="Rec. Materiais"</formula>
    </cfRule>
  </conditionalFormatting>
  <conditionalFormatting sqref="B143:C143">
    <cfRule type="expression" dxfId="67" priority="131" stopIfTrue="1">
      <formula>$B143="Rec. Materiais"</formula>
    </cfRule>
  </conditionalFormatting>
  <conditionalFormatting sqref="B144:C144">
    <cfRule type="expression" dxfId="66" priority="129" stopIfTrue="1">
      <formula>$B144="Rec. Materiais"</formula>
    </cfRule>
  </conditionalFormatting>
  <conditionalFormatting sqref="B145:C145">
    <cfRule type="expression" dxfId="65" priority="127" stopIfTrue="1">
      <formula>$B145="Rec. Materiais"</formula>
    </cfRule>
  </conditionalFormatting>
  <conditionalFormatting sqref="B146:C146">
    <cfRule type="expression" dxfId="64" priority="125" stopIfTrue="1">
      <formula>$B146="Rec. Materiais"</formula>
    </cfRule>
  </conditionalFormatting>
  <conditionalFormatting sqref="B147:C147">
    <cfRule type="expression" dxfId="63" priority="123" stopIfTrue="1">
      <formula>$B147="Rec. Materiais"</formula>
    </cfRule>
  </conditionalFormatting>
  <conditionalFormatting sqref="B148:C148">
    <cfRule type="expression" dxfId="62" priority="121" stopIfTrue="1">
      <formula>$B148="Rec. Materiais"</formula>
    </cfRule>
  </conditionalFormatting>
  <conditionalFormatting sqref="B149:C149">
    <cfRule type="expression" dxfId="61" priority="119" stopIfTrue="1">
      <formula>$B149="Rec. Materiais"</formula>
    </cfRule>
  </conditionalFormatting>
  <conditionalFormatting sqref="B150:C150">
    <cfRule type="expression" dxfId="60" priority="117" stopIfTrue="1">
      <formula>$B150="Rec. Materiais"</formula>
    </cfRule>
  </conditionalFormatting>
  <conditionalFormatting sqref="B151:C151">
    <cfRule type="expression" dxfId="59" priority="115" stopIfTrue="1">
      <formula>$B151="Rec. Materiais"</formula>
    </cfRule>
  </conditionalFormatting>
  <conditionalFormatting sqref="B152:C152">
    <cfRule type="expression" dxfId="58" priority="113" stopIfTrue="1">
      <formula>$B152="Rec. Materiais"</formula>
    </cfRule>
  </conditionalFormatting>
  <conditionalFormatting sqref="B153:C153">
    <cfRule type="expression" dxfId="57" priority="111" stopIfTrue="1">
      <formula>$B153="Rec. Materiais"</formula>
    </cfRule>
  </conditionalFormatting>
  <conditionalFormatting sqref="B154:C154">
    <cfRule type="expression" dxfId="56" priority="109" stopIfTrue="1">
      <formula>$B154="Rec. Materiais"</formula>
    </cfRule>
  </conditionalFormatting>
  <conditionalFormatting sqref="B155:C155">
    <cfRule type="expression" dxfId="55" priority="107" stopIfTrue="1">
      <formula>$B155="Rec. Materiais"</formula>
    </cfRule>
  </conditionalFormatting>
  <conditionalFormatting sqref="B156:C156">
    <cfRule type="expression" dxfId="54" priority="105" stopIfTrue="1">
      <formula>$B156="Rec. Materiais"</formula>
    </cfRule>
  </conditionalFormatting>
  <conditionalFormatting sqref="E156">
    <cfRule type="expression" dxfId="53" priority="103" stopIfTrue="1">
      <formula>$J119=$C$2</formula>
    </cfRule>
    <cfRule type="expression" dxfId="52" priority="104" stopIfTrue="1">
      <formula>AND($J119&lt;&gt;"",$J119&lt;&gt;$G$2)</formula>
    </cfRule>
  </conditionalFormatting>
  <conditionalFormatting sqref="B81:C81">
    <cfRule type="expression" dxfId="51" priority="7" stopIfTrue="1">
      <formula>$B81="Rec. Materiais"</formula>
    </cfRule>
  </conditionalFormatting>
  <conditionalFormatting sqref="B170:C170">
    <cfRule type="expression" dxfId="50" priority="5" stopIfTrue="1">
      <formula>$B170="Rec. Materiais"</formula>
    </cfRule>
  </conditionalFormatting>
  <conditionalFormatting sqref="B82:C82">
    <cfRule type="expression" dxfId="49" priority="3" stopIfTrue="1">
      <formula>$B82="Rec. Materiais"</formula>
    </cfRule>
  </conditionalFormatting>
  <conditionalFormatting sqref="B83:C83">
    <cfRule type="expression" dxfId="48" priority="1" stopIfTrue="1">
      <formula>$B83="Rec. Materiais"</formula>
    </cfRule>
  </conditionalFormatting>
  <dataValidations count="3">
    <dataValidation allowBlank="1" showInputMessage="1" showErrorMessage="1" promptTitle="FONTE" prompt="Informar fonte de consulta de  valor do insumo._x000a_Exemplo: SINAPI, FIPE, cotação." sqref="D4"/>
    <dataValidation allowBlank="1" showInputMessage="1" showErrorMessage="1" promptTitle="Unidade" prompt="Informar unidade de medida do insumo descrito._x000a_Exemplos: peça, unidade, mês, hora, diária, caixa e etc. " sqref="F4"/>
    <dataValidation type="decimal" operator="greaterThanOrEqual" allowBlank="1" showInputMessage="1" showErrorMessage="1" sqref="G5:G170">
      <formula1>0</formula1>
    </dataValidation>
  </dataValidations>
  <pageMargins left="0.511811024" right="0.511811024" top="0.78740157499999996" bottom="0.78740157499999996" header="0.31496062000000002" footer="0.31496062000000002"/>
  <pageSetup paperSize="9" scale="71" fitToHeight="0" orientation="portrait" horizontalDpi="300" verticalDpi="300" r:id="rId1"/>
  <headerFooter>
    <oddFooter>&amp;LXX.XXX v001  micro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Plan1">
    <pageSetUpPr fitToPage="1"/>
  </sheetPr>
  <dimension ref="A1:AB2860"/>
  <sheetViews>
    <sheetView showGridLines="0" tabSelected="1" topLeftCell="O1" zoomScaleNormal="100" zoomScaleSheetLayoutView="100" workbookViewId="0">
      <pane ySplit="11" topLeftCell="A1455" activePane="bottomLeft" state="frozen"/>
      <selection activeCell="F26" sqref="F26"/>
      <selection pane="bottomLeft" activeCell="K1490" sqref="K1490"/>
    </sheetView>
  </sheetViews>
  <sheetFormatPr defaultRowHeight="12.75"/>
  <cols>
    <col min="1" max="2" width="6.7109375" hidden="1" customWidth="1"/>
    <col min="3" max="7" width="5.7109375" hidden="1" customWidth="1"/>
    <col min="8" max="9" width="6.7109375" hidden="1" customWidth="1"/>
    <col min="10" max="10" width="10.42578125" customWidth="1"/>
    <col min="11" max="11" width="12.7109375" customWidth="1"/>
    <col min="12" max="13" width="15.7109375" customWidth="1"/>
    <col min="14" max="14" width="11.7109375" customWidth="1"/>
    <col min="15" max="15" width="80.7109375" customWidth="1"/>
    <col min="16" max="16" width="10.7109375" style="72" customWidth="1"/>
    <col min="17" max="18" width="15.7109375" customWidth="1"/>
    <col min="19" max="19" width="10.7109375" customWidth="1"/>
    <col min="20" max="21" width="15.7109375" customWidth="1"/>
    <col min="22" max="22" width="15.7109375" hidden="1" customWidth="1"/>
    <col min="23" max="23" width="9.140625" hidden="1" customWidth="1"/>
    <col min="24" max="24" width="17.85546875" hidden="1" customWidth="1"/>
    <col min="25" max="25" width="20.7109375" hidden="1" customWidth="1"/>
    <col min="26" max="26" width="15.7109375" hidden="1" customWidth="1"/>
  </cols>
  <sheetData>
    <row r="1" spans="1:28" ht="12.95" customHeight="1">
      <c r="A1" s="36"/>
      <c r="B1" s="36"/>
      <c r="D1" s="52"/>
      <c r="E1" s="53"/>
      <c r="F1" s="36"/>
      <c r="G1" s="36"/>
      <c r="H1" s="36"/>
      <c r="I1" s="36"/>
      <c r="J1" s="37"/>
      <c r="K1" s="36"/>
      <c r="L1" s="36"/>
      <c r="M1" s="36"/>
      <c r="N1" s="36"/>
      <c r="O1" s="45" t="s">
        <v>51</v>
      </c>
      <c r="P1" s="127"/>
      <c r="Q1" s="38"/>
      <c r="R1" s="36"/>
      <c r="S1" s="36"/>
      <c r="T1" s="36"/>
      <c r="U1" s="34" t="s">
        <v>49</v>
      </c>
      <c r="W1" s="2"/>
      <c r="X1" s="2"/>
      <c r="Y1" s="2"/>
      <c r="AA1" s="2"/>
      <c r="AB1" s="2"/>
    </row>
    <row r="2" spans="1:28" ht="12.75" customHeight="1">
      <c r="A2" s="2"/>
      <c r="B2" s="10" t="s">
        <v>46</v>
      </c>
      <c r="C2" s="10" t="s">
        <v>67</v>
      </c>
      <c r="D2" s="10" t="s">
        <v>68</v>
      </c>
      <c r="E2" s="10" t="s">
        <v>69</v>
      </c>
      <c r="F2" s="10" t="s">
        <v>70</v>
      </c>
      <c r="G2" s="10" t="s">
        <v>29</v>
      </c>
      <c r="H2" s="2"/>
      <c r="I2" s="2"/>
      <c r="J2" s="2"/>
      <c r="K2" s="2"/>
      <c r="L2" s="2"/>
      <c r="M2" s="2"/>
      <c r="N2" s="2"/>
      <c r="O2" s="46" t="s">
        <v>124</v>
      </c>
      <c r="P2" s="6"/>
      <c r="Q2" s="2"/>
      <c r="R2" s="2"/>
      <c r="S2" s="2"/>
      <c r="T2" s="2"/>
      <c r="U2" s="35" t="s">
        <v>50</v>
      </c>
      <c r="W2" s="2"/>
      <c r="X2" s="2"/>
      <c r="Y2" s="2"/>
      <c r="AA2" s="2"/>
      <c r="AB2" s="2"/>
    </row>
    <row r="3" spans="1:28" ht="12.75" customHeight="1">
      <c r="A3" s="2"/>
      <c r="B3" s="2"/>
      <c r="D3" s="52"/>
      <c r="F3" s="3"/>
      <c r="G3" s="2"/>
      <c r="H3" s="2"/>
      <c r="I3" s="2"/>
      <c r="J3" s="2"/>
      <c r="K3" s="2"/>
      <c r="L3" s="2"/>
      <c r="M3" s="2"/>
      <c r="N3" s="2"/>
      <c r="O3" s="54"/>
      <c r="P3" s="6"/>
      <c r="Q3" s="2"/>
      <c r="R3" s="2"/>
      <c r="S3" s="2"/>
      <c r="T3" s="2"/>
      <c r="U3" s="2"/>
      <c r="W3" s="2"/>
      <c r="X3" s="2"/>
      <c r="Y3" s="2"/>
      <c r="AA3" s="2"/>
      <c r="AB3" s="2"/>
    </row>
    <row r="4" spans="1:28" ht="24.95" customHeight="1">
      <c r="A4" s="2" t="s">
        <v>24</v>
      </c>
      <c r="B4" s="2"/>
      <c r="D4" s="52"/>
      <c r="F4" s="3"/>
      <c r="G4" s="2"/>
      <c r="H4" s="2"/>
      <c r="I4" s="2"/>
      <c r="J4" s="2"/>
      <c r="K4" s="2"/>
      <c r="L4" s="2"/>
      <c r="M4" s="2"/>
      <c r="N4" s="2"/>
      <c r="O4" s="2"/>
      <c r="P4" s="6"/>
      <c r="Q4" s="2"/>
      <c r="R4" s="2"/>
      <c r="S4" s="2"/>
      <c r="T4" s="2"/>
      <c r="U4" s="2"/>
      <c r="X4" s="2"/>
      <c r="Y4" s="2"/>
      <c r="AA4" s="2"/>
      <c r="AB4" s="2"/>
    </row>
    <row r="5" spans="1:28" ht="24.95" customHeight="1">
      <c r="A5" s="6">
        <f>MAX($A$11:$A$1504)</f>
        <v>2</v>
      </c>
      <c r="B5" s="2"/>
      <c r="D5" s="52"/>
      <c r="F5" s="3"/>
      <c r="G5" s="2"/>
      <c r="H5" s="2"/>
      <c r="I5" s="2"/>
      <c r="J5" s="2"/>
      <c r="K5" s="2"/>
      <c r="L5" s="2"/>
      <c r="M5" s="2"/>
      <c r="N5" s="2"/>
      <c r="O5" s="2"/>
      <c r="P5" s="6"/>
      <c r="Q5" s="2"/>
      <c r="R5" s="2"/>
      <c r="S5" s="2"/>
      <c r="T5" s="2"/>
      <c r="U5" s="2"/>
      <c r="X5" s="2"/>
      <c r="Y5" s="2"/>
      <c r="AA5" s="2"/>
      <c r="AB5" s="2"/>
    </row>
    <row r="6" spans="1:28" ht="24.95" customHeight="1">
      <c r="A6" s="2"/>
      <c r="B6" s="2"/>
      <c r="D6" s="52"/>
      <c r="F6" s="3"/>
      <c r="G6" s="2"/>
      <c r="H6" s="2"/>
      <c r="I6" s="2"/>
      <c r="J6" s="2"/>
      <c r="K6" s="39"/>
      <c r="L6" s="2"/>
      <c r="M6" s="2"/>
      <c r="N6" s="2"/>
      <c r="O6" s="2"/>
      <c r="P6" s="6"/>
      <c r="Q6" s="2"/>
      <c r="R6" s="2"/>
      <c r="S6" s="2"/>
      <c r="T6" s="2"/>
      <c r="U6" s="2"/>
      <c r="W6" s="2"/>
      <c r="X6" s="2"/>
      <c r="Y6" s="2"/>
      <c r="AA6" s="2"/>
      <c r="AB6" s="2"/>
    </row>
    <row r="7" spans="1:28" ht="24.95" customHeight="1">
      <c r="A7" s="2"/>
      <c r="B7" s="2"/>
      <c r="C7" s="10"/>
      <c r="D7" s="52"/>
      <c r="E7" s="3"/>
      <c r="F7" s="3"/>
      <c r="G7" s="2"/>
      <c r="H7" s="2"/>
      <c r="I7" s="2"/>
      <c r="J7" s="2"/>
      <c r="K7" s="39"/>
      <c r="L7" s="2"/>
      <c r="M7" s="2"/>
      <c r="N7" s="2"/>
      <c r="O7" s="2"/>
      <c r="P7" s="6"/>
      <c r="Q7" s="2"/>
      <c r="R7" s="2"/>
      <c r="S7" s="2"/>
      <c r="T7" s="2"/>
      <c r="U7" s="2"/>
      <c r="W7" s="2"/>
      <c r="X7" s="2"/>
      <c r="Y7" s="2"/>
      <c r="AA7" s="2"/>
      <c r="AB7" s="2"/>
    </row>
    <row r="8" spans="1:28" ht="9.9499999999999993" customHeight="1">
      <c r="A8" s="2"/>
      <c r="B8" s="2"/>
      <c r="C8" s="10"/>
      <c r="D8" s="10"/>
      <c r="E8" s="3"/>
      <c r="F8" s="3"/>
      <c r="G8" s="2"/>
      <c r="H8" s="2"/>
      <c r="I8" s="2"/>
      <c r="J8" s="2"/>
      <c r="K8" s="2"/>
      <c r="L8" s="2"/>
      <c r="M8" s="2"/>
      <c r="N8" s="2"/>
      <c r="O8" s="2"/>
      <c r="P8" s="6"/>
      <c r="Q8" s="2"/>
      <c r="R8" s="2"/>
      <c r="S8" s="2"/>
      <c r="T8" s="2"/>
      <c r="U8" s="2"/>
      <c r="W8" s="2"/>
      <c r="X8" s="2"/>
      <c r="Y8" s="2"/>
      <c r="AA8" s="2"/>
      <c r="AB8" s="2"/>
    </row>
    <row r="9" spans="1:28" ht="30" customHeight="1">
      <c r="A9" s="31" t="s">
        <v>1</v>
      </c>
      <c r="B9" s="31" t="s">
        <v>21</v>
      </c>
      <c r="C9" s="31" t="s">
        <v>41</v>
      </c>
      <c r="D9" s="31" t="s">
        <v>42</v>
      </c>
      <c r="E9" s="31" t="s">
        <v>43</v>
      </c>
      <c r="F9" s="31" t="s">
        <v>44</v>
      </c>
      <c r="G9" s="31" t="s">
        <v>45</v>
      </c>
      <c r="H9" s="31" t="s">
        <v>22</v>
      </c>
      <c r="I9" s="31" t="s">
        <v>23</v>
      </c>
      <c r="J9" s="31" t="s">
        <v>1</v>
      </c>
      <c r="K9" s="31" t="s">
        <v>37</v>
      </c>
      <c r="L9" s="31" t="s">
        <v>36</v>
      </c>
      <c r="M9" s="31" t="s">
        <v>47</v>
      </c>
      <c r="N9" s="31" t="s">
        <v>2</v>
      </c>
      <c r="O9" s="31" t="s">
        <v>32</v>
      </c>
      <c r="P9" s="32" t="s">
        <v>39</v>
      </c>
      <c r="Q9" s="31" t="s">
        <v>38</v>
      </c>
      <c r="R9" s="31" t="s">
        <v>90</v>
      </c>
      <c r="S9" s="31" t="s">
        <v>82</v>
      </c>
      <c r="T9" s="31" t="s">
        <v>40</v>
      </c>
      <c r="U9" s="31" t="s">
        <v>3</v>
      </c>
      <c r="W9" s="51" t="s">
        <v>48</v>
      </c>
      <c r="X9" s="51" t="s">
        <v>20</v>
      </c>
      <c r="Y9" s="51" t="s">
        <v>28</v>
      </c>
      <c r="AA9" s="57" t="s">
        <v>87</v>
      </c>
      <c r="AB9" s="2"/>
    </row>
    <row r="10" spans="1:28" hidden="1">
      <c r="A10" t="str">
        <f>CHOOSE(1+LOG(1+2*(J10=$C$2)+4*(J10=$D$2)+8*(J10=$E$2)+16*(J10=$F$2)+32*(J10=$G$2),2),0,1,2,3,4,"S")</f>
        <v>S</v>
      </c>
      <c r="B10">
        <f>IF(OR(A10="S",A10=0),0,IF(ISERROR(I10),H10,SMALL(H10:I10,1)))</f>
        <v>0</v>
      </c>
      <c r="C10" t="str">
        <f ca="1">IF($A10=1,OFFSET(C10,-1,0)+1,OFFSET(C10,-1,0))</f>
        <v>n1</v>
      </c>
      <c r="D10" t="str">
        <f ca="1">IF($A10=1,0,IF($A10=2,OFFSET(D10,-1,0)+1,OFFSET(D10,-1,0)))</f>
        <v>n2</v>
      </c>
      <c r="E10" t="str">
        <f ca="1">IF(AND($A10&lt;=2,$A10&lt;&gt;0),0,IF($A10=3,OFFSET(E10,-1,0)+1,OFFSET(E10,-1,0)))</f>
        <v>n3</v>
      </c>
      <c r="F10" t="str">
        <f ca="1">IF(AND($A10&lt;=3,$A10&lt;&gt;0),0,IF($A10=4,OFFSET(F10,-1,0)+1,OFFSET(F10,-1,0)))</f>
        <v>n4</v>
      </c>
      <c r="G10" t="e">
        <f ca="1">IF(AND($A10&lt;=4,$A10&lt;&gt;0),0,IF($A10="S",OFFSET(G10,-1,0)+1,OFFSET(G10,-1,0)))</f>
        <v>#VALUE!</v>
      </c>
      <c r="H10">
        <f ca="1">IF(OR($A10="S",$A10=0),0,MATCH(0,OFFSET($B10,1,$A10,ROW($A$1504)-ROW($A10)),0))</f>
        <v>0</v>
      </c>
      <c r="I10">
        <f ca="1">IF(OR($A10="S",$A10=0),0,MATCH(OFFSET($B10,0,$A10)+1,OFFSET($B10,1,$A10,ROW($A$1504)-ROW($A10)),0))</f>
        <v>0</v>
      </c>
      <c r="J10" s="132" t="s">
        <v>29</v>
      </c>
      <c r="K10" s="121" t="e">
        <f ca="1">IF($A10=0,"-",CONCATENATE(C10&amp;".",IF(AND($A$5&gt;=2,$A10&gt;=2),D10&amp;".",""),IF(AND($A$5&gt;=3,$A10&gt;=3),E10&amp;".",""),IF(AND($A$5&gt;=4,$A10&gt;=4),F10&amp;".",""),IF($A10="S",G10&amp;".","")))</f>
        <v>#VALUE!</v>
      </c>
      <c r="L10" s="137" t="str">
        <f ca="1">IF(NOT(ISERROR($Y10)),IF($Y10&lt;&gt;FALSE,INDEX(Banco,$Y10,4),""),"")</f>
        <v/>
      </c>
      <c r="M10" s="122"/>
      <c r="N10" s="139"/>
      <c r="O10" s="137" t="str">
        <f ca="1">IF(NOT(ISERROR($Y10)),IF($Y10&lt;&gt;FALSE,INDEX(Banco,$Y10,5),""),"")</f>
        <v/>
      </c>
      <c r="P10" s="138" t="str">
        <f ca="1">IF(NOT(ISERROR($Y10)),IF($Y10&lt;&gt;FALSE,INDEX(Banco,$Y10,6),""),"")</f>
        <v/>
      </c>
      <c r="Q10" s="134"/>
      <c r="R10" s="124">
        <f ca="1">IF(NOT(ISERROR($Y10)),IF($Y10&lt;&gt;FALSE,INDEX(Banco,$Y10,7),0),0)</f>
        <v>0</v>
      </c>
      <c r="S10" s="136" t="s">
        <v>62</v>
      </c>
      <c r="T10" s="123">
        <f ca="1">IF($J10=$G$2,ROUND(ROUND($R10,2)*IF($R$9="Preço Unitário (R$)",1,1+$AA10),2),0)</f>
        <v>0</v>
      </c>
      <c r="U10" s="126">
        <f ca="1">IF($A10="S",VTOTAL1,IF($A10=0,0,ROUND(SomaAgrup,2)))</f>
        <v>0</v>
      </c>
      <c r="V10" s="1"/>
      <c r="W10" s="39" t="str">
        <f ca="1">IF(OR($A10=0,$A10="S",$A10&gt;CFF!$A$9),"",MAX(W$11:OFFSET(W10,-1,0))+1)</f>
        <v/>
      </c>
      <c r="X10" s="4" t="b">
        <f>IF(AND($J10=$G$2,$N10&lt;&gt;"",$M10&lt;&gt;""),CONCATENATE($M10,"-",$N10))</f>
        <v>0</v>
      </c>
      <c r="Y10" s="39" t="b">
        <f ca="1">IF(X10&lt;&gt;FALSE,MATCH(X10,OFFSET(Banco,0,0,,1),0))</f>
        <v>0</v>
      </c>
      <c r="Z10" s="1"/>
      <c r="AA10" s="133">
        <f>IF($J10=$G$2,ROUND(IF(ISNUMBER(S10),S10,IF(LEFT(S10,2)="DI",HLOOKUP(S10,DADOS!$T$29:$X$30,2,FALSE),0)),4),"")</f>
        <v>0.25</v>
      </c>
      <c r="AB10" s="2"/>
    </row>
    <row r="11" spans="1:28">
      <c r="A11">
        <v>0</v>
      </c>
      <c r="B11">
        <f ca="1">COUNTA(OFFSET(B11,1,0):B$1504)</f>
        <v>1492</v>
      </c>
      <c r="J11" s="33" t="s">
        <v>72</v>
      </c>
      <c r="K11" s="73">
        <v>0</v>
      </c>
      <c r="L11" s="7"/>
      <c r="M11" s="7"/>
      <c r="N11" s="7"/>
      <c r="O11" s="41" t="s">
        <v>72</v>
      </c>
      <c r="P11" s="7"/>
      <c r="Q11" s="8"/>
      <c r="R11" s="8"/>
      <c r="S11" s="9"/>
      <c r="T11" s="8"/>
      <c r="U11" s="44">
        <f ca="1">SUMIF(OFFSET($J11,1,0,ROW(U1504)-ROW(U11)-1),$G$2,OFFSET(U11,1,0,ROW(U1504)-ROW(U11)-1))</f>
        <v>997515.06999999948</v>
      </c>
      <c r="W11" s="2">
        <v>0</v>
      </c>
      <c r="X11" s="6"/>
      <c r="Y11" s="2"/>
      <c r="AA11" s="55"/>
      <c r="AB11" s="2"/>
    </row>
    <row r="12" spans="1:28">
      <c r="A12">
        <f t="shared" ref="A12:A42" si="0">CHOOSE(1+LOG(1+2*(J12=$C$2)+4*(J12=$D$2)+8*(J12=$E$2)+16*(J12=$F$2)+32*(J12=$G$2),2),0,1,2,3,4,"S")</f>
        <v>1</v>
      </c>
      <c r="B12">
        <f t="shared" ref="B12:B42" ca="1" si="1">IF(OR(A12="S",A12=0),0,IF(ISERROR(I12),H12,SMALL(H12:I12,1)))</f>
        <v>101</v>
      </c>
      <c r="C12">
        <f t="shared" ref="C12:C42" ca="1" si="2">IF($A12=1,OFFSET(C12,-1,0)+1,OFFSET(C12,-1,0))</f>
        <v>1</v>
      </c>
      <c r="D12">
        <f t="shared" ref="D12:D42" ca="1" si="3">IF($A12=1,0,IF($A12=2,OFFSET(D12,-1,0)+1,OFFSET(D12,-1,0)))</f>
        <v>0</v>
      </c>
      <c r="E12">
        <f t="shared" ref="E12:E42" ca="1" si="4">IF(AND($A12&lt;=2,$A12&lt;&gt;0),0,IF($A12=3,OFFSET(E12,-1,0)+1,OFFSET(E12,-1,0)))</f>
        <v>0</v>
      </c>
      <c r="F12">
        <f t="shared" ref="F12:F42" ca="1" si="5">IF(AND($A12&lt;=3,$A12&lt;&gt;0),0,IF($A12=4,OFFSET(F12,-1,0)+1,OFFSET(F12,-1,0)))</f>
        <v>0</v>
      </c>
      <c r="G12">
        <f t="shared" ref="G12:G42" ca="1" si="6">IF(AND($A12&lt;=4,$A12&lt;&gt;0),0,IF($A12="S",OFFSET(G12,-1,0)+1,OFFSET(G12,-1,0)))</f>
        <v>0</v>
      </c>
      <c r="H12">
        <f ca="1">IF(OR($A12="S",$A12=0),0,MATCH(0,OFFSET($B12,1,$A12,ROW($A$1504)-ROW($A12)),0))</f>
        <v>1492</v>
      </c>
      <c r="I12">
        <f ca="1">IF(OR($A12="S",$A12=0),0,MATCH(OFFSET($B12,0,$A12)+1,OFFSET($B12,1,$A12,ROW($A$1504)-ROW($A12)),0))</f>
        <v>101</v>
      </c>
      <c r="J12" s="132" t="s">
        <v>67</v>
      </c>
      <c r="K12" s="121" t="str">
        <f t="shared" ref="K12:K42" ca="1" si="7">IF($A12=0,"-",CONCATENATE(C12&amp;".",IF(AND($A$5&gt;=2,$A12&gt;=2),D12&amp;".",""),IF(AND($A$5&gt;=3,$A12&gt;=3),E12&amp;".",""),IF(AND($A$5&gt;=4,$A12&gt;=4),F12&amp;".",""),IF($A12="S",G12&amp;".","")))</f>
        <v>1.</v>
      </c>
      <c r="L12" s="122" t="str">
        <f t="shared" ref="L12:L42" ca="1" si="8">IF(NOT(ISERROR($Y12)),IF($Y12&lt;&gt;FALSE,INDEX(Banco,$Y12,4),""),"")</f>
        <v/>
      </c>
      <c r="M12" s="122"/>
      <c r="N12" s="139"/>
      <c r="O12" s="135" t="s">
        <v>262</v>
      </c>
      <c r="P12" s="128" t="str">
        <f t="shared" ref="P12:P42" ca="1" si="9">IF(NOT(ISERROR($Y12)),IF($Y12&lt;&gt;FALSE,INDEX(Banco,$Y12,6),""),"")</f>
        <v/>
      </c>
      <c r="Q12" s="151"/>
      <c r="R12" s="124">
        <f t="shared" ref="R12:R42" ca="1" si="10">IF(NOT(ISERROR($Y12)),IF($Y12&lt;&gt;FALSE,INDEX(Banco,$Y12,7),0),0)</f>
        <v>0</v>
      </c>
      <c r="S12" s="125" t="s">
        <v>62</v>
      </c>
      <c r="T12" s="123">
        <f t="shared" ref="T12:T42" si="11">IF($J12=$G$2,ROUND(ROUND($R12,2)*IF($R$9="Preço Unitário (R$)",1,1+$AA12),2),0)</f>
        <v>0</v>
      </c>
      <c r="U12" s="126">
        <f t="shared" ref="U12:U42" ca="1" si="12">IF($A12="S",VTOTAL1,IF($A12=0,0,ROUND(SomaAgrup,2)))</f>
        <v>34841.49</v>
      </c>
      <c r="V12" s="1"/>
      <c r="W12" s="39">
        <f ca="1">IF(OR($A12=0,$A12="S",$A12&gt;CFF!$A$9),"",MAX(W$11:OFFSET(W12,-1,0))+1)</f>
        <v>1</v>
      </c>
      <c r="X12" s="4" t="b">
        <f t="shared" ref="X12:X42" si="13">IF(AND($J12=$G$2,$N12&lt;&gt;"",$M12&lt;&gt;""),CONCATENATE($M12,"-",$N12))</f>
        <v>0</v>
      </c>
      <c r="Y12" s="39" t="b">
        <f t="shared" ref="Y12:Y42" ca="1" si="14">IF(X12&lt;&gt;FALSE,MATCH(X12,OFFSET(Banco,0,0,,1),0))</f>
        <v>0</v>
      </c>
      <c r="Z12" s="1"/>
      <c r="AA12" s="133" t="str">
        <f>IF($J12=$G$2,ROUND(IF(ISNUMBER(S12),S12,IF(LEFT(S12,2)="DI",HLOOKUP(S12,DADOS!$T$29:$X$30,2,FALSE),0)),4),"")</f>
        <v/>
      </c>
      <c r="AB12" s="2"/>
    </row>
    <row r="13" spans="1:28" ht="25.5">
      <c r="A13">
        <f>CHOOSE(1+LOG(1+2*(J13=$C$2)+4*(J13=$D$2)+8*(J13=$E$2)+16*(J13=$F$2)+32*(J13=$G$2),2),0,1,2,3,4,"S")</f>
        <v>2</v>
      </c>
      <c r="B13">
        <f ca="1">IF(OR(A13="S",A13=0),0,IF(ISERROR(I13),H13,SMALL(H13:I13,1)))</f>
        <v>40</v>
      </c>
      <c r="C13">
        <f ca="1">IF($A13=1,OFFSET(C13,-1,0)+1,OFFSET(C13,-1,0))</f>
        <v>1</v>
      </c>
      <c r="D13">
        <f ca="1">IF($A13=1,0,IF($A13=2,OFFSET(D13,-1,0)+1,OFFSET(D13,-1,0)))</f>
        <v>1</v>
      </c>
      <c r="E13">
        <f ca="1">IF(AND($A13&lt;=2,$A13&lt;&gt;0),0,IF($A13=3,OFFSET(E13,-1,0)+1,OFFSET(E13,-1,0)))</f>
        <v>0</v>
      </c>
      <c r="F13">
        <f ca="1">IF(AND($A13&lt;=3,$A13&lt;&gt;0),0,IF($A13=4,OFFSET(F13,-1,0)+1,OFFSET(F13,-1,0)))</f>
        <v>0</v>
      </c>
      <c r="G13">
        <f ca="1">IF(AND($A13&lt;=4,$A13&lt;&gt;0),0,IF($A13="S",OFFSET(G13,-1,0)+1,OFFSET(G13,-1,0)))</f>
        <v>0</v>
      </c>
      <c r="H13">
        <f ca="1">IF(OR($A13="S",$A13=0),0,MATCH(0,OFFSET($B13,1,$A13,ROW($A$1504)-ROW($A13)),0))</f>
        <v>100</v>
      </c>
      <c r="I13">
        <f ca="1">IF(OR($A13="S",$A13=0),0,MATCH(OFFSET($B13,0,$A13)+1,OFFSET($B13,1,$A13,ROW($A$1504)-ROW($A13)),0))</f>
        <v>40</v>
      </c>
      <c r="J13" s="132" t="s">
        <v>68</v>
      </c>
      <c r="K13" s="121" t="str">
        <f ca="1">IF($A13=0,"-",CONCATENATE(C13&amp;".",IF(AND($A$5&gt;=2,$A13&gt;=2),D13&amp;".",""),IF(AND($A$5&gt;=3,$A13&gt;=3),E13&amp;".",""),IF(AND($A$5&gt;=4,$A13&gt;=4),F13&amp;".",""),IF($A13="S",G13&amp;".","")))</f>
        <v>1.1.</v>
      </c>
      <c r="L13" s="137" t="str">
        <f ca="1">IF(NOT(ISERROR($Y13)),IF($Y13&lt;&gt;FALSE,INDEX(Banco,$Y13,4),""),"")</f>
        <v/>
      </c>
      <c r="M13" s="122"/>
      <c r="N13" s="139"/>
      <c r="O13" s="137" t="s">
        <v>351</v>
      </c>
      <c r="P13" s="138" t="str">
        <f ca="1">IF(NOT(ISERROR($Y13)),IF($Y13&lt;&gt;FALSE,INDEX(Banco,$Y13,6),""),"")</f>
        <v/>
      </c>
      <c r="Q13" s="134"/>
      <c r="R13" s="124">
        <f ca="1">IF(NOT(ISERROR($Y13)),IF($Y13&lt;&gt;FALSE,INDEX(Banco,$Y13,7),0),0)</f>
        <v>0</v>
      </c>
      <c r="S13" s="136" t="s">
        <v>62</v>
      </c>
      <c r="T13" s="123">
        <f>IF($J13=$G$2,ROUND(ROUND($R13,2)*IF($R$9="Preço Unitário (R$)",1,1+$AA13),2),0)</f>
        <v>0</v>
      </c>
      <c r="U13" s="126">
        <f ca="1">IF($A13="S",VTOTAL1,IF($A13=0,0,ROUND(SomaAgrup,2)))</f>
        <v>16695.900000000001</v>
      </c>
      <c r="V13" s="1"/>
      <c r="W13" s="39">
        <f ca="1">IF(OR($A13=0,$A13="S",$A13&gt;CFF!$A$9),"",MAX(W$11:OFFSET(W13,-1,0))+1)</f>
        <v>2</v>
      </c>
      <c r="X13" s="4" t="b">
        <f>IF(AND($J13=$G$2,$N13&lt;&gt;"",$M13&lt;&gt;""),CONCATENATE($M13,"-",$N13))</f>
        <v>0</v>
      </c>
      <c r="Y13" s="39" t="b">
        <f ca="1">IF(X13&lt;&gt;FALSE,MATCH(X13,OFFSET(Banco,0,0,,1),0))</f>
        <v>0</v>
      </c>
      <c r="Z13" s="1"/>
      <c r="AA13" s="133" t="str">
        <f>IF($J13=$G$2,ROUND(IF(ISNUMBER(S13),S13,IF(LEFT(S13,2)="DI",HLOOKUP(S13,DADOS!$T$29:$X$30,2,FALSE),0)),4),"")</f>
        <v/>
      </c>
      <c r="AB13" s="2"/>
    </row>
    <row r="14" spans="1:28">
      <c r="A14" t="str">
        <f t="shared" si="0"/>
        <v>S</v>
      </c>
      <c r="B14">
        <f t="shared" si="1"/>
        <v>0</v>
      </c>
      <c r="C14">
        <f t="shared" ca="1" si="2"/>
        <v>1</v>
      </c>
      <c r="D14">
        <f t="shared" ca="1" si="3"/>
        <v>1</v>
      </c>
      <c r="E14">
        <f t="shared" ca="1" si="4"/>
        <v>0</v>
      </c>
      <c r="F14">
        <f t="shared" ca="1" si="5"/>
        <v>0</v>
      </c>
      <c r="G14">
        <f t="shared" ca="1" si="6"/>
        <v>1</v>
      </c>
      <c r="H14">
        <f ca="1">IF(OR($A14="S",$A14=0),0,MATCH(0,OFFSET($B14,1,$A14,ROW($A$1504)-ROW($A14)),0))</f>
        <v>0</v>
      </c>
      <c r="I14">
        <f ca="1">IF(OR($A14="S",$A14=0),0,MATCH(OFFSET($B14,0,$A14)+1,OFFSET($B14,1,$A14,ROW($A$1504)-ROW($A14)),0))</f>
        <v>0</v>
      </c>
      <c r="J14" s="132" t="s">
        <v>29</v>
      </c>
      <c r="K14" s="121" t="str">
        <f t="shared" ca="1" si="7"/>
        <v>1.1.1.</v>
      </c>
      <c r="L14" s="137" t="str">
        <f t="shared" ca="1" si="8"/>
        <v>CRESS</v>
      </c>
      <c r="M14" s="122" t="s">
        <v>78</v>
      </c>
      <c r="N14" s="139" t="s">
        <v>149</v>
      </c>
      <c r="O14" s="137" t="str">
        <f t="shared" ref="O14:O52" ca="1" si="15">IF(NOT(ISERROR($Y14)),IF($Y14&lt;&gt;FALSE,INDEX(Banco,$Y14,5),""),"")</f>
        <v>Responsável Técnica</v>
      </c>
      <c r="P14" s="138" t="str">
        <f t="shared" ca="1" si="9"/>
        <v>Horas</v>
      </c>
      <c r="Q14" s="134">
        <v>10</v>
      </c>
      <c r="R14" s="124">
        <f t="shared" ca="1" si="10"/>
        <v>150.28</v>
      </c>
      <c r="S14" s="136" t="s">
        <v>62</v>
      </c>
      <c r="T14" s="123">
        <f t="shared" ca="1" si="11"/>
        <v>187.85</v>
      </c>
      <c r="U14" s="126">
        <f t="shared" ca="1" si="12"/>
        <v>1878.5</v>
      </c>
      <c r="V14" s="1"/>
      <c r="W14" s="39" t="str">
        <f ca="1">IF(OR($A14=0,$A14="S",$A14&gt;CFF!$A$9),"",MAX(W$11:OFFSET(W14,-1,0))+1)</f>
        <v/>
      </c>
      <c r="X14" s="4" t="str">
        <f t="shared" si="13"/>
        <v>Rec. Humanos-001</v>
      </c>
      <c r="Y14" s="39">
        <f t="shared" ca="1" si="14"/>
        <v>3</v>
      </c>
      <c r="Z14" s="1"/>
      <c r="AA14" s="133">
        <f>IF($J14=$G$2,ROUND(IF(ISNUMBER(S14),S14,IF(LEFT(S14,2)="DI",HLOOKUP(S14,DADOS!$T$29:$X$30,2,FALSE),0)),4),"")</f>
        <v>0.25</v>
      </c>
      <c r="AB14" s="2"/>
    </row>
    <row r="15" spans="1:28">
      <c r="A15" t="str">
        <f t="shared" si="0"/>
        <v>S</v>
      </c>
      <c r="B15">
        <f t="shared" si="1"/>
        <v>0</v>
      </c>
      <c r="C15">
        <f t="shared" ca="1" si="2"/>
        <v>1</v>
      </c>
      <c r="D15">
        <f t="shared" ca="1" si="3"/>
        <v>1</v>
      </c>
      <c r="E15">
        <f t="shared" ca="1" si="4"/>
        <v>0</v>
      </c>
      <c r="F15">
        <f t="shared" ca="1" si="5"/>
        <v>0</v>
      </c>
      <c r="G15">
        <f t="shared" ca="1" si="6"/>
        <v>2</v>
      </c>
      <c r="H15">
        <f ca="1">IF(OR($A15="S",$A15=0),0,MATCH(0,OFFSET($B15,1,$A15,ROW($A$1504)-ROW($A15)),0))</f>
        <v>0</v>
      </c>
      <c r="I15">
        <f ca="1">IF(OR($A15="S",$A15=0),0,MATCH(OFFSET($B15,0,$A15)+1,OFFSET($B15,1,$A15,ROW($A$1504)-ROW($A15)),0))</f>
        <v>0</v>
      </c>
      <c r="J15" s="132" t="s">
        <v>29</v>
      </c>
      <c r="K15" s="121" t="str">
        <f t="shared" ca="1" si="7"/>
        <v>1.1.2.</v>
      </c>
      <c r="L15" s="137" t="str">
        <f t="shared" ca="1" si="8"/>
        <v>CRESS</v>
      </c>
      <c r="M15" s="122" t="s">
        <v>78</v>
      </c>
      <c r="N15" s="139" t="s">
        <v>152</v>
      </c>
      <c r="O15" s="137" t="str">
        <f t="shared" ca="1" si="15"/>
        <v>Assistente Social</v>
      </c>
      <c r="P15" s="138" t="str">
        <f t="shared" ca="1" si="9"/>
        <v>Horas</v>
      </c>
      <c r="Q15" s="134">
        <v>8</v>
      </c>
      <c r="R15" s="124">
        <f t="shared" ca="1" si="10"/>
        <v>133.81</v>
      </c>
      <c r="S15" s="136" t="s">
        <v>62</v>
      </c>
      <c r="T15" s="123">
        <f t="shared" ca="1" si="11"/>
        <v>167.26</v>
      </c>
      <c r="U15" s="126">
        <f t="shared" ca="1" si="12"/>
        <v>1338.08</v>
      </c>
      <c r="V15" s="1"/>
      <c r="W15" s="39" t="str">
        <f ca="1">IF(OR($A15=0,$A15="S",$A15&gt;CFF!$A$9),"",MAX(W$11:OFFSET(W15,-1,0))+1)</f>
        <v/>
      </c>
      <c r="X15" s="4" t="str">
        <f t="shared" si="13"/>
        <v>Rec. Humanos-002</v>
      </c>
      <c r="Y15" s="39">
        <f t="shared" ca="1" si="14"/>
        <v>4</v>
      </c>
      <c r="Z15" s="1"/>
      <c r="AA15" s="133">
        <f>IF($J15=$G$2,ROUND(IF(ISNUMBER(S15),S15,IF(LEFT(S15,2)="DI",HLOOKUP(S15,DADOS!$T$29:$X$30,2,FALSE),0)),4),"")</f>
        <v>0.25</v>
      </c>
      <c r="AB15" s="2"/>
    </row>
    <row r="16" spans="1:28">
      <c r="A16" t="str">
        <f t="shared" si="0"/>
        <v>S</v>
      </c>
      <c r="B16">
        <f t="shared" si="1"/>
        <v>0</v>
      </c>
      <c r="C16">
        <f t="shared" ca="1" si="2"/>
        <v>1</v>
      </c>
      <c r="D16">
        <f t="shared" ca="1" si="3"/>
        <v>1</v>
      </c>
      <c r="E16">
        <f t="shared" ca="1" si="4"/>
        <v>0</v>
      </c>
      <c r="F16">
        <f t="shared" ca="1" si="5"/>
        <v>0</v>
      </c>
      <c r="G16">
        <f t="shared" ca="1" si="6"/>
        <v>3</v>
      </c>
      <c r="H16">
        <f ca="1">IF(OR($A16="S",$A16=0),0,MATCH(0,OFFSET($B16,1,$A16,ROW($A$1504)-ROW($A16)),0))</f>
        <v>0</v>
      </c>
      <c r="I16">
        <f ca="1">IF(OR($A16="S",$A16=0),0,MATCH(OFFSET($B16,0,$A16)+1,OFFSET($B16,1,$A16,ROW($A$1504)-ROW($A16)),0))</f>
        <v>0</v>
      </c>
      <c r="J16" s="132" t="s">
        <v>29</v>
      </c>
      <c r="K16" s="121" t="str">
        <f t="shared" ca="1" si="7"/>
        <v>1.1.3.</v>
      </c>
      <c r="L16" s="137" t="str">
        <f t="shared" ca="1" si="8"/>
        <v>Cotação</v>
      </c>
      <c r="M16" s="122" t="s">
        <v>78</v>
      </c>
      <c r="N16" s="139" t="s">
        <v>151</v>
      </c>
      <c r="O16" s="137" t="str">
        <f t="shared" ca="1" si="15"/>
        <v xml:space="preserve">Administrador (Técnico de Apoio) </v>
      </c>
      <c r="P16" s="138" t="str">
        <f t="shared" ca="1" si="9"/>
        <v>Horas</v>
      </c>
      <c r="Q16" s="134">
        <v>4</v>
      </c>
      <c r="R16" s="124">
        <f t="shared" ca="1" si="10"/>
        <v>103.65</v>
      </c>
      <c r="S16" s="136" t="s">
        <v>62</v>
      </c>
      <c r="T16" s="123">
        <f t="shared" ca="1" si="11"/>
        <v>129.56</v>
      </c>
      <c r="U16" s="126">
        <f t="shared" ca="1" si="12"/>
        <v>518.24</v>
      </c>
      <c r="V16" s="1"/>
      <c r="W16" s="39" t="str">
        <f ca="1">IF(OR($A16=0,$A16="S",$A16&gt;CFF!$A$9),"",MAX(W$11:OFFSET(W16,-1,0))+1)</f>
        <v/>
      </c>
      <c r="X16" s="4" t="str">
        <f t="shared" si="13"/>
        <v>Rec. Humanos-003</v>
      </c>
      <c r="Y16" s="39">
        <f t="shared" ca="1" si="14"/>
        <v>5</v>
      </c>
      <c r="Z16" s="1"/>
      <c r="AA16" s="133">
        <f>IF($J16=$G$2,ROUND(IF(ISNUMBER(S16),S16,IF(LEFT(S16,2)="DI",HLOOKUP(S16,DADOS!$T$29:$X$30,2,FALSE),0)),4),"")</f>
        <v>0.25</v>
      </c>
      <c r="AB16" s="2"/>
    </row>
    <row r="17" spans="1:28">
      <c r="A17" t="str">
        <f t="shared" si="0"/>
        <v>S</v>
      </c>
      <c r="B17">
        <f t="shared" si="1"/>
        <v>0</v>
      </c>
      <c r="C17">
        <f t="shared" ca="1" si="2"/>
        <v>1</v>
      </c>
      <c r="D17">
        <f t="shared" ca="1" si="3"/>
        <v>1</v>
      </c>
      <c r="E17">
        <f t="shared" ca="1" si="4"/>
        <v>0</v>
      </c>
      <c r="F17">
        <f t="shared" ca="1" si="5"/>
        <v>0</v>
      </c>
      <c r="G17">
        <f t="shared" ca="1" si="6"/>
        <v>4</v>
      </c>
      <c r="H17">
        <f ca="1">IF(OR($A17="S",$A17=0),0,MATCH(0,OFFSET($B17,1,$A17,ROW($A$1504)-ROW($A17)),0))</f>
        <v>0</v>
      </c>
      <c r="I17">
        <f ca="1">IF(OR($A17="S",$A17=0),0,MATCH(OFFSET($B17,0,$A17)+1,OFFSET($B17,1,$A17,ROW($A$1504)-ROW($A17)),0))</f>
        <v>0</v>
      </c>
      <c r="J17" s="132" t="s">
        <v>29</v>
      </c>
      <c r="K17" s="121" t="str">
        <f t="shared" ca="1" si="7"/>
        <v>1.1.4.</v>
      </c>
      <c r="L17" s="137" t="str">
        <f t="shared" ca="1" si="8"/>
        <v>SINE</v>
      </c>
      <c r="M17" s="122" t="s">
        <v>78</v>
      </c>
      <c r="N17" s="139" t="s">
        <v>153</v>
      </c>
      <c r="O17" s="137" t="str">
        <f t="shared" ca="1" si="15"/>
        <v>Estagiários</v>
      </c>
      <c r="P17" s="138" t="str">
        <f t="shared" ca="1" si="9"/>
        <v>Horas</v>
      </c>
      <c r="Q17" s="134">
        <v>22</v>
      </c>
      <c r="R17" s="124">
        <f t="shared" ca="1" si="10"/>
        <v>9.7899999999999991</v>
      </c>
      <c r="S17" s="136" t="s">
        <v>62</v>
      </c>
      <c r="T17" s="123">
        <f t="shared" ca="1" si="11"/>
        <v>12.24</v>
      </c>
      <c r="U17" s="126">
        <f t="shared" ca="1" si="12"/>
        <v>269.27999999999997</v>
      </c>
      <c r="V17" s="1"/>
      <c r="W17" s="39" t="str">
        <f ca="1">IF(OR($A17=0,$A17="S",$A17&gt;CFF!$A$9),"",MAX(W$11:OFFSET(W17,-1,0))+1)</f>
        <v/>
      </c>
      <c r="X17" s="4" t="str">
        <f t="shared" si="13"/>
        <v>Rec. Humanos-004</v>
      </c>
      <c r="Y17" s="39">
        <f t="shared" ca="1" si="14"/>
        <v>6</v>
      </c>
      <c r="Z17" s="1"/>
      <c r="AA17" s="133">
        <f>IF($J17=$G$2,ROUND(IF(ISNUMBER(S17),S17,IF(LEFT(S17,2)="DI",HLOOKUP(S17,DADOS!$T$29:$X$30,2,FALSE),0)),4),"")</f>
        <v>0.25</v>
      </c>
      <c r="AB17" s="2"/>
    </row>
    <row r="18" spans="1:28">
      <c r="A18" t="str">
        <f t="shared" si="0"/>
        <v>S</v>
      </c>
      <c r="B18">
        <f t="shared" si="1"/>
        <v>0</v>
      </c>
      <c r="C18">
        <f t="shared" ca="1" si="2"/>
        <v>1</v>
      </c>
      <c r="D18">
        <f t="shared" ca="1" si="3"/>
        <v>1</v>
      </c>
      <c r="E18">
        <f t="shared" ca="1" si="4"/>
        <v>0</v>
      </c>
      <c r="F18">
        <f t="shared" ca="1" si="5"/>
        <v>0</v>
      </c>
      <c r="G18">
        <f t="shared" ca="1" si="6"/>
        <v>5</v>
      </c>
      <c r="H18">
        <f ca="1">IF(OR($A18="S",$A18=0),0,MATCH(0,OFFSET($B18,1,$A18,ROW($A$1504)-ROW($A18)),0))</f>
        <v>0</v>
      </c>
      <c r="I18">
        <f ca="1">IF(OR($A18="S",$A18=0),0,MATCH(OFFSET($B18,0,$A18)+1,OFFSET($B18,1,$A18,ROW($A$1504)-ROW($A18)),0))</f>
        <v>0</v>
      </c>
      <c r="J18" s="132" t="s">
        <v>29</v>
      </c>
      <c r="K18" s="121" t="str">
        <f t="shared" ca="1" si="7"/>
        <v>1.1.5.</v>
      </c>
      <c r="L18" s="137" t="str">
        <f t="shared" ca="1" si="8"/>
        <v>Cotação</v>
      </c>
      <c r="M18" s="122" t="s">
        <v>80</v>
      </c>
      <c r="N18" s="139" t="s">
        <v>149</v>
      </c>
      <c r="O18" s="137" t="str">
        <f t="shared" ca="1" si="15"/>
        <v>Fotocópias</v>
      </c>
      <c r="P18" s="138" t="str">
        <f t="shared" ca="1" si="9"/>
        <v>Unidade</v>
      </c>
      <c r="Q18" s="134">
        <v>210</v>
      </c>
      <c r="R18" s="124">
        <f t="shared" ca="1" si="10"/>
        <v>0.3</v>
      </c>
      <c r="S18" s="136" t="s">
        <v>62</v>
      </c>
      <c r="T18" s="123">
        <f t="shared" ca="1" si="11"/>
        <v>0.38</v>
      </c>
      <c r="U18" s="126">
        <f t="shared" ca="1" si="12"/>
        <v>79.8</v>
      </c>
      <c r="V18" s="1"/>
      <c r="W18" s="39" t="str">
        <f ca="1">IF(OR($A18=0,$A18="S",$A18&gt;CFF!$A$9),"",MAX(W$11:OFFSET(W18,-1,0))+1)</f>
        <v/>
      </c>
      <c r="X18" s="4" t="str">
        <f t="shared" si="13"/>
        <v>Serv. Terc.-001</v>
      </c>
      <c r="Y18" s="39">
        <f t="shared" ca="1" si="14"/>
        <v>81</v>
      </c>
      <c r="Z18" s="1"/>
      <c r="AA18" s="133">
        <f>IF($J18=$G$2,ROUND(IF(ISNUMBER(S18),S18,IF(LEFT(S18,2)="DI",HLOOKUP(S18,DADOS!$T$29:$X$30,2,FALSE),0)),4),"")</f>
        <v>0.25</v>
      </c>
      <c r="AB18" s="2"/>
    </row>
    <row r="19" spans="1:28">
      <c r="A19" t="str">
        <f>CHOOSE(1+LOG(1+2*(J19=$C$2)+4*(J19=$D$2)+8*(J19=$E$2)+16*(J19=$F$2)+32*(J19=$G$2),2),0,1,2,3,4,"S")</f>
        <v>S</v>
      </c>
      <c r="B19">
        <f>IF(OR(A19="S",A19=0),0,IF(ISERROR(I19),H19,SMALL(H19:I19,1)))</f>
        <v>0</v>
      </c>
      <c r="C19">
        <f ca="1">IF($A19=1,OFFSET(C19,-1,0)+1,OFFSET(C19,-1,0))</f>
        <v>1</v>
      </c>
      <c r="D19">
        <f ca="1">IF($A19=1,0,IF($A19=2,OFFSET(D19,-1,0)+1,OFFSET(D19,-1,0)))</f>
        <v>1</v>
      </c>
      <c r="E19">
        <f ca="1">IF(AND($A19&lt;=2,$A19&lt;&gt;0),0,IF($A19=3,OFFSET(E19,-1,0)+1,OFFSET(E19,-1,0)))</f>
        <v>0</v>
      </c>
      <c r="F19">
        <f ca="1">IF(AND($A19&lt;=3,$A19&lt;&gt;0),0,IF($A19=4,OFFSET(F19,-1,0)+1,OFFSET(F19,-1,0)))</f>
        <v>0</v>
      </c>
      <c r="G19">
        <f ca="1">IF(AND($A19&lt;=4,$A19&lt;&gt;0),0,IF($A19="S",OFFSET(G19,-1,0)+1,OFFSET(G19,-1,0)))</f>
        <v>6</v>
      </c>
      <c r="H19">
        <f ca="1">IF(OR($A19="S",$A19=0),0,MATCH(0,OFFSET($B19,1,$A19,ROW($A$1504)-ROW($A19)),0))</f>
        <v>0</v>
      </c>
      <c r="I19">
        <f ca="1">IF(OR($A19="S",$A19=0),0,MATCH(OFFSET($B19,0,$A19)+1,OFFSET($B19,1,$A19,ROW($A$1504)-ROW($A19)),0))</f>
        <v>0</v>
      </c>
      <c r="J19" s="132" t="s">
        <v>29</v>
      </c>
      <c r="K19" s="121" t="str">
        <f ca="1">IF($A19=0,"-",CONCATENATE(C19&amp;".",IF(AND($A$5&gt;=2,$A19&gt;=2),D19&amp;".",""),IF(AND($A$5&gt;=3,$A19&gt;=3),E19&amp;".",""),IF(AND($A$5&gt;=4,$A19&gt;=4),F19&amp;".",""),IF($A19="S",G19&amp;".","")))</f>
        <v>1.1.6.</v>
      </c>
      <c r="L19" s="137" t="str">
        <f ca="1">IF(NOT(ISERROR($Y19)),IF($Y19&lt;&gt;FALSE,INDEX(Banco,$Y19,4),""),"")</f>
        <v>Cotação</v>
      </c>
      <c r="M19" s="122" t="s">
        <v>80</v>
      </c>
      <c r="N19" s="139" t="s">
        <v>256</v>
      </c>
      <c r="O19" s="137" t="str">
        <f ca="1">IF(NOT(ISERROR($Y19)),IF($Y19&lt;&gt;FALSE,INDEX(Banco,$Y19,5),""),"")</f>
        <v>Instrutor/Monitor (Educação Fisíca)</v>
      </c>
      <c r="P19" s="138" t="str">
        <f ca="1">IF(NOT(ISERROR($Y19)),IF($Y19&lt;&gt;FALSE,INDEX(Banco,$Y19,6),""),"")</f>
        <v>Horas</v>
      </c>
      <c r="Q19" s="134">
        <v>3</v>
      </c>
      <c r="R19" s="124">
        <f ca="1">IF(NOT(ISERROR($Y19)),IF($Y19&lt;&gt;FALSE,INDEX(Banco,$Y19,7),0),0)</f>
        <v>100</v>
      </c>
      <c r="S19" s="136" t="s">
        <v>62</v>
      </c>
      <c r="T19" s="123">
        <f ca="1">IF($J19=$G$2,ROUND(ROUND($R19,2)*IF($R$9="Preço Unitário (R$)",1,1+$AA19),2),0)</f>
        <v>125</v>
      </c>
      <c r="U19" s="126">
        <f ca="1">IF($A19="S",VTOTAL1,IF($A19=0,0,ROUND(SomaAgrup,2)))</f>
        <v>375</v>
      </c>
      <c r="V19" s="1"/>
      <c r="W19" s="39" t="str">
        <f ca="1">IF(OR($A19=0,$A19="S",$A19&gt;CFF!$A$9),"",MAX(W$11:OFFSET(W19,-1,0))+1)</f>
        <v/>
      </c>
      <c r="X19" s="4" t="str">
        <f>IF(AND($J19=$G$2,$N19&lt;&gt;"",$M19&lt;&gt;""),CONCATENATE($M19,"-",$N19))</f>
        <v>Serv. Terc.-017</v>
      </c>
      <c r="Y19" s="39">
        <f ca="1">IF(X19&lt;&gt;FALSE,MATCH(X19,OFFSET(Banco,0,0,,1),0))</f>
        <v>97</v>
      </c>
      <c r="Z19" s="1"/>
      <c r="AA19" s="133">
        <f>IF($J19=$G$2,ROUND(IF(ISNUMBER(S19),S19,IF(LEFT(S19,2)="DI",HLOOKUP(S19,DADOS!$T$29:$X$30,2,FALSE),0)),4),"")</f>
        <v>0.25</v>
      </c>
      <c r="AB19" s="2"/>
    </row>
    <row r="20" spans="1:28">
      <c r="A20" t="str">
        <f t="shared" si="0"/>
        <v>S</v>
      </c>
      <c r="B20">
        <f t="shared" si="1"/>
        <v>0</v>
      </c>
      <c r="C20">
        <f t="shared" ca="1" si="2"/>
        <v>1</v>
      </c>
      <c r="D20">
        <f t="shared" ca="1" si="3"/>
        <v>1</v>
      </c>
      <c r="E20">
        <f t="shared" ca="1" si="4"/>
        <v>0</v>
      </c>
      <c r="F20">
        <f t="shared" ca="1" si="5"/>
        <v>0</v>
      </c>
      <c r="G20">
        <f t="shared" ca="1" si="6"/>
        <v>7</v>
      </c>
      <c r="H20">
        <f ca="1">IF(OR($A20="S",$A20=0),0,MATCH(0,OFFSET($B20,1,$A20,ROW($A$1504)-ROW($A20)),0))</f>
        <v>0</v>
      </c>
      <c r="I20">
        <f ca="1">IF(OR($A20="S",$A20=0),0,MATCH(OFFSET($B20,0,$A20)+1,OFFSET($B20,1,$A20,ROW($A$1504)-ROW($A20)),0))</f>
        <v>0</v>
      </c>
      <c r="J20" s="132" t="s">
        <v>29</v>
      </c>
      <c r="K20" s="121" t="str">
        <f t="shared" ca="1" si="7"/>
        <v>1.1.7.</v>
      </c>
      <c r="L20" s="137" t="str">
        <f t="shared" ca="1" si="8"/>
        <v>Cotação</v>
      </c>
      <c r="M20" s="122" t="s">
        <v>80</v>
      </c>
      <c r="N20" s="139" t="s">
        <v>152</v>
      </c>
      <c r="O20" s="137" t="str">
        <f t="shared" ca="1" si="15"/>
        <v>Carro de som com gravação de vinheta</v>
      </c>
      <c r="P20" s="138" t="str">
        <f t="shared" ca="1" si="9"/>
        <v>Horas</v>
      </c>
      <c r="Q20" s="134">
        <v>3</v>
      </c>
      <c r="R20" s="124">
        <f t="shared" ca="1" si="10"/>
        <v>200</v>
      </c>
      <c r="S20" s="136" t="s">
        <v>62</v>
      </c>
      <c r="T20" s="123">
        <f t="shared" ca="1" si="11"/>
        <v>250</v>
      </c>
      <c r="U20" s="126">
        <f t="shared" ca="1" si="12"/>
        <v>750</v>
      </c>
      <c r="V20" s="1"/>
      <c r="W20" s="39" t="str">
        <f ca="1">IF(OR($A20=0,$A20="S",$A20&gt;CFF!$A$9),"",MAX(W$11:OFFSET(W20,-1,0))+1)</f>
        <v/>
      </c>
      <c r="X20" s="4" t="str">
        <f t="shared" si="13"/>
        <v>Serv. Terc.-002</v>
      </c>
      <c r="Y20" s="39">
        <f t="shared" ca="1" si="14"/>
        <v>82</v>
      </c>
      <c r="Z20" s="1"/>
      <c r="AA20" s="133">
        <f>IF($J20=$G$2,ROUND(IF(ISNUMBER(S20),S20,IF(LEFT(S20,2)="DI",HLOOKUP(S20,DADOS!$T$29:$X$30,2,FALSE),0)),4),"")</f>
        <v>0.25</v>
      </c>
      <c r="AB20" s="2"/>
    </row>
    <row r="21" spans="1:28">
      <c r="A21" t="str">
        <f t="shared" si="0"/>
        <v>S</v>
      </c>
      <c r="B21">
        <f t="shared" si="1"/>
        <v>0</v>
      </c>
      <c r="C21">
        <f t="shared" ca="1" si="2"/>
        <v>1</v>
      </c>
      <c r="D21">
        <f t="shared" ca="1" si="3"/>
        <v>1</v>
      </c>
      <c r="E21">
        <f t="shared" ca="1" si="4"/>
        <v>0</v>
      </c>
      <c r="F21">
        <f t="shared" ca="1" si="5"/>
        <v>0</v>
      </c>
      <c r="G21">
        <f t="shared" ca="1" si="6"/>
        <v>8</v>
      </c>
      <c r="H21">
        <f ca="1">IF(OR($A21="S",$A21=0),0,MATCH(0,OFFSET($B21,1,$A21,ROW($A$1504)-ROW($A21)),0))</f>
        <v>0</v>
      </c>
      <c r="I21">
        <f ca="1">IF(OR($A21="S",$A21=0),0,MATCH(OFFSET($B21,0,$A21)+1,OFFSET($B21,1,$A21,ROW($A$1504)-ROW($A21)),0))</f>
        <v>0</v>
      </c>
      <c r="J21" s="132" t="s">
        <v>29</v>
      </c>
      <c r="K21" s="121" t="str">
        <f t="shared" ca="1" si="7"/>
        <v>1.1.8.</v>
      </c>
      <c r="L21" s="137" t="str">
        <f t="shared" ca="1" si="8"/>
        <v>Cotação</v>
      </c>
      <c r="M21" s="122" t="s">
        <v>80</v>
      </c>
      <c r="N21" s="139" t="s">
        <v>151</v>
      </c>
      <c r="O21" s="137" t="str">
        <f t="shared" ca="1" si="15"/>
        <v>Locação de mesas</v>
      </c>
      <c r="P21" s="138" t="str">
        <f t="shared" ca="1" si="9"/>
        <v>Unidade</v>
      </c>
      <c r="Q21" s="134">
        <v>20</v>
      </c>
      <c r="R21" s="124">
        <f t="shared" ca="1" si="10"/>
        <v>3</v>
      </c>
      <c r="S21" s="136" t="s">
        <v>62</v>
      </c>
      <c r="T21" s="123">
        <f t="shared" ca="1" si="11"/>
        <v>3.75</v>
      </c>
      <c r="U21" s="126">
        <f t="shared" ca="1" si="12"/>
        <v>75</v>
      </c>
      <c r="V21" s="1"/>
      <c r="W21" s="39" t="str">
        <f ca="1">IF(OR($A21=0,$A21="S",$A21&gt;CFF!$A$9),"",MAX(W$11:OFFSET(W21,-1,0))+1)</f>
        <v/>
      </c>
      <c r="X21" s="4" t="str">
        <f t="shared" si="13"/>
        <v>Serv. Terc.-003</v>
      </c>
      <c r="Y21" s="39">
        <f t="shared" ca="1" si="14"/>
        <v>83</v>
      </c>
      <c r="Z21" s="1"/>
      <c r="AA21" s="133">
        <f>IF($J21=$G$2,ROUND(IF(ISNUMBER(S21),S21,IF(LEFT(S21,2)="DI",HLOOKUP(S21,DADOS!$T$29:$X$30,2,FALSE),0)),4),"")</f>
        <v>0.25</v>
      </c>
      <c r="AB21" s="2"/>
    </row>
    <row r="22" spans="1:28">
      <c r="A22" t="str">
        <f t="shared" si="0"/>
        <v>S</v>
      </c>
      <c r="B22">
        <f t="shared" si="1"/>
        <v>0</v>
      </c>
      <c r="C22">
        <f t="shared" ca="1" si="2"/>
        <v>1</v>
      </c>
      <c r="D22">
        <f t="shared" ca="1" si="3"/>
        <v>1</v>
      </c>
      <c r="E22">
        <f t="shared" ca="1" si="4"/>
        <v>0</v>
      </c>
      <c r="F22">
        <f t="shared" ca="1" si="5"/>
        <v>0</v>
      </c>
      <c r="G22">
        <f t="shared" ca="1" si="6"/>
        <v>9</v>
      </c>
      <c r="H22">
        <f ca="1">IF(OR($A22="S",$A22=0),0,MATCH(0,OFFSET($B22,1,$A22,ROW($A$1504)-ROW($A22)),0))</f>
        <v>0</v>
      </c>
      <c r="I22">
        <f ca="1">IF(OR($A22="S",$A22=0),0,MATCH(OFFSET($B22,0,$A22)+1,OFFSET($B22,1,$A22,ROW($A$1504)-ROW($A22)),0))</f>
        <v>0</v>
      </c>
      <c r="J22" s="132" t="s">
        <v>29</v>
      </c>
      <c r="K22" s="121" t="str">
        <f t="shared" ca="1" si="7"/>
        <v>1.1.9.</v>
      </c>
      <c r="L22" s="137" t="str">
        <f t="shared" ca="1" si="8"/>
        <v>Cotação</v>
      </c>
      <c r="M22" s="122" t="s">
        <v>80</v>
      </c>
      <c r="N22" s="139" t="s">
        <v>153</v>
      </c>
      <c r="O22" s="137" t="str">
        <f t="shared" ca="1" si="15"/>
        <v>Locação de cadeiras</v>
      </c>
      <c r="P22" s="138" t="str">
        <f t="shared" ca="1" si="9"/>
        <v>Unidade</v>
      </c>
      <c r="Q22" s="134">
        <v>400</v>
      </c>
      <c r="R22" s="124">
        <f t="shared" ca="1" si="10"/>
        <v>2</v>
      </c>
      <c r="S22" s="136" t="s">
        <v>62</v>
      </c>
      <c r="T22" s="123">
        <f t="shared" ca="1" si="11"/>
        <v>2.5</v>
      </c>
      <c r="U22" s="126">
        <f t="shared" ca="1" si="12"/>
        <v>1000</v>
      </c>
      <c r="V22" s="1"/>
      <c r="W22" s="39" t="str">
        <f ca="1">IF(OR($A22=0,$A22="S",$A22&gt;CFF!$A$9),"",MAX(W$11:OFFSET(W22,-1,0))+1)</f>
        <v/>
      </c>
      <c r="X22" s="4" t="str">
        <f t="shared" si="13"/>
        <v>Serv. Terc.-004</v>
      </c>
      <c r="Y22" s="39">
        <f t="shared" ca="1" si="14"/>
        <v>84</v>
      </c>
      <c r="Z22" s="1"/>
      <c r="AA22" s="133">
        <f>IF($J22=$G$2,ROUND(IF(ISNUMBER(S22),S22,IF(LEFT(S22,2)="DI",HLOOKUP(S22,DADOS!$T$29:$X$30,2,FALSE),0)),4),"")</f>
        <v>0.25</v>
      </c>
      <c r="AB22" s="2"/>
    </row>
    <row r="23" spans="1:28">
      <c r="A23" t="str">
        <f t="shared" si="0"/>
        <v>S</v>
      </c>
      <c r="B23">
        <f t="shared" si="1"/>
        <v>0</v>
      </c>
      <c r="C23">
        <f t="shared" ca="1" si="2"/>
        <v>1</v>
      </c>
      <c r="D23">
        <f t="shared" ca="1" si="3"/>
        <v>1</v>
      </c>
      <c r="E23">
        <f t="shared" ca="1" si="4"/>
        <v>0</v>
      </c>
      <c r="F23">
        <f t="shared" ca="1" si="5"/>
        <v>0</v>
      </c>
      <c r="G23">
        <f t="shared" ca="1" si="6"/>
        <v>10</v>
      </c>
      <c r="H23">
        <f ca="1">IF(OR($A23="S",$A23=0),0,MATCH(0,OFFSET($B23,1,$A23,ROW($A$1504)-ROW($A23)),0))</f>
        <v>0</v>
      </c>
      <c r="I23">
        <f ca="1">IF(OR($A23="S",$A23=0),0,MATCH(OFFSET($B23,0,$A23)+1,OFFSET($B23,1,$A23,ROW($A$1504)-ROW($A23)),0))</f>
        <v>0</v>
      </c>
      <c r="J23" s="132" t="s">
        <v>29</v>
      </c>
      <c r="K23" s="121" t="str">
        <f t="shared" ca="1" si="7"/>
        <v>1.1.10.</v>
      </c>
      <c r="L23" s="137" t="str">
        <f t="shared" ca="1" si="8"/>
        <v>Cotação</v>
      </c>
      <c r="M23" s="122" t="s">
        <v>80</v>
      </c>
      <c r="N23" s="139" t="s">
        <v>154</v>
      </c>
      <c r="O23" s="137" t="str">
        <f t="shared" ca="1" si="15"/>
        <v>Locação de caixa térmica</v>
      </c>
      <c r="P23" s="138" t="str">
        <f t="shared" ca="1" si="9"/>
        <v>Unidade</v>
      </c>
      <c r="Q23" s="134">
        <v>2</v>
      </c>
      <c r="R23" s="124">
        <f t="shared" ca="1" si="10"/>
        <v>40</v>
      </c>
      <c r="S23" s="136" t="s">
        <v>62</v>
      </c>
      <c r="T23" s="123">
        <f t="shared" ca="1" si="11"/>
        <v>50</v>
      </c>
      <c r="U23" s="126">
        <f t="shared" ca="1" si="12"/>
        <v>100</v>
      </c>
      <c r="V23" s="1"/>
      <c r="W23" s="39" t="str">
        <f ca="1">IF(OR($A23=0,$A23="S",$A23&gt;CFF!$A$9),"",MAX(W$11:OFFSET(W23,-1,0))+1)</f>
        <v/>
      </c>
      <c r="X23" s="4" t="str">
        <f t="shared" si="13"/>
        <v>Serv. Terc.-005</v>
      </c>
      <c r="Y23" s="39">
        <f t="shared" ca="1" si="14"/>
        <v>85</v>
      </c>
      <c r="Z23" s="1"/>
      <c r="AA23" s="133">
        <f>IF($J23=$G$2,ROUND(IF(ISNUMBER(S23),S23,IF(LEFT(S23,2)="DI",HLOOKUP(S23,DADOS!$T$29:$X$30,2,FALSE),0)),4),"")</f>
        <v>0.25</v>
      </c>
      <c r="AB23" s="2"/>
    </row>
    <row r="24" spans="1:28">
      <c r="A24" t="str">
        <f t="shared" si="0"/>
        <v>S</v>
      </c>
      <c r="B24">
        <f t="shared" si="1"/>
        <v>0</v>
      </c>
      <c r="C24">
        <f t="shared" ca="1" si="2"/>
        <v>1</v>
      </c>
      <c r="D24">
        <f t="shared" ca="1" si="3"/>
        <v>1</v>
      </c>
      <c r="E24">
        <f t="shared" ca="1" si="4"/>
        <v>0</v>
      </c>
      <c r="F24">
        <f t="shared" ca="1" si="5"/>
        <v>0</v>
      </c>
      <c r="G24">
        <f t="shared" ca="1" si="6"/>
        <v>11</v>
      </c>
      <c r="H24">
        <f ca="1">IF(OR($A24="S",$A24=0),0,MATCH(0,OFFSET($B24,1,$A24,ROW($A$1504)-ROW($A24)),0))</f>
        <v>0</v>
      </c>
      <c r="I24">
        <f ca="1">IF(OR($A24="S",$A24=0),0,MATCH(OFFSET($B24,0,$A24)+1,OFFSET($B24,1,$A24,ROW($A$1504)-ROW($A24)),0))</f>
        <v>0</v>
      </c>
      <c r="J24" s="132" t="s">
        <v>29</v>
      </c>
      <c r="K24" s="121" t="str">
        <f t="shared" ca="1" si="7"/>
        <v>1.1.11.</v>
      </c>
      <c r="L24" s="137" t="str">
        <f t="shared" ca="1" si="8"/>
        <v>Cotação</v>
      </c>
      <c r="M24" s="122" t="s">
        <v>80</v>
      </c>
      <c r="N24" s="139" t="s">
        <v>155</v>
      </c>
      <c r="O24" s="137" t="str">
        <f t="shared" ca="1" si="15"/>
        <v>Locação de tendas</v>
      </c>
      <c r="P24" s="138" t="str">
        <f t="shared" ca="1" si="9"/>
        <v>Unidade</v>
      </c>
      <c r="Q24" s="134">
        <v>3</v>
      </c>
      <c r="R24" s="124">
        <f t="shared" ca="1" si="10"/>
        <v>250</v>
      </c>
      <c r="S24" s="136" t="s">
        <v>62</v>
      </c>
      <c r="T24" s="123">
        <f t="shared" ca="1" si="11"/>
        <v>312.5</v>
      </c>
      <c r="U24" s="126">
        <f t="shared" ca="1" si="12"/>
        <v>937.5</v>
      </c>
      <c r="V24" s="1"/>
      <c r="W24" s="39" t="str">
        <f ca="1">IF(OR($A24=0,$A24="S",$A24&gt;CFF!$A$9),"",MAX(W$11:OFFSET(W24,-1,0))+1)</f>
        <v/>
      </c>
      <c r="X24" s="4" t="str">
        <f t="shared" si="13"/>
        <v>Serv. Terc.-006</v>
      </c>
      <c r="Y24" s="39">
        <f t="shared" ca="1" si="14"/>
        <v>86</v>
      </c>
      <c r="Z24" s="1"/>
      <c r="AA24" s="133">
        <f>IF($J24=$G$2,ROUND(IF(ISNUMBER(S24),S24,IF(LEFT(S24,2)="DI",HLOOKUP(S24,DADOS!$T$29:$X$30,2,FALSE),0)),4),"")</f>
        <v>0.25</v>
      </c>
      <c r="AB24" s="2"/>
    </row>
    <row r="25" spans="1:28" ht="11.25" customHeight="1">
      <c r="A25" t="str">
        <f t="shared" si="0"/>
        <v>S</v>
      </c>
      <c r="B25">
        <f t="shared" si="1"/>
        <v>0</v>
      </c>
      <c r="C25">
        <f t="shared" ca="1" si="2"/>
        <v>1</v>
      </c>
      <c r="D25">
        <f t="shared" ca="1" si="3"/>
        <v>1</v>
      </c>
      <c r="E25">
        <f t="shared" ca="1" si="4"/>
        <v>0</v>
      </c>
      <c r="F25">
        <f t="shared" ca="1" si="5"/>
        <v>0</v>
      </c>
      <c r="G25">
        <f t="shared" ca="1" si="6"/>
        <v>12</v>
      </c>
      <c r="H25">
        <f ca="1">IF(OR($A25="S",$A25=0),0,MATCH(0,OFFSET($B25,1,$A25,ROW($A$1504)-ROW($A25)),0))</f>
        <v>0</v>
      </c>
      <c r="I25">
        <f ca="1">IF(OR($A25="S",$A25=0),0,MATCH(OFFSET($B25,0,$A25)+1,OFFSET($B25,1,$A25,ROW($A$1504)-ROW($A25)),0))</f>
        <v>0</v>
      </c>
      <c r="J25" s="132" t="s">
        <v>29</v>
      </c>
      <c r="K25" s="121" t="str">
        <f t="shared" ca="1" si="7"/>
        <v>1.1.12.</v>
      </c>
      <c r="L25" s="137" t="str">
        <f t="shared" ca="1" si="8"/>
        <v>Cotação</v>
      </c>
      <c r="M25" s="122" t="s">
        <v>80</v>
      </c>
      <c r="N25" s="139" t="s">
        <v>157</v>
      </c>
      <c r="O25" s="137" t="str">
        <f t="shared" ca="1" si="15"/>
        <v>Locação de pula-pula com monitor</v>
      </c>
      <c r="P25" s="138" t="str">
        <f t="shared" ca="1" si="9"/>
        <v>Unidade</v>
      </c>
      <c r="Q25" s="134">
        <v>2</v>
      </c>
      <c r="R25" s="124">
        <f t="shared" ca="1" si="10"/>
        <v>220</v>
      </c>
      <c r="S25" s="136" t="s">
        <v>62</v>
      </c>
      <c r="T25" s="123">
        <f t="shared" ca="1" si="11"/>
        <v>275</v>
      </c>
      <c r="U25" s="126">
        <f t="shared" ca="1" si="12"/>
        <v>550</v>
      </c>
      <c r="V25" s="1"/>
      <c r="W25" s="39" t="str">
        <f ca="1">IF(OR($A25=0,$A25="S",$A25&gt;CFF!$A$9),"",MAX(W$11:OFFSET(W25,-1,0))+1)</f>
        <v/>
      </c>
      <c r="X25" s="4" t="str">
        <f t="shared" si="13"/>
        <v>Serv. Terc.-008</v>
      </c>
      <c r="Y25" s="39">
        <f t="shared" ca="1" si="14"/>
        <v>88</v>
      </c>
      <c r="Z25" s="1"/>
      <c r="AA25" s="133">
        <f>IF($J25=$G$2,ROUND(IF(ISNUMBER(S25),S25,IF(LEFT(S25,2)="DI",HLOOKUP(S25,DADOS!$T$29:$X$30,2,FALSE),0)),4),"")</f>
        <v>0.25</v>
      </c>
      <c r="AB25" s="2"/>
    </row>
    <row r="26" spans="1:28">
      <c r="A26" t="str">
        <f t="shared" si="0"/>
        <v>S</v>
      </c>
      <c r="B26">
        <f t="shared" si="1"/>
        <v>0</v>
      </c>
      <c r="C26">
        <f t="shared" ca="1" si="2"/>
        <v>1</v>
      </c>
      <c r="D26">
        <f t="shared" ca="1" si="3"/>
        <v>1</v>
      </c>
      <c r="E26">
        <f t="shared" ca="1" si="4"/>
        <v>0</v>
      </c>
      <c r="F26">
        <f t="shared" ca="1" si="5"/>
        <v>0</v>
      </c>
      <c r="G26">
        <f t="shared" ca="1" si="6"/>
        <v>13</v>
      </c>
      <c r="H26">
        <f ca="1">IF(OR($A26="S",$A26=0),0,MATCH(0,OFFSET($B26,1,$A26,ROW($A$1504)-ROW($A26)),0))</f>
        <v>0</v>
      </c>
      <c r="I26">
        <f ca="1">IF(OR($A26="S",$A26=0),0,MATCH(OFFSET($B26,0,$A26)+1,OFFSET($B26,1,$A26,ROW($A$1504)-ROW($A26)),0))</f>
        <v>0</v>
      </c>
      <c r="J26" s="132" t="s">
        <v>29</v>
      </c>
      <c r="K26" s="121" t="str">
        <f t="shared" ca="1" si="7"/>
        <v>1.1.13.</v>
      </c>
      <c r="L26" s="137" t="str">
        <f t="shared" ca="1" si="8"/>
        <v xml:space="preserve">Cotação </v>
      </c>
      <c r="M26" s="122" t="s">
        <v>80</v>
      </c>
      <c r="N26" s="139" t="s">
        <v>159</v>
      </c>
      <c r="O26" s="137" t="str">
        <f t="shared" ca="1" si="15"/>
        <v>Brindes ( descrição nos orçamentos e PTS)</v>
      </c>
      <c r="P26" s="138" t="str">
        <f t="shared" ca="1" si="9"/>
        <v>Unidade</v>
      </c>
      <c r="Q26" s="134">
        <v>8</v>
      </c>
      <c r="R26" s="124">
        <f t="shared" ca="1" si="10"/>
        <v>120</v>
      </c>
      <c r="S26" s="136" t="s">
        <v>62</v>
      </c>
      <c r="T26" s="123">
        <f t="shared" ca="1" si="11"/>
        <v>150</v>
      </c>
      <c r="U26" s="126">
        <f t="shared" ca="1" si="12"/>
        <v>1200</v>
      </c>
      <c r="V26" s="1"/>
      <c r="W26" s="39" t="str">
        <f ca="1">IF(OR($A26=0,$A26="S",$A26&gt;CFF!$A$9),"",MAX(W$11:OFFSET(W26,-1,0))+1)</f>
        <v/>
      </c>
      <c r="X26" s="4" t="str">
        <f t="shared" si="13"/>
        <v>Serv. Terc.-010</v>
      </c>
      <c r="Y26" s="39">
        <f t="shared" ca="1" si="14"/>
        <v>90</v>
      </c>
      <c r="Z26" s="1"/>
      <c r="AA26" s="133">
        <f>IF($J26=$G$2,ROUND(IF(ISNUMBER(S26),S26,IF(LEFT(S26,2)="DI",HLOOKUP(S26,DADOS!$T$29:$X$30,2,FALSE),0)),4),"")</f>
        <v>0.25</v>
      </c>
      <c r="AB26" s="2"/>
    </row>
    <row r="27" spans="1:28" ht="12" customHeight="1">
      <c r="A27" t="str">
        <f t="shared" si="0"/>
        <v>S</v>
      </c>
      <c r="B27">
        <f t="shared" si="1"/>
        <v>0</v>
      </c>
      <c r="C27">
        <f t="shared" ca="1" si="2"/>
        <v>1</v>
      </c>
      <c r="D27">
        <f t="shared" ca="1" si="3"/>
        <v>1</v>
      </c>
      <c r="E27">
        <f t="shared" ca="1" si="4"/>
        <v>0</v>
      </c>
      <c r="F27">
        <f t="shared" ca="1" si="5"/>
        <v>0</v>
      </c>
      <c r="G27">
        <f t="shared" ca="1" si="6"/>
        <v>14</v>
      </c>
      <c r="H27">
        <f ca="1">IF(OR($A27="S",$A27=0),0,MATCH(0,OFFSET($B27,1,$A27,ROW($A$1504)-ROW($A27)),0))</f>
        <v>0</v>
      </c>
      <c r="I27">
        <f ca="1">IF(OR($A27="S",$A27=0),0,MATCH(OFFSET($B27,0,$A27)+1,OFFSET($B27,1,$A27,ROW($A$1504)-ROW($A27)),0))</f>
        <v>0</v>
      </c>
      <c r="J27" s="132" t="s">
        <v>29</v>
      </c>
      <c r="K27" s="121" t="str">
        <f t="shared" ca="1" si="7"/>
        <v>1.1.14.</v>
      </c>
      <c r="L27" s="137" t="str">
        <f t="shared" ca="1" si="8"/>
        <v xml:space="preserve">Cotação </v>
      </c>
      <c r="M27" s="122" t="s">
        <v>80</v>
      </c>
      <c r="N27" s="139" t="s">
        <v>160</v>
      </c>
      <c r="O27" s="137" t="str">
        <f t="shared" ca="1" si="15"/>
        <v>Barra de gelo</v>
      </c>
      <c r="P27" s="138" t="str">
        <f t="shared" ca="1" si="9"/>
        <v>Unidade</v>
      </c>
      <c r="Q27" s="134">
        <v>4</v>
      </c>
      <c r="R27" s="124">
        <f t="shared" ca="1" si="10"/>
        <v>12</v>
      </c>
      <c r="S27" s="136" t="s">
        <v>62</v>
      </c>
      <c r="T27" s="123">
        <f t="shared" ca="1" si="11"/>
        <v>15</v>
      </c>
      <c r="U27" s="126">
        <f t="shared" ca="1" si="12"/>
        <v>60</v>
      </c>
      <c r="V27" s="1"/>
      <c r="W27" s="39" t="str">
        <f ca="1">IF(OR($A27=0,$A27="S",$A27&gt;CFF!$A$9),"",MAX(W$11:OFFSET(W27,-1,0))+1)</f>
        <v/>
      </c>
      <c r="X27" s="4" t="str">
        <f t="shared" si="13"/>
        <v>Serv. Terc.-011</v>
      </c>
      <c r="Y27" s="39">
        <f t="shared" ca="1" si="14"/>
        <v>91</v>
      </c>
      <c r="Z27" s="1"/>
      <c r="AA27" s="133">
        <f>IF($J27=$G$2,ROUND(IF(ISNUMBER(S27),S27,IF(LEFT(S27,2)="DI",HLOOKUP(S27,DADOS!$T$29:$X$30,2,FALSE),0)),4),"")</f>
        <v>0.25</v>
      </c>
      <c r="AB27" s="2"/>
    </row>
    <row r="28" spans="1:28">
      <c r="A28" t="str">
        <f t="shared" si="0"/>
        <v>S</v>
      </c>
      <c r="B28">
        <f t="shared" si="1"/>
        <v>0</v>
      </c>
      <c r="C28">
        <f t="shared" ca="1" si="2"/>
        <v>1</v>
      </c>
      <c r="D28">
        <f t="shared" ca="1" si="3"/>
        <v>1</v>
      </c>
      <c r="E28">
        <f t="shared" ca="1" si="4"/>
        <v>0</v>
      </c>
      <c r="F28">
        <f t="shared" ca="1" si="5"/>
        <v>0</v>
      </c>
      <c r="G28">
        <f t="shared" ca="1" si="6"/>
        <v>15</v>
      </c>
      <c r="H28">
        <f ca="1">IF(OR($A28="S",$A28=0),0,MATCH(0,OFFSET($B28,1,$A28,ROW($A$1504)-ROW($A28)),0))</f>
        <v>0</v>
      </c>
      <c r="I28">
        <f ca="1">IF(OR($A28="S",$A28=0),0,MATCH(OFFSET($B28,0,$A28)+1,OFFSET($B28,1,$A28,ROW($A$1504)-ROW($A28)),0))</f>
        <v>0</v>
      </c>
      <c r="J28" s="132" t="s">
        <v>29</v>
      </c>
      <c r="K28" s="121" t="str">
        <f t="shared" ca="1" si="7"/>
        <v>1.1.15.</v>
      </c>
      <c r="L28" s="137" t="str">
        <f t="shared" ca="1" si="8"/>
        <v>Cotação</v>
      </c>
      <c r="M28" s="122" t="s">
        <v>80</v>
      </c>
      <c r="N28" s="139" t="s">
        <v>161</v>
      </c>
      <c r="O28" s="137" t="str">
        <f t="shared" ca="1" si="15"/>
        <v>Água (garrafão de 20 litros)</v>
      </c>
      <c r="P28" s="138" t="str">
        <f t="shared" ca="1" si="9"/>
        <v>Unidade</v>
      </c>
      <c r="Q28" s="134">
        <v>2</v>
      </c>
      <c r="R28" s="124">
        <f t="shared" ca="1" si="10"/>
        <v>10</v>
      </c>
      <c r="S28" s="136" t="s">
        <v>62</v>
      </c>
      <c r="T28" s="123">
        <f t="shared" ca="1" si="11"/>
        <v>12.5</v>
      </c>
      <c r="U28" s="126">
        <f t="shared" ca="1" si="12"/>
        <v>25</v>
      </c>
      <c r="V28" s="1"/>
      <c r="W28" s="39" t="str">
        <f ca="1">IF(OR($A28=0,$A28="S",$A28&gt;CFF!$A$9),"",MAX(W$11:OFFSET(W28,-1,0))+1)</f>
        <v/>
      </c>
      <c r="X28" s="4" t="str">
        <f t="shared" si="13"/>
        <v>Serv. Terc.-012</v>
      </c>
      <c r="Y28" s="39">
        <f t="shared" ca="1" si="14"/>
        <v>92</v>
      </c>
      <c r="Z28" s="1"/>
      <c r="AA28" s="133">
        <f>IF($J28=$G$2,ROUND(IF(ISNUMBER(S28),S28,IF(LEFT(S28,2)="DI",HLOOKUP(S28,DADOS!$T$29:$X$30,2,FALSE),0)),4),"")</f>
        <v>0.25</v>
      </c>
      <c r="AB28" s="2"/>
    </row>
    <row r="29" spans="1:28">
      <c r="A29" t="str">
        <f t="shared" si="0"/>
        <v>S</v>
      </c>
      <c r="B29">
        <f t="shared" si="1"/>
        <v>0</v>
      </c>
      <c r="C29">
        <f t="shared" ca="1" si="2"/>
        <v>1</v>
      </c>
      <c r="D29">
        <f t="shared" ca="1" si="3"/>
        <v>1</v>
      </c>
      <c r="E29">
        <f t="shared" ca="1" si="4"/>
        <v>0</v>
      </c>
      <c r="F29">
        <f t="shared" ca="1" si="5"/>
        <v>0</v>
      </c>
      <c r="G29">
        <f t="shared" ca="1" si="6"/>
        <v>16</v>
      </c>
      <c r="H29">
        <f ca="1">IF(OR($A29="S",$A29=0),0,MATCH(0,OFFSET($B29,1,$A29,ROW($A$1504)-ROW($A29)),0))</f>
        <v>0</v>
      </c>
      <c r="I29">
        <f ca="1">IF(OR($A29="S",$A29=0),0,MATCH(OFFSET($B29,0,$A29)+1,OFFSET($B29,1,$A29,ROW($A$1504)-ROW($A29)),0))</f>
        <v>0</v>
      </c>
      <c r="J29" s="132" t="s">
        <v>29</v>
      </c>
      <c r="K29" s="121" t="str">
        <f t="shared" ca="1" si="7"/>
        <v>1.1.16.</v>
      </c>
      <c r="L29" s="137" t="str">
        <f t="shared" ca="1" si="8"/>
        <v>Cotação</v>
      </c>
      <c r="M29" s="122" t="s">
        <v>80</v>
      </c>
      <c r="N29" s="139" t="s">
        <v>150</v>
      </c>
      <c r="O29" s="137" t="str">
        <f t="shared" ca="1" si="15"/>
        <v>Sucos</v>
      </c>
      <c r="P29" s="138" t="str">
        <f t="shared" ca="1" si="9"/>
        <v>Unidade</v>
      </c>
      <c r="Q29" s="134">
        <v>12</v>
      </c>
      <c r="R29" s="124">
        <f t="shared" ca="1" si="10"/>
        <v>6.4</v>
      </c>
      <c r="S29" s="136" t="s">
        <v>62</v>
      </c>
      <c r="T29" s="123">
        <f t="shared" ca="1" si="11"/>
        <v>8</v>
      </c>
      <c r="U29" s="126">
        <f t="shared" ca="1" si="12"/>
        <v>96</v>
      </c>
      <c r="V29" s="1"/>
      <c r="W29" s="39" t="str">
        <f ca="1">IF(OR($A29=0,$A29="S",$A29&gt;CFF!$A$9),"",MAX(W$11:OFFSET(W29,-1,0))+1)</f>
        <v/>
      </c>
      <c r="X29" s="4" t="str">
        <f t="shared" si="13"/>
        <v>Serv. Terc.-013</v>
      </c>
      <c r="Y29" s="39">
        <f t="shared" ca="1" si="14"/>
        <v>93</v>
      </c>
      <c r="Z29" s="1"/>
      <c r="AA29" s="133">
        <f>IF($J29=$G$2,ROUND(IF(ISNUMBER(S29),S29,IF(LEFT(S29,2)="DI",HLOOKUP(S29,DADOS!$T$29:$X$30,2,FALSE),0)),4),"")</f>
        <v>0.25</v>
      </c>
      <c r="AB29" s="2"/>
    </row>
    <row r="30" spans="1:28">
      <c r="A30" t="str">
        <f>CHOOSE(1+LOG(1+2*(J30=$C$2)+4*(J30=$D$2)+8*(J30=$E$2)+16*(J30=$F$2)+32*(J30=$G$2),2),0,1,2,3,4,"S")</f>
        <v>S</v>
      </c>
      <c r="B30">
        <f>IF(OR(A30="S",A30=0),0,IF(ISERROR(I30),H30,SMALL(H30:I30,1)))</f>
        <v>0</v>
      </c>
      <c r="C30">
        <f ca="1">IF($A30=1,OFFSET(C30,-1,0)+1,OFFSET(C30,-1,0))</f>
        <v>1</v>
      </c>
      <c r="D30">
        <f ca="1">IF($A30=1,0,IF($A30=2,OFFSET(D30,-1,0)+1,OFFSET(D30,-1,0)))</f>
        <v>1</v>
      </c>
      <c r="E30">
        <f ca="1">IF(AND($A30&lt;=2,$A30&lt;&gt;0),0,IF($A30=3,OFFSET(E30,-1,0)+1,OFFSET(E30,-1,0)))</f>
        <v>0</v>
      </c>
      <c r="F30">
        <f ca="1">IF(AND($A30&lt;=3,$A30&lt;&gt;0),0,IF($A30=4,OFFSET(F30,-1,0)+1,OFFSET(F30,-1,0)))</f>
        <v>0</v>
      </c>
      <c r="G30">
        <f ca="1">IF(AND($A30&lt;=4,$A30&lt;&gt;0),0,IF($A30="S",OFFSET(G30,-1,0)+1,OFFSET(G30,-1,0)))</f>
        <v>17</v>
      </c>
      <c r="H30">
        <f ca="1">IF(OR($A30="S",$A30=0),0,MATCH(0,OFFSET($B30,1,$A30,ROW($A$1504)-ROW($A30)),0))</f>
        <v>0</v>
      </c>
      <c r="I30">
        <f ca="1">IF(OR($A30="S",$A30=0),0,MATCH(OFFSET($B30,0,$A30)+1,OFFSET($B30,1,$A30,ROW($A$1504)-ROW($A30)),0))</f>
        <v>0</v>
      </c>
      <c r="J30" s="132" t="s">
        <v>29</v>
      </c>
      <c r="K30" s="121" t="str">
        <f ca="1">IF($A30=0,"-",CONCATENATE(C30&amp;".",IF(AND($A$5&gt;=2,$A30&gt;=2),D30&amp;".",""),IF(AND($A$5&gt;=3,$A30&gt;=3),E30&amp;".",""),IF(AND($A$5&gt;=4,$A30&gt;=4),F30&amp;".",""),IF($A30="S",G30&amp;".","")))</f>
        <v>1.1.17.</v>
      </c>
      <c r="L30" s="137" t="str">
        <f ca="1">IF(NOT(ISERROR($Y30)),IF($Y30&lt;&gt;FALSE,INDEX(Banco,$Y30,4),""),"")</f>
        <v>Cotação</v>
      </c>
      <c r="M30" s="122" t="s">
        <v>80</v>
      </c>
      <c r="N30" s="139" t="s">
        <v>171</v>
      </c>
      <c r="O30" s="137" t="str">
        <f ca="1">IF(NOT(ISERROR($Y30)),IF($Y30&lt;&gt;FALSE,INDEX(Banco,$Y30,5),""),"")</f>
        <v xml:space="preserve">Refrigerantes (02 litros) </v>
      </c>
      <c r="P30" s="138" t="str">
        <f ca="1">IF(NOT(ISERROR($Y30)),IF($Y30&lt;&gt;FALSE,INDEX(Banco,$Y30,6),""),"")</f>
        <v>Unidade</v>
      </c>
      <c r="Q30" s="134">
        <v>20</v>
      </c>
      <c r="R30" s="124">
        <f ca="1">IF(NOT(ISERROR($Y30)),IF($Y30&lt;&gt;FALSE,INDEX(Banco,$Y30,7),0),0)</f>
        <v>6</v>
      </c>
      <c r="S30" s="136" t="s">
        <v>62</v>
      </c>
      <c r="T30" s="123">
        <f ca="1">IF($J30=$G$2,ROUND(ROUND($R30,2)*IF($R$9="Preço Unitário (R$)",1,1+$AA30),2),0)</f>
        <v>7.5</v>
      </c>
      <c r="U30" s="126">
        <f ca="1">IF($A30="S",VTOTAL1,IF($A30=0,0,ROUND(SomaAgrup,2)))</f>
        <v>150</v>
      </c>
      <c r="V30" s="1"/>
      <c r="W30" s="39" t="str">
        <f ca="1">IF(OR($A30=0,$A30="S",$A30&gt;CFF!$A$9),"",MAX(W$11:OFFSET(W30,-1,0))+1)</f>
        <v/>
      </c>
      <c r="X30" s="4" t="str">
        <f>IF(AND($J30=$G$2,$N30&lt;&gt;"",$M30&lt;&gt;""),CONCATENATE($M30,"-",$N30))</f>
        <v>Serv. Terc.-027</v>
      </c>
      <c r="Y30" s="39">
        <f ca="1">IF(X30&lt;&gt;FALSE,MATCH(X30,OFFSET(Banco,0,0,,1),0))</f>
        <v>107</v>
      </c>
      <c r="Z30" s="1"/>
      <c r="AA30" s="133">
        <f>IF($J30=$G$2,ROUND(IF(ISNUMBER(S30),S30,IF(LEFT(S30,2)="DI",HLOOKUP(S30,DADOS!$T$29:$X$30,2,FALSE),0)),4),"")</f>
        <v>0.25</v>
      </c>
      <c r="AB30" s="2"/>
    </row>
    <row r="31" spans="1:28">
      <c r="A31" t="str">
        <f t="shared" si="0"/>
        <v>S</v>
      </c>
      <c r="B31">
        <f t="shared" si="1"/>
        <v>0</v>
      </c>
      <c r="C31">
        <f t="shared" ca="1" si="2"/>
        <v>1</v>
      </c>
      <c r="D31">
        <f t="shared" ca="1" si="3"/>
        <v>1</v>
      </c>
      <c r="E31">
        <f t="shared" ca="1" si="4"/>
        <v>0</v>
      </c>
      <c r="F31">
        <f t="shared" ca="1" si="5"/>
        <v>0</v>
      </c>
      <c r="G31">
        <f t="shared" ca="1" si="6"/>
        <v>18</v>
      </c>
      <c r="H31">
        <f ca="1">IF(OR($A31="S",$A31=0),0,MATCH(0,OFFSET($B31,1,$A31,ROW($A$1504)-ROW($A31)),0))</f>
        <v>0</v>
      </c>
      <c r="I31">
        <f ca="1">IF(OR($A31="S",$A31=0),0,MATCH(OFFSET($B31,0,$A31)+1,OFFSET($B31,1,$A31,ROW($A$1504)-ROW($A31)),0))</f>
        <v>0</v>
      </c>
      <c r="J31" s="132" t="s">
        <v>29</v>
      </c>
      <c r="K31" s="121" t="str">
        <f t="shared" ca="1" si="7"/>
        <v>1.1.18.</v>
      </c>
      <c r="L31" s="137" t="str">
        <f t="shared" ca="1" si="8"/>
        <v>Cotação</v>
      </c>
      <c r="M31" s="122" t="s">
        <v>80</v>
      </c>
      <c r="N31" s="139" t="s">
        <v>162</v>
      </c>
      <c r="O31" s="137" t="str">
        <f t="shared" ca="1" si="15"/>
        <v>Coffee break (salgados)</v>
      </c>
      <c r="P31" s="138" t="str">
        <f t="shared" ca="1" si="9"/>
        <v>Centro</v>
      </c>
      <c r="Q31" s="134">
        <v>15</v>
      </c>
      <c r="R31" s="124">
        <f t="shared" ca="1" si="10"/>
        <v>65</v>
      </c>
      <c r="S31" s="136" t="s">
        <v>62</v>
      </c>
      <c r="T31" s="123">
        <f t="shared" ca="1" si="11"/>
        <v>81.25</v>
      </c>
      <c r="U31" s="126">
        <f t="shared" ca="1" si="12"/>
        <v>1218.75</v>
      </c>
      <c r="V31" s="1"/>
      <c r="W31" s="39" t="str">
        <f ca="1">IF(OR($A31=0,$A31="S",$A31&gt;CFF!$A$9),"",MAX(W$11:OFFSET(W31,-1,0))+1)</f>
        <v/>
      </c>
      <c r="X31" s="4" t="str">
        <f t="shared" si="13"/>
        <v>Serv. Terc.-015</v>
      </c>
      <c r="Y31" s="39">
        <f t="shared" ca="1" si="14"/>
        <v>95</v>
      </c>
      <c r="Z31" s="1"/>
      <c r="AA31" s="133">
        <f>IF($J31=$G$2,ROUND(IF(ISNUMBER(S31),S31,IF(LEFT(S31,2)="DI",HLOOKUP(S31,DADOS!$T$29:$X$30,2,FALSE),0)),4),"")</f>
        <v>0.25</v>
      </c>
      <c r="AB31" s="2"/>
    </row>
    <row r="32" spans="1:28">
      <c r="A32" t="str">
        <f t="shared" si="0"/>
        <v>S</v>
      </c>
      <c r="B32">
        <f t="shared" si="1"/>
        <v>0</v>
      </c>
      <c r="C32">
        <f t="shared" ca="1" si="2"/>
        <v>1</v>
      </c>
      <c r="D32">
        <f t="shared" ca="1" si="3"/>
        <v>1</v>
      </c>
      <c r="E32">
        <f t="shared" ca="1" si="4"/>
        <v>0</v>
      </c>
      <c r="F32">
        <f t="shared" ca="1" si="5"/>
        <v>0</v>
      </c>
      <c r="G32">
        <f t="shared" ca="1" si="6"/>
        <v>19</v>
      </c>
      <c r="H32">
        <f ca="1">IF(OR($A32="S",$A32=0),0,MATCH(0,OFFSET($B32,1,$A32,ROW($A$1504)-ROW($A32)),0))</f>
        <v>0</v>
      </c>
      <c r="I32">
        <f ca="1">IF(OR($A32="S",$A32=0),0,MATCH(OFFSET($B32,0,$A32)+1,OFFSET($B32,1,$A32,ROW($A$1504)-ROW($A32)),0))</f>
        <v>0</v>
      </c>
      <c r="J32" s="132" t="s">
        <v>29</v>
      </c>
      <c r="K32" s="121" t="str">
        <f t="shared" ca="1" si="7"/>
        <v>1.1.19.</v>
      </c>
      <c r="L32" s="137" t="str">
        <f t="shared" ca="1" si="8"/>
        <v>Cotação</v>
      </c>
      <c r="M32" s="122" t="s">
        <v>79</v>
      </c>
      <c r="N32" s="139" t="s">
        <v>149</v>
      </c>
      <c r="O32" s="137" t="str">
        <f t="shared" ca="1" si="15"/>
        <v>Papel A4</v>
      </c>
      <c r="P32" s="138" t="str">
        <f t="shared" ca="1" si="9"/>
        <v>Resma</v>
      </c>
      <c r="Q32" s="134">
        <v>1</v>
      </c>
      <c r="R32" s="124">
        <f t="shared" ca="1" si="10"/>
        <v>28</v>
      </c>
      <c r="S32" s="136" t="s">
        <v>62</v>
      </c>
      <c r="T32" s="123">
        <f t="shared" ca="1" si="11"/>
        <v>35</v>
      </c>
      <c r="U32" s="126">
        <f t="shared" ca="1" si="12"/>
        <v>35</v>
      </c>
      <c r="V32" s="1"/>
      <c r="W32" s="39" t="str">
        <f ca="1">IF(OR($A32=0,$A32="S",$A32&gt;CFF!$A$9),"",MAX(W$11:OFFSET(W32,-1,0))+1)</f>
        <v/>
      </c>
      <c r="X32" s="4" t="str">
        <f t="shared" si="13"/>
        <v>Rec. Materiais-001</v>
      </c>
      <c r="Y32" s="39">
        <f t="shared" ca="1" si="14"/>
        <v>10</v>
      </c>
      <c r="Z32" s="1"/>
      <c r="AA32" s="133">
        <f>IF($J32=$G$2,ROUND(IF(ISNUMBER(S32),S32,IF(LEFT(S32,2)="DI",HLOOKUP(S32,DADOS!$T$29:$X$30,2,FALSE),0)),4),"")</f>
        <v>0.25</v>
      </c>
      <c r="AB32" s="2"/>
    </row>
    <row r="33" spans="1:28">
      <c r="A33" t="str">
        <f>CHOOSE(1+LOG(1+2*(J33=$C$2)+4*(J33=$D$2)+8*(J33=$E$2)+16*(J33=$F$2)+32*(J33=$G$2),2),0,1,2,3,4,"S")</f>
        <v>S</v>
      </c>
      <c r="B33">
        <f>IF(OR(A33="S",A33=0),0,IF(ISERROR(I33),H33,SMALL(H33:I33,1)))</f>
        <v>0</v>
      </c>
      <c r="C33">
        <f ca="1">IF($A33=1,OFFSET(C33,-1,0)+1,OFFSET(C33,-1,0))</f>
        <v>1</v>
      </c>
      <c r="D33">
        <f ca="1">IF($A33=1,0,IF($A33=2,OFFSET(D33,-1,0)+1,OFFSET(D33,-1,0)))</f>
        <v>1</v>
      </c>
      <c r="E33">
        <f ca="1">IF(AND($A33&lt;=2,$A33&lt;&gt;0),0,IF($A33=3,OFFSET(E33,-1,0)+1,OFFSET(E33,-1,0)))</f>
        <v>0</v>
      </c>
      <c r="F33">
        <f ca="1">IF(AND($A33&lt;=3,$A33&lt;&gt;0),0,IF($A33=4,OFFSET(F33,-1,0)+1,OFFSET(F33,-1,0)))</f>
        <v>0</v>
      </c>
      <c r="G33">
        <f ca="1">IF(AND($A33&lt;=4,$A33&lt;&gt;0),0,IF($A33="S",OFFSET(G33,-1,0)+1,OFFSET(G33,-1,0)))</f>
        <v>20</v>
      </c>
      <c r="H33">
        <f ca="1">IF(OR($A33="S",$A33=0),0,MATCH(0,OFFSET($B33,1,$A33,ROW($A$1504)-ROW($A33)),0))</f>
        <v>0</v>
      </c>
      <c r="I33">
        <f ca="1">IF(OR($A33="S",$A33=0),0,MATCH(OFFSET($B33,0,$A33)+1,OFFSET($B33,1,$A33,ROW($A$1504)-ROW($A33)),0))</f>
        <v>0</v>
      </c>
      <c r="J33" s="132" t="s">
        <v>29</v>
      </c>
      <c r="K33" s="121" t="str">
        <f ca="1">IF($A33=0,"-",CONCATENATE(C33&amp;".",IF(AND($A$5&gt;=2,$A33&gt;=2),D33&amp;".",""),IF(AND($A$5&gt;=3,$A33&gt;=3),E33&amp;".",""),IF(AND($A$5&gt;=4,$A33&gt;=4),F33&amp;".",""),IF($A33="S",G33&amp;".","")))</f>
        <v>1.1.20.</v>
      </c>
      <c r="L33" s="137" t="str">
        <f ca="1">IF(NOT(ISERROR($Y33)),IF($Y33&lt;&gt;FALSE,INDEX(Banco,$Y33,4),""),"")</f>
        <v>Cotação</v>
      </c>
      <c r="M33" s="122" t="s">
        <v>79</v>
      </c>
      <c r="N33" s="139" t="s">
        <v>159</v>
      </c>
      <c r="O33" s="137" t="str">
        <f ca="1">IF(NOT(ISERROR($Y33)),IF($Y33&lt;&gt;FALSE,INDEX(Banco,$Y33,5),""),"")</f>
        <v>Clips galvanizado</v>
      </c>
      <c r="P33" s="138" t="str">
        <f ca="1">IF(NOT(ISERROR($Y33)),IF($Y33&lt;&gt;FALSE,INDEX(Banco,$Y33,6),""),"")</f>
        <v xml:space="preserve">Caixa </v>
      </c>
      <c r="Q33" s="134">
        <v>1</v>
      </c>
      <c r="R33" s="124">
        <f ca="1">IF(NOT(ISERROR($Y33)),IF($Y33&lt;&gt;FALSE,INDEX(Banco,$Y33,7),0),0)</f>
        <v>6.62</v>
      </c>
      <c r="S33" s="136" t="s">
        <v>62</v>
      </c>
      <c r="T33" s="123">
        <f ca="1">IF($J33=$G$2,ROUND(ROUND($R33,2)*IF($R$9="Preço Unitário (R$)",1,1+$AA33),2),0)</f>
        <v>8.2799999999999994</v>
      </c>
      <c r="U33" s="126">
        <f ca="1">IF($A33="S",VTOTAL1,IF($A33=0,0,ROUND(SomaAgrup,2)))</f>
        <v>8.2799999999999994</v>
      </c>
      <c r="V33" s="1"/>
      <c r="W33" s="39" t="str">
        <f ca="1">IF(OR($A33=0,$A33="S",$A33&gt;CFF!$A$9),"",MAX(W$11:OFFSET(W33,-1,0))+1)</f>
        <v/>
      </c>
      <c r="X33" s="4" t="str">
        <f>IF(AND($J33=$G$2,$N33&lt;&gt;"",$M33&lt;&gt;""),CONCATENATE($M33,"-",$N33))</f>
        <v>Rec. Materiais-010</v>
      </c>
      <c r="Y33" s="39">
        <f ca="1">IF(X33&lt;&gt;FALSE,MATCH(X33,OFFSET(Banco,0,0,,1),0))</f>
        <v>19</v>
      </c>
      <c r="Z33" s="1"/>
      <c r="AA33" s="133">
        <f>IF($J33=$G$2,ROUND(IF(ISNUMBER(S33),S33,IF(LEFT(S33,2)="DI",HLOOKUP(S33,DADOS!$T$29:$X$30,2,FALSE),0)),4),"")</f>
        <v>0.25</v>
      </c>
      <c r="AB33" s="2"/>
    </row>
    <row r="34" spans="1:28">
      <c r="A34" t="str">
        <f>CHOOSE(1+LOG(1+2*(J34=$C$2)+4*(J34=$D$2)+8*(J34=$E$2)+16*(J34=$F$2)+32*(J34=$G$2),2),0,1,2,3,4,"S")</f>
        <v>S</v>
      </c>
      <c r="B34">
        <f>IF(OR(A34="S",A34=0),0,IF(ISERROR(I34),H34,SMALL(H34:I34,1)))</f>
        <v>0</v>
      </c>
      <c r="C34">
        <f ca="1">IF($A34=1,OFFSET(C34,-1,0)+1,OFFSET(C34,-1,0))</f>
        <v>1</v>
      </c>
      <c r="D34">
        <f ca="1">IF($A34=1,0,IF($A34=2,OFFSET(D34,-1,0)+1,OFFSET(D34,-1,0)))</f>
        <v>1</v>
      </c>
      <c r="E34">
        <f ca="1">IF(AND($A34&lt;=2,$A34&lt;&gt;0),0,IF($A34=3,OFFSET(E34,-1,0)+1,OFFSET(E34,-1,0)))</f>
        <v>0</v>
      </c>
      <c r="F34">
        <f ca="1">IF(AND($A34&lt;=3,$A34&lt;&gt;0),0,IF($A34=4,OFFSET(F34,-1,0)+1,OFFSET(F34,-1,0)))</f>
        <v>0</v>
      </c>
      <c r="G34">
        <f ca="1">IF(AND($A34&lt;=4,$A34&lt;&gt;0),0,IF($A34="S",OFFSET(G34,-1,0)+1,OFFSET(G34,-1,0)))</f>
        <v>21</v>
      </c>
      <c r="H34">
        <f ca="1">IF(OR($A34="S",$A34=0),0,MATCH(0,OFFSET($B34,1,$A34,ROW($A$1504)-ROW($A34)),0))</f>
        <v>0</v>
      </c>
      <c r="I34">
        <f ca="1">IF(OR($A34="S",$A34=0),0,MATCH(OFFSET($B34,0,$A34)+1,OFFSET($B34,1,$A34,ROW($A$1504)-ROW($A34)),0))</f>
        <v>0</v>
      </c>
      <c r="J34" s="132" t="s">
        <v>29</v>
      </c>
      <c r="K34" s="121" t="str">
        <f ca="1">IF($A34=0,"-",CONCATENATE(C34&amp;".",IF(AND($A$5&gt;=2,$A34&gt;=2),D34&amp;".",""),IF(AND($A$5&gt;=3,$A34&gt;=3),E34&amp;".",""),IF(AND($A$5&gt;=4,$A34&gt;=4),F34&amp;".",""),IF($A34="S",G34&amp;".","")))</f>
        <v>1.1.21.</v>
      </c>
      <c r="L34" s="137" t="str">
        <f ca="1">IF(NOT(ISERROR($Y34)),IF($Y34&lt;&gt;FALSE,INDEX(Banco,$Y34,4),""),"")</f>
        <v>Cotação</v>
      </c>
      <c r="M34" s="122" t="s">
        <v>79</v>
      </c>
      <c r="N34" s="139" t="s">
        <v>321</v>
      </c>
      <c r="O34" s="137" t="str">
        <f ca="1">IF(NOT(ISERROR($Y34)),IF($Y34&lt;&gt;FALSE,INDEX(Banco,$Y34,5),""),"")</f>
        <v>Corretivo líquido a base de água 18ml</v>
      </c>
      <c r="P34" s="138" t="str">
        <f ca="1">IF(NOT(ISERROR($Y34)),IF($Y34&lt;&gt;FALSE,INDEX(Banco,$Y34,6),""),"")</f>
        <v>Unidade</v>
      </c>
      <c r="Q34" s="134">
        <v>2</v>
      </c>
      <c r="R34" s="124">
        <f ca="1">IF(NOT(ISERROR($Y34)),IF($Y34&lt;&gt;FALSE,INDEX(Banco,$Y34,7),0),0)</f>
        <v>2.62</v>
      </c>
      <c r="S34" s="136" t="s">
        <v>62</v>
      </c>
      <c r="T34" s="123">
        <f ca="1">IF($J34=$G$2,ROUND(ROUND($R34,2)*IF($R$9="Preço Unitário (R$)",1,1+$AA34),2),0)</f>
        <v>3.28</v>
      </c>
      <c r="U34" s="126">
        <f ca="1">IF($A34="S",VTOTAL1,IF($A34=0,0,ROUND(SomaAgrup,2)))</f>
        <v>6.56</v>
      </c>
      <c r="V34" s="1"/>
      <c r="W34" s="39" t="str">
        <f ca="1">IF(OR($A34=0,$A34="S",$A34&gt;CFF!$A$9),"",MAX(W$11:OFFSET(W34,-1,0))+1)</f>
        <v/>
      </c>
      <c r="X34" s="4" t="str">
        <f>IF(AND($J34=$G$2,$N34&lt;&gt;"",$M34&lt;&gt;""),CONCATENATE($M34,"-",$N34))</f>
        <v>Rec. Materiais-031</v>
      </c>
      <c r="Y34" s="39">
        <f ca="1">IF(X34&lt;&gt;FALSE,MATCH(X34,OFFSET(Banco,0,0,,1),0))</f>
        <v>40</v>
      </c>
      <c r="Z34" s="1"/>
      <c r="AA34" s="133">
        <f>IF($J34=$G$2,ROUND(IF(ISNUMBER(S34),S34,IF(LEFT(S34,2)="DI",HLOOKUP(S34,DADOS!$T$29:$X$30,2,FALSE),0)),4),"")</f>
        <v>0.25</v>
      </c>
      <c r="AB34" s="2"/>
    </row>
    <row r="35" spans="1:28">
      <c r="A35" t="str">
        <f t="shared" si="0"/>
        <v>S</v>
      </c>
      <c r="B35">
        <f t="shared" si="1"/>
        <v>0</v>
      </c>
      <c r="C35">
        <f t="shared" ca="1" si="2"/>
        <v>1</v>
      </c>
      <c r="D35">
        <f t="shared" ca="1" si="3"/>
        <v>1</v>
      </c>
      <c r="E35">
        <f t="shared" ca="1" si="4"/>
        <v>0</v>
      </c>
      <c r="F35">
        <f t="shared" ca="1" si="5"/>
        <v>0</v>
      </c>
      <c r="G35">
        <f t="shared" ca="1" si="6"/>
        <v>22</v>
      </c>
      <c r="H35">
        <f ca="1">IF(OR($A35="S",$A35=0),0,MATCH(0,OFFSET($B35,1,$A35,ROW($A$1504)-ROW($A35)),0))</f>
        <v>0</v>
      </c>
      <c r="I35">
        <f ca="1">IF(OR($A35="S",$A35=0),0,MATCH(OFFSET($B35,0,$A35)+1,OFFSET($B35,1,$A35,ROW($A$1504)-ROW($A35)),0))</f>
        <v>0</v>
      </c>
      <c r="J35" s="132" t="s">
        <v>29</v>
      </c>
      <c r="K35" s="121" t="str">
        <f t="shared" ca="1" si="7"/>
        <v>1.1.22.</v>
      </c>
      <c r="L35" s="137" t="str">
        <f t="shared" ca="1" si="8"/>
        <v>Cotação</v>
      </c>
      <c r="M35" s="122" t="s">
        <v>79</v>
      </c>
      <c r="N35" s="139" t="s">
        <v>152</v>
      </c>
      <c r="O35" s="137" t="str">
        <f t="shared" ca="1" si="15"/>
        <v>Toner para impressora</v>
      </c>
      <c r="P35" s="138" t="str">
        <f t="shared" ca="1" si="9"/>
        <v>Unidade</v>
      </c>
      <c r="Q35" s="134">
        <v>4</v>
      </c>
      <c r="R35" s="124">
        <f t="shared" ca="1" si="10"/>
        <v>180</v>
      </c>
      <c r="S35" s="136" t="s">
        <v>62</v>
      </c>
      <c r="T35" s="123">
        <f t="shared" ca="1" si="11"/>
        <v>225</v>
      </c>
      <c r="U35" s="126">
        <f t="shared" ca="1" si="12"/>
        <v>900</v>
      </c>
      <c r="V35" s="1"/>
      <c r="W35" s="39" t="str">
        <f ca="1">IF(OR($A35=0,$A35="S",$A35&gt;CFF!$A$9),"",MAX(W$11:OFFSET(W35,-1,0))+1)</f>
        <v/>
      </c>
      <c r="X35" s="4" t="str">
        <f t="shared" si="13"/>
        <v>Rec. Materiais-002</v>
      </c>
      <c r="Y35" s="39">
        <f t="shared" ca="1" si="14"/>
        <v>11</v>
      </c>
      <c r="Z35" s="1"/>
      <c r="AA35" s="133">
        <f>IF($J35=$G$2,ROUND(IF(ISNUMBER(S35),S35,IF(LEFT(S35,2)="DI",HLOOKUP(S35,DADOS!$T$29:$X$30,2,FALSE),0)),4),"")</f>
        <v>0.25</v>
      </c>
      <c r="AB35" s="2"/>
    </row>
    <row r="36" spans="1:28">
      <c r="A36" t="str">
        <f t="shared" si="0"/>
        <v>S</v>
      </c>
      <c r="B36">
        <f t="shared" si="1"/>
        <v>0</v>
      </c>
      <c r="C36">
        <f t="shared" ca="1" si="2"/>
        <v>1</v>
      </c>
      <c r="D36">
        <f t="shared" ca="1" si="3"/>
        <v>1</v>
      </c>
      <c r="E36">
        <f t="shared" ca="1" si="4"/>
        <v>0</v>
      </c>
      <c r="F36">
        <f t="shared" ca="1" si="5"/>
        <v>0</v>
      </c>
      <c r="G36">
        <f t="shared" ca="1" si="6"/>
        <v>23</v>
      </c>
      <c r="H36">
        <f ca="1">IF(OR($A36="S",$A36=0),0,MATCH(0,OFFSET($B36,1,$A36,ROW($A$1504)-ROW($A36)),0))</f>
        <v>0</v>
      </c>
      <c r="I36">
        <f ca="1">IF(OR($A36="S",$A36=0),0,MATCH(OFFSET($B36,0,$A36)+1,OFFSET($B36,1,$A36,ROW($A$1504)-ROW($A36)),0))</f>
        <v>0</v>
      </c>
      <c r="J36" s="132" t="s">
        <v>29</v>
      </c>
      <c r="K36" s="121" t="str">
        <f t="shared" ca="1" si="7"/>
        <v>1.1.23.</v>
      </c>
      <c r="L36" s="137" t="str">
        <f t="shared" ca="1" si="8"/>
        <v>Cotação</v>
      </c>
      <c r="M36" s="122" t="s">
        <v>79</v>
      </c>
      <c r="N36" s="139" t="s">
        <v>151</v>
      </c>
      <c r="O36" s="137" t="str">
        <f t="shared" ca="1" si="15"/>
        <v>Canetas esferográficas azul</v>
      </c>
      <c r="P36" s="138" t="str">
        <f t="shared" ca="1" si="9"/>
        <v>Caixa</v>
      </c>
      <c r="Q36" s="134">
        <v>1</v>
      </c>
      <c r="R36" s="124">
        <f t="shared" ca="1" si="10"/>
        <v>45</v>
      </c>
      <c r="S36" s="136" t="s">
        <v>62</v>
      </c>
      <c r="T36" s="123">
        <f t="shared" ca="1" si="11"/>
        <v>56.25</v>
      </c>
      <c r="U36" s="126">
        <f t="shared" ca="1" si="12"/>
        <v>56.25</v>
      </c>
      <c r="V36" s="1"/>
      <c r="W36" s="39" t="str">
        <f ca="1">IF(OR($A36=0,$A36="S",$A36&gt;CFF!$A$9),"",MAX(W$11:OFFSET(W36,-1,0))+1)</f>
        <v/>
      </c>
      <c r="X36" s="4" t="str">
        <f t="shared" si="13"/>
        <v>Rec. Materiais-003</v>
      </c>
      <c r="Y36" s="39">
        <f t="shared" ca="1" si="14"/>
        <v>12</v>
      </c>
      <c r="Z36" s="1"/>
      <c r="AA36" s="133">
        <f>IF($J36=$G$2,ROUND(IF(ISNUMBER(S36),S36,IF(LEFT(S36,2)="DI",HLOOKUP(S36,DADOS!$T$29:$X$30,2,FALSE),0)),4),"")</f>
        <v>0.25</v>
      </c>
      <c r="AB36" s="2"/>
    </row>
    <row r="37" spans="1:28">
      <c r="A37" t="str">
        <f t="shared" si="0"/>
        <v>S</v>
      </c>
      <c r="B37">
        <f t="shared" si="1"/>
        <v>0</v>
      </c>
      <c r="C37">
        <f t="shared" ca="1" si="2"/>
        <v>1</v>
      </c>
      <c r="D37">
        <f t="shared" ca="1" si="3"/>
        <v>1</v>
      </c>
      <c r="E37">
        <f t="shared" ca="1" si="4"/>
        <v>0</v>
      </c>
      <c r="F37">
        <f t="shared" ca="1" si="5"/>
        <v>0</v>
      </c>
      <c r="G37">
        <f t="shared" ca="1" si="6"/>
        <v>24</v>
      </c>
      <c r="H37">
        <f ca="1">IF(OR($A37="S",$A37=0),0,MATCH(0,OFFSET($B37,1,$A37,ROW($A$1504)-ROW($A37)),0))</f>
        <v>0</v>
      </c>
      <c r="I37">
        <f ca="1">IF(OR($A37="S",$A37=0),0,MATCH(OFFSET($B37,0,$A37)+1,OFFSET($B37,1,$A37,ROW($A$1504)-ROW($A37)),0))</f>
        <v>0</v>
      </c>
      <c r="J37" s="132" t="s">
        <v>29</v>
      </c>
      <c r="K37" s="121" t="str">
        <f t="shared" ca="1" si="7"/>
        <v>1.1.24.</v>
      </c>
      <c r="L37" s="137" t="str">
        <f t="shared" ca="1" si="8"/>
        <v>Cotação</v>
      </c>
      <c r="M37" s="122" t="s">
        <v>79</v>
      </c>
      <c r="N37" s="139" t="s">
        <v>153</v>
      </c>
      <c r="O37" s="137" t="str">
        <f t="shared" ca="1" si="15"/>
        <v>Lápis de cor</v>
      </c>
      <c r="P37" s="138" t="str">
        <f t="shared" ca="1" si="9"/>
        <v>Caixa</v>
      </c>
      <c r="Q37" s="134">
        <v>20</v>
      </c>
      <c r="R37" s="124">
        <f t="shared" ca="1" si="10"/>
        <v>13.45</v>
      </c>
      <c r="S37" s="136" t="s">
        <v>62</v>
      </c>
      <c r="T37" s="123">
        <f t="shared" ca="1" si="11"/>
        <v>16.809999999999999</v>
      </c>
      <c r="U37" s="126">
        <f t="shared" ca="1" si="12"/>
        <v>336.2</v>
      </c>
      <c r="V37" s="1"/>
      <c r="W37" s="39" t="str">
        <f ca="1">IF(OR($A37=0,$A37="S",$A37&gt;CFF!$A$9),"",MAX(W$11:OFFSET(W37,-1,0))+1)</f>
        <v/>
      </c>
      <c r="X37" s="4" t="str">
        <f t="shared" si="13"/>
        <v>Rec. Materiais-004</v>
      </c>
      <c r="Y37" s="39">
        <f t="shared" ca="1" si="14"/>
        <v>13</v>
      </c>
      <c r="Z37" s="1"/>
      <c r="AA37" s="133">
        <f>IF($J37=$G$2,ROUND(IF(ISNUMBER(S37),S37,IF(LEFT(S37,2)="DI",HLOOKUP(S37,DADOS!$T$29:$X$30,2,FALSE),0)),4),"")</f>
        <v>0.25</v>
      </c>
      <c r="AB37" s="2"/>
    </row>
    <row r="38" spans="1:28">
      <c r="A38" t="str">
        <f>CHOOSE(1+LOG(1+2*(J38=$C$2)+4*(J38=$D$2)+8*(J38=$E$2)+16*(J38=$F$2)+32*(J38=$G$2),2),0,1,2,3,4,"S")</f>
        <v>S</v>
      </c>
      <c r="B38">
        <f>IF(OR(A38="S",A38=0),0,IF(ISERROR(I38),H38,SMALL(H38:I38,1)))</f>
        <v>0</v>
      </c>
      <c r="C38">
        <f ca="1">IF($A38=1,OFFSET(C38,-1,0)+1,OFFSET(C38,-1,0))</f>
        <v>1</v>
      </c>
      <c r="D38">
        <f ca="1">IF($A38=1,0,IF($A38=2,OFFSET(D38,-1,0)+1,OFFSET(D38,-1,0)))</f>
        <v>1</v>
      </c>
      <c r="E38">
        <f ca="1">IF(AND($A38&lt;=2,$A38&lt;&gt;0),0,IF($A38=3,OFFSET(E38,-1,0)+1,OFFSET(E38,-1,0)))</f>
        <v>0</v>
      </c>
      <c r="F38">
        <f ca="1">IF(AND($A38&lt;=3,$A38&lt;&gt;0),0,IF($A38=4,OFFSET(F38,-1,0)+1,OFFSET(F38,-1,0)))</f>
        <v>0</v>
      </c>
      <c r="G38">
        <f ca="1">IF(AND($A38&lt;=4,$A38&lt;&gt;0),0,IF($A38="S",OFFSET(G38,-1,0)+1,OFFSET(G38,-1,0)))</f>
        <v>25</v>
      </c>
      <c r="H38">
        <f ca="1">IF(OR($A38="S",$A38=0),0,MATCH(0,OFFSET($B38,1,$A38,ROW($A$1504)-ROW($A38)),0))</f>
        <v>0</v>
      </c>
      <c r="I38">
        <f ca="1">IF(OR($A38="S",$A38=0),0,MATCH(OFFSET($B38,0,$A38)+1,OFFSET($B38,1,$A38,ROW($A$1504)-ROW($A38)),0))</f>
        <v>0</v>
      </c>
      <c r="J38" s="132" t="s">
        <v>29</v>
      </c>
      <c r="K38" s="121" t="str">
        <f ca="1">IF($A38=0,"-",CONCATENATE(C38&amp;".",IF(AND($A$5&gt;=2,$A38&gt;=2),D38&amp;".",""),IF(AND($A$5&gt;=3,$A38&gt;=3),E38&amp;".",""),IF(AND($A$5&gt;=4,$A38&gt;=4),F38&amp;".",""),IF($A38="S",G38&amp;".","")))</f>
        <v>1.1.25.</v>
      </c>
      <c r="L38" s="137" t="str">
        <f ca="1">IF(NOT(ISERROR($Y38)),IF($Y38&lt;&gt;FALSE,INDEX(Banco,$Y38,4),""),"")</f>
        <v>Cotação</v>
      </c>
      <c r="M38" s="122" t="s">
        <v>79</v>
      </c>
      <c r="N38" s="139" t="s">
        <v>157</v>
      </c>
      <c r="O38" s="137" t="str">
        <f ca="1">IF(NOT(ISERROR($Y38)),IF($Y38&lt;&gt;FALSE,INDEX(Banco,$Y38,5),""),"")</f>
        <v>Massa de modelar</v>
      </c>
      <c r="P38" s="138" t="str">
        <f ca="1">IF(NOT(ISERROR($Y38)),IF($Y38&lt;&gt;FALSE,INDEX(Banco,$Y38,6),""),"")</f>
        <v>Unidade</v>
      </c>
      <c r="Q38" s="134">
        <v>40</v>
      </c>
      <c r="R38" s="124">
        <f ca="1">IF(NOT(ISERROR($Y38)),IF($Y38&lt;&gt;FALSE,INDEX(Banco,$Y38,7),0),0)</f>
        <v>5.2</v>
      </c>
      <c r="S38" s="136" t="s">
        <v>62</v>
      </c>
      <c r="T38" s="123">
        <f ca="1">IF($J38=$G$2,ROUND(ROUND($R38,2)*IF($R$9="Preço Unitário (R$)",1,1+$AA38),2),0)</f>
        <v>6.5</v>
      </c>
      <c r="U38" s="126">
        <f ca="1">IF($A38="S",VTOTAL1,IF($A38=0,0,ROUND(SomaAgrup,2)))</f>
        <v>260</v>
      </c>
      <c r="V38" s="1"/>
      <c r="W38" s="39" t="str">
        <f ca="1">IF(OR($A38=0,$A38="S",$A38&gt;CFF!$A$9),"",MAX(W$11:OFFSET(W38,-1,0))+1)</f>
        <v/>
      </c>
      <c r="X38" s="4" t="str">
        <f>IF(AND($J38=$G$2,$N38&lt;&gt;"",$M38&lt;&gt;""),CONCATENATE($M38,"-",$N38))</f>
        <v>Rec. Materiais-008</v>
      </c>
      <c r="Y38" s="39">
        <f ca="1">IF(X38&lt;&gt;FALSE,MATCH(X38,OFFSET(Banco,0,0,,1),0))</f>
        <v>17</v>
      </c>
      <c r="Z38" s="1"/>
      <c r="AA38" s="133">
        <f>IF($J38=$G$2,ROUND(IF(ISNUMBER(S38),S38,IF(LEFT(S38,2)="DI",HLOOKUP(S38,DADOS!$T$29:$X$30,2,FALSE),0)),4),"")</f>
        <v>0.25</v>
      </c>
      <c r="AB38" s="2"/>
    </row>
    <row r="39" spans="1:28">
      <c r="A39" t="str">
        <f>CHOOSE(1+LOG(1+2*(J39=$C$2)+4*(J39=$D$2)+8*(J39=$E$2)+16*(J39=$F$2)+32*(J39=$G$2),2),0,1,2,3,4,"S")</f>
        <v>S</v>
      </c>
      <c r="B39">
        <f>IF(OR(A39="S",A39=0),0,IF(ISERROR(I39),H39,SMALL(H39:I39,1)))</f>
        <v>0</v>
      </c>
      <c r="C39">
        <f ca="1">IF($A39=1,OFFSET(C39,-1,0)+1,OFFSET(C39,-1,0))</f>
        <v>1</v>
      </c>
      <c r="D39">
        <f ca="1">IF($A39=1,0,IF($A39=2,OFFSET(D39,-1,0)+1,OFFSET(D39,-1,0)))</f>
        <v>1</v>
      </c>
      <c r="E39">
        <f ca="1">IF(AND($A39&lt;=2,$A39&lt;&gt;0),0,IF($A39=3,OFFSET(E39,-1,0)+1,OFFSET(E39,-1,0)))</f>
        <v>0</v>
      </c>
      <c r="F39">
        <f ca="1">IF(AND($A39&lt;=3,$A39&lt;&gt;0),0,IF($A39=4,OFFSET(F39,-1,0)+1,OFFSET(F39,-1,0)))</f>
        <v>0</v>
      </c>
      <c r="G39">
        <f ca="1">IF(AND($A39&lt;=4,$A39&lt;&gt;0),0,IF($A39="S",OFFSET(G39,-1,0)+1,OFFSET(G39,-1,0)))</f>
        <v>26</v>
      </c>
      <c r="H39">
        <f ca="1">IF(OR($A39="S",$A39=0),0,MATCH(0,OFFSET($B39,1,$A39,ROW($A$1504)-ROW($A39)),0))</f>
        <v>0</v>
      </c>
      <c r="I39">
        <f ca="1">IF(OR($A39="S",$A39=0),0,MATCH(OFFSET($B39,0,$A39)+1,OFFSET($B39,1,$A39,ROW($A$1504)-ROW($A39)),0))</f>
        <v>0</v>
      </c>
      <c r="J39" s="132" t="s">
        <v>29</v>
      </c>
      <c r="K39" s="121" t="str">
        <f ca="1">IF($A39=0,"-",CONCATENATE(C39&amp;".",IF(AND($A$5&gt;=2,$A39&gt;=2),D39&amp;".",""),IF(AND($A$5&gt;=3,$A39&gt;=3),E39&amp;".",""),IF(AND($A$5&gt;=4,$A39&gt;=4),F39&amp;".",""),IF($A39="S",G39&amp;".","")))</f>
        <v>1.1.26.</v>
      </c>
      <c r="L39" s="137" t="str">
        <f ca="1">IF(NOT(ISERROR($Y39)),IF($Y39&lt;&gt;FALSE,INDEX(Banco,$Y39,4),""),"")</f>
        <v>Cotação</v>
      </c>
      <c r="M39" s="122" t="s">
        <v>79</v>
      </c>
      <c r="N39" s="139" t="s">
        <v>166</v>
      </c>
      <c r="O39" s="137" t="str">
        <f ca="1">IF(NOT(ISERROR($Y39)),IF($Y39&lt;&gt;FALSE,INDEX(Banco,$Y39,5),""),"")</f>
        <v>Balão redondo</v>
      </c>
      <c r="P39" s="138" t="str">
        <f ca="1">IF(NOT(ISERROR($Y39)),IF($Y39&lt;&gt;FALSE,INDEX(Banco,$Y39,6),""),"")</f>
        <v>Unidade</v>
      </c>
      <c r="Q39" s="134">
        <v>60</v>
      </c>
      <c r="R39" s="124">
        <f ca="1">IF(NOT(ISERROR($Y39)),IF($Y39&lt;&gt;FALSE,INDEX(Banco,$Y39,7),0),0)</f>
        <v>9</v>
      </c>
      <c r="S39" s="136" t="s">
        <v>62</v>
      </c>
      <c r="T39" s="123">
        <f ca="1">IF($J39=$G$2,ROUND(ROUND($R39,2)*IF($R$9="Preço Unitário (R$)",1,1+$AA39),2),0)</f>
        <v>11.25</v>
      </c>
      <c r="U39" s="126">
        <f ca="1">IF($A39="S",VTOTAL1,IF($A39=0,0,ROUND(SomaAgrup,2)))</f>
        <v>675</v>
      </c>
      <c r="V39" s="1"/>
      <c r="W39" s="39" t="str">
        <f ca="1">IF(OR($A39=0,$A39="S",$A39&gt;CFF!$A$9),"",MAX(W$11:OFFSET(W39,-1,0))+1)</f>
        <v/>
      </c>
      <c r="X39" s="4" t="str">
        <f>IF(AND($J39=$G$2,$N39&lt;&gt;"",$M39&lt;&gt;""),CONCATENATE($M39,"-",$N39))</f>
        <v>Rec. Materiais-022</v>
      </c>
      <c r="Y39" s="39">
        <f ca="1">IF(X39&lt;&gt;FALSE,MATCH(X39,OFFSET(Banco,0,0,,1),0))</f>
        <v>31</v>
      </c>
      <c r="Z39" s="1"/>
      <c r="AA39" s="133">
        <f>IF($J39=$G$2,ROUND(IF(ISNUMBER(S39),S39,IF(LEFT(S39,2)="DI",HLOOKUP(S39,DADOS!$T$29:$X$30,2,FALSE),0)),4),"")</f>
        <v>0.25</v>
      </c>
      <c r="AB39" s="2"/>
    </row>
    <row r="40" spans="1:28">
      <c r="A40" t="str">
        <f>CHOOSE(1+LOG(1+2*(J40=$C$2)+4*(J40=$D$2)+8*(J40=$E$2)+16*(J40=$F$2)+32*(J40=$G$2),2),0,1,2,3,4,"S")</f>
        <v>S</v>
      </c>
      <c r="B40">
        <f>IF(OR(A40="S",A40=0),0,IF(ISERROR(I40),H40,SMALL(H40:I40,1)))</f>
        <v>0</v>
      </c>
      <c r="C40">
        <f ca="1">IF($A40=1,OFFSET(C40,-1,0)+1,OFFSET(C40,-1,0))</f>
        <v>1</v>
      </c>
      <c r="D40">
        <f ca="1">IF($A40=1,0,IF($A40=2,OFFSET(D40,-1,0)+1,OFFSET(D40,-1,0)))</f>
        <v>1</v>
      </c>
      <c r="E40">
        <f ca="1">IF(AND($A40&lt;=2,$A40&lt;&gt;0),0,IF($A40=3,OFFSET(E40,-1,0)+1,OFFSET(E40,-1,0)))</f>
        <v>0</v>
      </c>
      <c r="F40">
        <f ca="1">IF(AND($A40&lt;=3,$A40&lt;&gt;0),0,IF($A40=4,OFFSET(F40,-1,0)+1,OFFSET(F40,-1,0)))</f>
        <v>0</v>
      </c>
      <c r="G40">
        <f ca="1">IF(AND($A40&lt;=4,$A40&lt;&gt;0),0,IF($A40="S",OFFSET(G40,-1,0)+1,OFFSET(G40,-1,0)))</f>
        <v>27</v>
      </c>
      <c r="H40">
        <f ca="1">IF(OR($A40="S",$A40=0),0,MATCH(0,OFFSET($B40,1,$A40,ROW($A$1504)-ROW($A40)),0))</f>
        <v>0</v>
      </c>
      <c r="I40">
        <f ca="1">IF(OR($A40="S",$A40=0),0,MATCH(OFFSET($B40,0,$A40)+1,OFFSET($B40,1,$A40,ROW($A$1504)-ROW($A40)),0))</f>
        <v>0</v>
      </c>
      <c r="J40" s="132" t="s">
        <v>29</v>
      </c>
      <c r="K40" s="121" t="str">
        <f ca="1">IF($A40=0,"-",CONCATENATE(C40&amp;".",IF(AND($A$5&gt;=2,$A40&gt;=2),D40&amp;".",""),IF(AND($A$5&gt;=3,$A40&gt;=3),E40&amp;".",""),IF(AND($A$5&gt;=4,$A40&gt;=4),F40&amp;".",""),IF($A40="S",G40&amp;".","")))</f>
        <v>1.1.27.</v>
      </c>
      <c r="L40" s="137" t="str">
        <f ca="1">IF(NOT(ISERROR($Y40)),IF($Y40&lt;&gt;FALSE,INDEX(Banco,$Y40,4),""),"")</f>
        <v>Cotação</v>
      </c>
      <c r="M40" s="122" t="s">
        <v>79</v>
      </c>
      <c r="N40" s="139" t="s">
        <v>200</v>
      </c>
      <c r="O40" s="137" t="str">
        <f ca="1">IF(NOT(ISERROR($Y40)),IF($Y40&lt;&gt;FALSE,INDEX(Banco,$Y40,5),""),"")</f>
        <v>Crachá</v>
      </c>
      <c r="P40" s="138" t="str">
        <f ca="1">IF(NOT(ISERROR($Y40)),IF($Y40&lt;&gt;FALSE,INDEX(Banco,$Y40,6),""),"")</f>
        <v>Unidade</v>
      </c>
      <c r="Q40" s="134">
        <v>10</v>
      </c>
      <c r="R40" s="124">
        <f ca="1">IF(NOT(ISERROR($Y40)),IF($Y40&lt;&gt;FALSE,INDEX(Banco,$Y40,7),0),0)</f>
        <v>3</v>
      </c>
      <c r="S40" s="136" t="s">
        <v>62</v>
      </c>
      <c r="T40" s="123">
        <f ca="1">IF($J40=$G$2,ROUND(ROUND($R40,2)*IF($R$9="Preço Unitário (R$)",1,1+$AA40),2),0)</f>
        <v>3.75</v>
      </c>
      <c r="U40" s="126">
        <f ca="1">IF($A40="S",VTOTAL1,IF($A40=0,0,ROUND(SomaAgrup,2)))</f>
        <v>37.5</v>
      </c>
      <c r="V40" s="1"/>
      <c r="W40" s="39" t="str">
        <f ca="1">IF(OR($A40=0,$A40="S",$A40&gt;CFF!$A$9),"",MAX(W$11:OFFSET(W40,-1,0))+1)</f>
        <v/>
      </c>
      <c r="X40" s="4" t="str">
        <f>IF(AND($J40=$G$2,$N40&lt;&gt;"",$M40&lt;&gt;""),CONCATENATE($M40,"-",$N40))</f>
        <v>Rec. Materiais-029</v>
      </c>
      <c r="Y40" s="39">
        <f ca="1">IF(X40&lt;&gt;FALSE,MATCH(X40,OFFSET(Banco,0,0,,1),0))</f>
        <v>38</v>
      </c>
      <c r="Z40" s="1"/>
      <c r="AA40" s="133">
        <f>IF($J40=$G$2,ROUND(IF(ISNUMBER(S40),S40,IF(LEFT(S40,2)="DI",HLOOKUP(S40,DADOS!$T$29:$X$30,2,FALSE),0)),4),"")</f>
        <v>0.25</v>
      </c>
      <c r="AB40" s="2"/>
    </row>
    <row r="41" spans="1:28">
      <c r="A41" t="str">
        <f t="shared" si="0"/>
        <v>S</v>
      </c>
      <c r="B41">
        <f t="shared" si="1"/>
        <v>0</v>
      </c>
      <c r="C41">
        <f t="shared" ca="1" si="2"/>
        <v>1</v>
      </c>
      <c r="D41">
        <f t="shared" ca="1" si="3"/>
        <v>1</v>
      </c>
      <c r="E41">
        <f t="shared" ca="1" si="4"/>
        <v>0</v>
      </c>
      <c r="F41">
        <f t="shared" ca="1" si="5"/>
        <v>0</v>
      </c>
      <c r="G41">
        <f t="shared" ca="1" si="6"/>
        <v>28</v>
      </c>
      <c r="H41">
        <f ca="1">IF(OR($A41="S",$A41=0),0,MATCH(0,OFFSET($B41,1,$A41,ROW($A$1504)-ROW($A41)),0))</f>
        <v>0</v>
      </c>
      <c r="I41">
        <f ca="1">IF(OR($A41="S",$A41=0),0,MATCH(OFFSET($B41,0,$A41)+1,OFFSET($B41,1,$A41,ROW($A$1504)-ROW($A41)),0))</f>
        <v>0</v>
      </c>
      <c r="J41" s="132" t="s">
        <v>29</v>
      </c>
      <c r="K41" s="121" t="str">
        <f t="shared" ca="1" si="7"/>
        <v>1.1.28.</v>
      </c>
      <c r="L41" s="137" t="str">
        <f t="shared" ca="1" si="8"/>
        <v>Cotação</v>
      </c>
      <c r="M41" s="122" t="s">
        <v>79</v>
      </c>
      <c r="N41" s="139" t="s">
        <v>154</v>
      </c>
      <c r="O41" s="137" t="str">
        <f t="shared" ca="1" si="15"/>
        <v>Giz de cerra</v>
      </c>
      <c r="P41" s="138" t="str">
        <f t="shared" ca="1" si="9"/>
        <v>Caixa</v>
      </c>
      <c r="Q41" s="134">
        <v>30</v>
      </c>
      <c r="R41" s="124">
        <f t="shared" ca="1" si="10"/>
        <v>7.1</v>
      </c>
      <c r="S41" s="136" t="s">
        <v>62</v>
      </c>
      <c r="T41" s="123">
        <f t="shared" ca="1" si="11"/>
        <v>8.8800000000000008</v>
      </c>
      <c r="U41" s="126">
        <f t="shared" ca="1" si="12"/>
        <v>266.39999999999998</v>
      </c>
      <c r="V41" s="1"/>
      <c r="W41" s="39" t="str">
        <f ca="1">IF(OR($A41=0,$A41="S",$A41&gt;CFF!$A$9),"",MAX(W$11:OFFSET(W41,-1,0))+1)</f>
        <v/>
      </c>
      <c r="X41" s="4" t="str">
        <f t="shared" si="13"/>
        <v>Rec. Materiais-005</v>
      </c>
      <c r="Y41" s="39">
        <f t="shared" ca="1" si="14"/>
        <v>14</v>
      </c>
      <c r="Z41" s="1"/>
      <c r="AA41" s="133">
        <f>IF($J41=$G$2,ROUND(IF(ISNUMBER(S41),S41,IF(LEFT(S41,2)="DI",HLOOKUP(S41,DADOS!$T$29:$X$30,2,FALSE),0)),4),"")</f>
        <v>0.25</v>
      </c>
      <c r="AB41" s="2"/>
    </row>
    <row r="42" spans="1:28">
      <c r="A42" t="str">
        <f t="shared" si="0"/>
        <v>S</v>
      </c>
      <c r="B42">
        <f t="shared" si="1"/>
        <v>0</v>
      </c>
      <c r="C42">
        <f t="shared" ca="1" si="2"/>
        <v>1</v>
      </c>
      <c r="D42">
        <f t="shared" ca="1" si="3"/>
        <v>1</v>
      </c>
      <c r="E42">
        <f t="shared" ca="1" si="4"/>
        <v>0</v>
      </c>
      <c r="F42">
        <f t="shared" ca="1" si="5"/>
        <v>0</v>
      </c>
      <c r="G42">
        <f t="shared" ca="1" si="6"/>
        <v>29</v>
      </c>
      <c r="H42">
        <f ca="1">IF(OR($A42="S",$A42=0),0,MATCH(0,OFFSET($B42,1,$A42,ROW($A$1504)-ROW($A42)),0))</f>
        <v>0</v>
      </c>
      <c r="I42">
        <f ca="1">IF(OR($A42="S",$A42=0),0,MATCH(OFFSET($B42,0,$A42)+1,OFFSET($B42,1,$A42,ROW($A$1504)-ROW($A42)),0))</f>
        <v>0</v>
      </c>
      <c r="J42" s="132" t="s">
        <v>29</v>
      </c>
      <c r="K42" s="121" t="str">
        <f t="shared" ca="1" si="7"/>
        <v>1.1.29.</v>
      </c>
      <c r="L42" s="137" t="str">
        <f t="shared" ca="1" si="8"/>
        <v>Cotação</v>
      </c>
      <c r="M42" s="122" t="s">
        <v>79</v>
      </c>
      <c r="N42" s="139" t="s">
        <v>156</v>
      </c>
      <c r="O42" s="137" t="str">
        <f t="shared" ca="1" si="15"/>
        <v>Pintura facial</v>
      </c>
      <c r="P42" s="138" t="str">
        <f t="shared" ca="1" si="9"/>
        <v>Unidade</v>
      </c>
      <c r="Q42" s="134">
        <v>10</v>
      </c>
      <c r="R42" s="124">
        <f t="shared" ca="1" si="10"/>
        <v>60</v>
      </c>
      <c r="S42" s="136" t="s">
        <v>62</v>
      </c>
      <c r="T42" s="123">
        <f t="shared" ca="1" si="11"/>
        <v>75</v>
      </c>
      <c r="U42" s="126">
        <f t="shared" ca="1" si="12"/>
        <v>750</v>
      </c>
      <c r="V42" s="1"/>
      <c r="W42" s="39" t="str">
        <f ca="1">IF(OR($A42=0,$A42="S",$A42&gt;CFF!$A$9),"",MAX(W$11:OFFSET(W42,-1,0))+1)</f>
        <v/>
      </c>
      <c r="X42" s="4" t="str">
        <f t="shared" si="13"/>
        <v>Rec. Materiais-007</v>
      </c>
      <c r="Y42" s="39">
        <f t="shared" ca="1" si="14"/>
        <v>16</v>
      </c>
      <c r="Z42" s="1"/>
      <c r="AA42" s="133">
        <f>IF($J42=$G$2,ROUND(IF(ISNUMBER(S42),S42,IF(LEFT(S42,2)="DI",HLOOKUP(S42,DADOS!$T$29:$X$30,2,FALSE),0)),4),"")</f>
        <v>0.25</v>
      </c>
      <c r="AB42" s="2"/>
    </row>
    <row r="43" spans="1:28">
      <c r="A43" t="str">
        <f>CHOOSE(1+LOG(1+2*(J43=$C$2)+4*(J43=$D$2)+8*(J43=$E$2)+16*(J43=$F$2)+32*(J43=$G$2),2),0,1,2,3,4,"S")</f>
        <v>S</v>
      </c>
      <c r="B43">
        <f>IF(OR(A43="S",A43=0),0,IF(ISERROR(I43),H43,SMALL(H43:I43,1)))</f>
        <v>0</v>
      </c>
      <c r="C43">
        <f ca="1">IF($A43=1,OFFSET(C43,-1,0)+1,OFFSET(C43,-1,0))</f>
        <v>1</v>
      </c>
      <c r="D43">
        <f ca="1">IF($A43=1,0,IF($A43=2,OFFSET(D43,-1,0)+1,OFFSET(D43,-1,0)))</f>
        <v>1</v>
      </c>
      <c r="E43">
        <f ca="1">IF(AND($A43&lt;=2,$A43&lt;&gt;0),0,IF($A43=3,OFFSET(E43,-1,0)+1,OFFSET(E43,-1,0)))</f>
        <v>0</v>
      </c>
      <c r="F43">
        <f ca="1">IF(AND($A43&lt;=3,$A43&lt;&gt;0),0,IF($A43=4,OFFSET(F43,-1,0)+1,OFFSET(F43,-1,0)))</f>
        <v>0</v>
      </c>
      <c r="G43">
        <f ca="1">IF(AND($A43&lt;=4,$A43&lt;&gt;0),0,IF($A43="S",OFFSET(G43,-1,0)+1,OFFSET(G43,-1,0)))</f>
        <v>30</v>
      </c>
      <c r="H43">
        <f ca="1">IF(OR($A43="S",$A43=0),0,MATCH(0,OFFSET($B43,1,$A43,ROW($A$1504)-ROW($A43)),0))</f>
        <v>0</v>
      </c>
      <c r="I43">
        <f ca="1">IF(OR($A43="S",$A43=0),0,MATCH(OFFSET($B43,0,$A43)+1,OFFSET($B43,1,$A43,ROW($A$1504)-ROW($A43)),0))</f>
        <v>0</v>
      </c>
      <c r="J43" s="132" t="s">
        <v>29</v>
      </c>
      <c r="K43" s="121" t="str">
        <f ca="1">IF($A43=0,"-",CONCATENATE(C43&amp;".",IF(AND($A$5&gt;=2,$A43&gt;=2),D43&amp;".",""),IF(AND($A$5&gt;=3,$A43&gt;=3),E43&amp;".",""),IF(AND($A$5&gt;=4,$A43&gt;=4),F43&amp;".",""),IF($A43="S",G43&amp;".","")))</f>
        <v>1.1.30.</v>
      </c>
      <c r="L43" s="137" t="str">
        <f ca="1">IF(NOT(ISERROR($Y43)),IF($Y43&lt;&gt;FALSE,INDEX(Banco,$Y43,4),""),"")</f>
        <v>Cotação</v>
      </c>
      <c r="M43" s="122" t="s">
        <v>79</v>
      </c>
      <c r="N43" s="139" t="s">
        <v>158</v>
      </c>
      <c r="O43" s="137" t="str">
        <f t="shared" ca="1" si="15"/>
        <v>Pasta AZ</v>
      </c>
      <c r="P43" s="138" t="str">
        <f ca="1">IF(NOT(ISERROR($Y43)),IF($Y43&lt;&gt;FALSE,INDEX(Banco,$Y43,6),""),"")</f>
        <v>Unidade</v>
      </c>
      <c r="Q43" s="134">
        <v>4</v>
      </c>
      <c r="R43" s="124">
        <f ca="1">IF(NOT(ISERROR($Y43)),IF($Y43&lt;&gt;FALSE,INDEX(Banco,$Y43,7),0),0)</f>
        <v>12</v>
      </c>
      <c r="S43" s="136" t="s">
        <v>62</v>
      </c>
      <c r="T43" s="123">
        <f ca="1">IF($J43=$G$2,ROUND(ROUND($R43,2)*IF($R$9="Preço Unitário (R$)",1,1+$AA43),2),0)</f>
        <v>15</v>
      </c>
      <c r="U43" s="126">
        <f ca="1">IF($A43="S",VTOTAL1,IF($A43=0,0,ROUND(SomaAgrup,2)))</f>
        <v>60</v>
      </c>
      <c r="V43" s="1"/>
      <c r="W43" s="39" t="str">
        <f ca="1">IF(OR($A43=0,$A43="S",$A43&gt;CFF!$A$9),"",MAX(W$11:OFFSET(W43,-1,0))+1)</f>
        <v/>
      </c>
      <c r="X43" s="4" t="str">
        <f>IF(AND($J43=$G$2,$N43&lt;&gt;"",$M43&lt;&gt;""),CONCATENATE($M43,"-",$N43))</f>
        <v>Rec. Materiais-009</v>
      </c>
      <c r="Y43" s="39">
        <f ca="1">IF(X43&lt;&gt;FALSE,MATCH(X43,OFFSET(Banco,0,0,,1),0))</f>
        <v>18</v>
      </c>
      <c r="Z43" s="1"/>
      <c r="AA43" s="133">
        <f>IF($J43=$G$2,ROUND(IF(ISNUMBER(S43),S43,IF(LEFT(S43,2)="DI",HLOOKUP(S43,DADOS!$T$29:$X$30,2,FALSE),0)),4),"")</f>
        <v>0.25</v>
      </c>
      <c r="AB43" s="2"/>
    </row>
    <row r="44" spans="1:28" ht="25.5">
      <c r="A44" t="str">
        <f t="shared" ref="A44:A51" si="16">CHOOSE(1+LOG(1+2*(J44=$C$2)+4*(J44=$D$2)+8*(J44=$E$2)+16*(J44=$F$2)+32*(J44=$G$2),2),0,1,2,3,4,"S")</f>
        <v>S</v>
      </c>
      <c r="B44">
        <f t="shared" ref="B44:B51" si="17">IF(OR(A44="S",A44=0),0,IF(ISERROR(I44),H44,SMALL(H44:I44,1)))</f>
        <v>0</v>
      </c>
      <c r="C44">
        <f t="shared" ref="C44:C51" ca="1" si="18">IF($A44=1,OFFSET(C44,-1,0)+1,OFFSET(C44,-1,0))</f>
        <v>1</v>
      </c>
      <c r="D44">
        <f t="shared" ref="D44:D51" ca="1" si="19">IF($A44=1,0,IF($A44=2,OFFSET(D44,-1,0)+1,OFFSET(D44,-1,0)))</f>
        <v>1</v>
      </c>
      <c r="E44">
        <f t="shared" ref="E44:E51" ca="1" si="20">IF(AND($A44&lt;=2,$A44&lt;&gt;0),0,IF($A44=3,OFFSET(E44,-1,0)+1,OFFSET(E44,-1,0)))</f>
        <v>0</v>
      </c>
      <c r="F44">
        <f t="shared" ref="F44:F51" ca="1" si="21">IF(AND($A44&lt;=3,$A44&lt;&gt;0),0,IF($A44=4,OFFSET(F44,-1,0)+1,OFFSET(F44,-1,0)))</f>
        <v>0</v>
      </c>
      <c r="G44">
        <f t="shared" ref="G44:G51" ca="1" si="22">IF(AND($A44&lt;=4,$A44&lt;&gt;0),0,IF($A44="S",OFFSET(G44,-1,0)+1,OFFSET(G44,-1,0)))</f>
        <v>31</v>
      </c>
      <c r="H44">
        <f ca="1">IF(OR($A44="S",$A44=0),0,MATCH(0,OFFSET($B44,1,$A44,ROW($A$1504)-ROW($A44)),0))</f>
        <v>0</v>
      </c>
      <c r="I44">
        <f ca="1">IF(OR($A44="S",$A44=0),0,MATCH(OFFSET($B44,0,$A44)+1,OFFSET($B44,1,$A44,ROW($A$1504)-ROW($A44)),0))</f>
        <v>0</v>
      </c>
      <c r="J44" s="132" t="s">
        <v>29</v>
      </c>
      <c r="K44" s="121" t="str">
        <f t="shared" ref="K44:K51" ca="1" si="23">IF($A44=0,"-",CONCATENATE(C44&amp;".",IF(AND($A$5&gt;=2,$A44&gt;=2),D44&amp;".",""),IF(AND($A$5&gt;=3,$A44&gt;=3),E44&amp;".",""),IF(AND($A$5&gt;=4,$A44&gt;=4),F44&amp;".",""),IF($A44="S",G44&amp;".","")))</f>
        <v>1.1.31.</v>
      </c>
      <c r="L44" s="137" t="str">
        <f t="shared" ref="L44:L51" ca="1" si="24">IF(NOT(ISERROR($Y44)),IF($Y44&lt;&gt;FALSE,INDEX(Banco,$Y44,4),""),"")</f>
        <v>Cotação</v>
      </c>
      <c r="M44" s="122" t="s">
        <v>79</v>
      </c>
      <c r="N44" s="139" t="s">
        <v>167</v>
      </c>
      <c r="O44" s="137" t="str">
        <f t="shared" ref="O44:O51" ca="1" si="25">IF(NOT(ISERROR($Y44)),IF($Y44&lt;&gt;FALSE,INDEX(Banco,$Y44,5),""),"")</f>
        <v>Brinquedos pedagogicos (jogos de damas, bozó, dominó de percepção e de associação de idéias, quebra-cabeça progressivo, mapa do mundo, bola, bambolé</v>
      </c>
      <c r="P44" s="138" t="str">
        <f t="shared" ref="P44:P51" ca="1" si="26">IF(NOT(ISERROR($Y44)),IF($Y44&lt;&gt;FALSE,INDEX(Banco,$Y44,6),""),"")</f>
        <v>Unidade</v>
      </c>
      <c r="Q44" s="134">
        <v>3</v>
      </c>
      <c r="R44" s="124">
        <f t="shared" ref="R44:R51" ca="1" si="27">IF(NOT(ISERROR($Y44)),IF($Y44&lt;&gt;FALSE,INDEX(Banco,$Y44,7),0),0)</f>
        <v>600</v>
      </c>
      <c r="S44" s="136" t="s">
        <v>62</v>
      </c>
      <c r="T44" s="123">
        <f t="shared" ref="T44:T51" ca="1" si="28">IF($J44=$G$2,ROUND(ROUND($R44,2)*IF($R$9="Preço Unitário (R$)",1,1+$AA44),2),0)</f>
        <v>750</v>
      </c>
      <c r="U44" s="126">
        <f t="shared" ref="U44:U51" ca="1" si="29">IF($A44="S",VTOTAL1,IF($A44=0,0,ROUND(SomaAgrup,2)))</f>
        <v>2250</v>
      </c>
      <c r="V44" s="1"/>
      <c r="W44" s="39" t="str">
        <f ca="1">IF(OR($A44=0,$A44="S",$A44&gt;CFF!$A$9),"",MAX(W$11:OFFSET(W44,-1,0))+1)</f>
        <v/>
      </c>
      <c r="X44" s="4" t="str">
        <f t="shared" ref="X44:X51" si="30">IF(AND($J44=$G$2,$N44&lt;&gt;"",$M44&lt;&gt;""),CONCATENATE($M44,"-",$N44))</f>
        <v>Rec. Materiais-024</v>
      </c>
      <c r="Y44" s="39">
        <f t="shared" ref="Y44:Y51" ca="1" si="31">IF(X44&lt;&gt;FALSE,MATCH(X44,OFFSET(Banco,0,0,,1),0))</f>
        <v>33</v>
      </c>
      <c r="Z44" s="1"/>
      <c r="AA44" s="133">
        <f>IF($J44=$G$2,ROUND(IF(ISNUMBER(S44),S44,IF(LEFT(S44,2)="DI",HLOOKUP(S44,DADOS!$T$29:$X$30,2,FALSE),0)),4),"")</f>
        <v>0.25</v>
      </c>
      <c r="AB44" s="2"/>
    </row>
    <row r="45" spans="1:28">
      <c r="A45" t="str">
        <f t="shared" si="16"/>
        <v>S</v>
      </c>
      <c r="B45">
        <f t="shared" si="17"/>
        <v>0</v>
      </c>
      <c r="C45">
        <f t="shared" ca="1" si="18"/>
        <v>1</v>
      </c>
      <c r="D45">
        <f t="shared" ca="1" si="19"/>
        <v>1</v>
      </c>
      <c r="E45">
        <f t="shared" ca="1" si="20"/>
        <v>0</v>
      </c>
      <c r="F45">
        <f t="shared" ca="1" si="21"/>
        <v>0</v>
      </c>
      <c r="G45">
        <f t="shared" ca="1" si="22"/>
        <v>32</v>
      </c>
      <c r="H45">
        <f ca="1">IF(OR($A45="S",$A45=0),0,MATCH(0,OFFSET($B45,1,$A45,ROW($A$1504)-ROW($A45)),0))</f>
        <v>0</v>
      </c>
      <c r="I45">
        <f ca="1">IF(OR($A45="S",$A45=0),0,MATCH(OFFSET($B45,0,$A45)+1,OFFSET($B45,1,$A45,ROW($A$1504)-ROW($A45)),0))</f>
        <v>0</v>
      </c>
      <c r="J45" s="132" t="s">
        <v>29</v>
      </c>
      <c r="K45" s="121" t="str">
        <f t="shared" ca="1" si="23"/>
        <v>1.1.32.</v>
      </c>
      <c r="L45" s="137" t="str">
        <f t="shared" ca="1" si="24"/>
        <v>Cotação</v>
      </c>
      <c r="M45" s="122" t="s">
        <v>79</v>
      </c>
      <c r="N45" s="139" t="s">
        <v>168</v>
      </c>
      <c r="O45" s="137" t="str">
        <f t="shared" ca="1" si="25"/>
        <v>Fita adesiva</v>
      </c>
      <c r="P45" s="138" t="str">
        <f t="shared" ca="1" si="26"/>
        <v>Unidade</v>
      </c>
      <c r="Q45" s="134">
        <v>2</v>
      </c>
      <c r="R45" s="124">
        <f t="shared" ca="1" si="27"/>
        <v>6.18</v>
      </c>
      <c r="S45" s="136" t="s">
        <v>62</v>
      </c>
      <c r="T45" s="123">
        <f t="shared" ca="1" si="28"/>
        <v>7.73</v>
      </c>
      <c r="U45" s="126">
        <f t="shared" ca="1" si="29"/>
        <v>15.46</v>
      </c>
      <c r="V45" s="1"/>
      <c r="W45" s="39" t="str">
        <f ca="1">IF(OR($A45=0,$A45="S",$A45&gt;CFF!$A$9),"",MAX(W$11:OFFSET(W45,-1,0))+1)</f>
        <v/>
      </c>
      <c r="X45" s="4" t="str">
        <f t="shared" si="30"/>
        <v>Rec. Materiais-018</v>
      </c>
      <c r="Y45" s="39">
        <f t="shared" ca="1" si="31"/>
        <v>27</v>
      </c>
      <c r="Z45" s="1"/>
      <c r="AA45" s="133">
        <f>IF($J45=$G$2,ROUND(IF(ISNUMBER(S45),S45,IF(LEFT(S45,2)="DI",HLOOKUP(S45,DADOS!$T$29:$X$30,2,FALSE),0)),4),"")</f>
        <v>0.25</v>
      </c>
      <c r="AB45" s="2"/>
    </row>
    <row r="46" spans="1:28">
      <c r="A46" t="str">
        <f>CHOOSE(1+LOG(1+2*(J46=$C$2)+4*(J46=$D$2)+8*(J46=$E$2)+16*(J46=$F$2)+32*(J46=$G$2),2),0,1,2,3,4,"S")</f>
        <v>S</v>
      </c>
      <c r="B46">
        <f>IF(OR(A46="S",A46=0),0,IF(ISERROR(I46),H46,SMALL(H46:I46,1)))</f>
        <v>0</v>
      </c>
      <c r="C46">
        <f ca="1">IF($A46=1,OFFSET(C46,-1,0)+1,OFFSET(C46,-1,0))</f>
        <v>1</v>
      </c>
      <c r="D46">
        <f ca="1">IF($A46=1,0,IF($A46=2,OFFSET(D46,-1,0)+1,OFFSET(D46,-1,0)))</f>
        <v>1</v>
      </c>
      <c r="E46">
        <f ca="1">IF(AND($A46&lt;=2,$A46&lt;&gt;0),0,IF($A46=3,OFFSET(E46,-1,0)+1,OFFSET(E46,-1,0)))</f>
        <v>0</v>
      </c>
      <c r="F46">
        <f ca="1">IF(AND($A46&lt;=3,$A46&lt;&gt;0),0,IF($A46=4,OFFSET(F46,-1,0)+1,OFFSET(F46,-1,0)))</f>
        <v>0</v>
      </c>
      <c r="G46">
        <f ca="1">IF(AND($A46&lt;=4,$A46&lt;&gt;0),0,IF($A46="S",OFFSET(G46,-1,0)+1,OFFSET(G46,-1,0)))</f>
        <v>33</v>
      </c>
      <c r="H46">
        <f ca="1">IF(OR($A46="S",$A46=0),0,MATCH(0,OFFSET($B46,1,$A46,ROW($A$1504)-ROW($A46)),0))</f>
        <v>0</v>
      </c>
      <c r="I46">
        <f ca="1">IF(OR($A46="S",$A46=0),0,MATCH(OFFSET($B46,0,$A46)+1,OFFSET($B46,1,$A46,ROW($A$1504)-ROW($A46)),0))</f>
        <v>0</v>
      </c>
      <c r="J46" s="132" t="s">
        <v>29</v>
      </c>
      <c r="K46" s="121" t="str">
        <f ca="1">IF($A46=0,"-",CONCATENATE(C46&amp;".",IF(AND($A$5&gt;=2,$A46&gt;=2),D46&amp;".",""),IF(AND($A$5&gt;=3,$A46&gt;=3),E46&amp;".",""),IF(AND($A$5&gt;=4,$A46&gt;=4),F46&amp;".",""),IF($A46="S",G46&amp;".","")))</f>
        <v>1.1.33.</v>
      </c>
      <c r="L46" s="137" t="str">
        <f ca="1">IF(NOT(ISERROR($Y46)),IF($Y46&lt;&gt;FALSE,INDEX(Banco,$Y46,4),""),"")</f>
        <v>Cotação</v>
      </c>
      <c r="M46" s="122" t="s">
        <v>79</v>
      </c>
      <c r="N46" s="139" t="s">
        <v>227</v>
      </c>
      <c r="O46" s="137" t="str">
        <f ca="1">IF(NOT(ISERROR($Y46)),IF($Y46&lt;&gt;FALSE,INDEX(Banco,$Y46,5),""),"")</f>
        <v>Fita zebrada para isolar área</v>
      </c>
      <c r="P46" s="138" t="str">
        <f ca="1">IF(NOT(ISERROR($Y46)),IF($Y46&lt;&gt;FALSE,INDEX(Banco,$Y46,6),""),"")</f>
        <v>Unidade</v>
      </c>
      <c r="Q46" s="134">
        <v>2</v>
      </c>
      <c r="R46" s="124">
        <f ca="1">IF(NOT(ISERROR($Y46)),IF($Y46&lt;&gt;FALSE,INDEX(Banco,$Y46,7),0),0)</f>
        <v>19.39</v>
      </c>
      <c r="S46" s="136" t="s">
        <v>62</v>
      </c>
      <c r="T46" s="123">
        <f ca="1">IF($J46=$G$2,ROUND(ROUND($R46,2)*IF($R$9="Preço Unitário (R$)",1,1+$AA46),2),0)</f>
        <v>24.24</v>
      </c>
      <c r="U46" s="126">
        <f ca="1">IF($A46="S",VTOTAL1,IF($A46=0,0,ROUND(SomaAgrup,2)))</f>
        <v>48.48</v>
      </c>
      <c r="V46" s="1"/>
      <c r="W46" s="39" t="str">
        <f ca="1">IF(OR($A46=0,$A46="S",$A46&gt;CFF!$A$9),"",MAX(W$11:OFFSET(W46,-1,0))+1)</f>
        <v/>
      </c>
      <c r="X46" s="4" t="str">
        <f>IF(AND($J46=$G$2,$N46&lt;&gt;"",$M46&lt;&gt;""),CONCATENATE($M46,"-",$N46))</f>
        <v>Rec. Materiais-030</v>
      </c>
      <c r="Y46" s="39">
        <f ca="1">IF(X46&lt;&gt;FALSE,MATCH(X46,OFFSET(Banco,0,0,,1),0))</f>
        <v>39</v>
      </c>
      <c r="Z46" s="1"/>
      <c r="AA46" s="133">
        <f>IF($J46=$G$2,ROUND(IF(ISNUMBER(S46),S46,IF(LEFT(S46,2)="DI",HLOOKUP(S46,DADOS!$T$29:$X$30,2,FALSE),0)),4),"")</f>
        <v>0.25</v>
      </c>
      <c r="AB46" s="2"/>
    </row>
    <row r="47" spans="1:28">
      <c r="A47" t="str">
        <f>CHOOSE(1+LOG(1+2*(J47=$C$2)+4*(J47=$D$2)+8*(J47=$E$2)+16*(J47=$F$2)+32*(J47=$G$2),2),0,1,2,3,4,"S")</f>
        <v>S</v>
      </c>
      <c r="B47">
        <f>IF(OR(A47="S",A47=0),0,IF(ISERROR(I47),H47,SMALL(H47:I47,1)))</f>
        <v>0</v>
      </c>
      <c r="C47">
        <f ca="1">IF($A47=1,OFFSET(C47,-1,0)+1,OFFSET(C47,-1,0))</f>
        <v>1</v>
      </c>
      <c r="D47">
        <f ca="1">IF($A47=1,0,IF($A47=2,OFFSET(D47,-1,0)+1,OFFSET(D47,-1,0)))</f>
        <v>1</v>
      </c>
      <c r="E47">
        <f ca="1">IF(AND($A47&lt;=2,$A47&lt;&gt;0),0,IF($A47=3,OFFSET(E47,-1,0)+1,OFFSET(E47,-1,0)))</f>
        <v>0</v>
      </c>
      <c r="F47">
        <f ca="1">IF(AND($A47&lt;=3,$A47&lt;&gt;0),0,IF($A47=4,OFFSET(F47,-1,0)+1,OFFSET(F47,-1,0)))</f>
        <v>0</v>
      </c>
      <c r="G47">
        <f ca="1">IF(AND($A47&lt;=4,$A47&lt;&gt;0),0,IF($A47="S",OFFSET(G47,-1,0)+1,OFFSET(G47,-1,0)))</f>
        <v>34</v>
      </c>
      <c r="H47">
        <f ca="1">IF(OR($A47="S",$A47=0),0,MATCH(0,OFFSET($B47,1,$A47,ROW($A$1504)-ROW($A47)),0))</f>
        <v>0</v>
      </c>
      <c r="I47">
        <f ca="1">IF(OR($A47="S",$A47=0),0,MATCH(OFFSET($B47,0,$A47)+1,OFFSET($B47,1,$A47,ROW($A$1504)-ROW($A47)),0))</f>
        <v>0</v>
      </c>
      <c r="J47" s="132" t="s">
        <v>29</v>
      </c>
      <c r="K47" s="121" t="str">
        <f ca="1">IF($A47=0,"-",CONCATENATE(C47&amp;".",IF(AND($A$5&gt;=2,$A47&gt;=2),D47&amp;".",""),IF(AND($A$5&gt;=3,$A47&gt;=3),E47&amp;".",""),IF(AND($A$5&gt;=4,$A47&gt;=4),F47&amp;".",""),IF($A47="S",G47&amp;".","")))</f>
        <v>1.1.34.</v>
      </c>
      <c r="L47" s="137" t="str">
        <f ca="1">IF(NOT(ISERROR($Y47)),IF($Y47&lt;&gt;FALSE,INDEX(Banco,$Y47,4),""),"")</f>
        <v>Cotação</v>
      </c>
      <c r="M47" s="122" t="s">
        <v>79</v>
      </c>
      <c r="N47" s="139" t="s">
        <v>300</v>
      </c>
      <c r="O47" s="137" t="str">
        <f ca="1">IF(NOT(ISERROR($Y47)),IF($Y47&lt;&gt;FALSE,INDEX(Banco,$Y47,5),""),"")</f>
        <v>Barbante (500g)</v>
      </c>
      <c r="P47" s="138" t="str">
        <f ca="1">IF(NOT(ISERROR($Y47)),IF($Y47&lt;&gt;FALSE,INDEX(Banco,$Y47,6),""),"")</f>
        <v>Unidade</v>
      </c>
      <c r="Q47" s="134">
        <v>1</v>
      </c>
      <c r="R47" s="124">
        <f ca="1">IF(NOT(ISERROR($Y47)),IF($Y47&lt;&gt;FALSE,INDEX(Banco,$Y47,7),0),0)</f>
        <v>16.23</v>
      </c>
      <c r="S47" s="136" t="s">
        <v>62</v>
      </c>
      <c r="T47" s="123">
        <f ca="1">IF($J47=$G$2,ROUND(ROUND($R47,2)*IF($R$9="Preço Unitário (R$)",1,1+$AA47),2),0)</f>
        <v>20.29</v>
      </c>
      <c r="U47" s="126">
        <f ca="1">IF($A47="S",VTOTAL1,IF($A47=0,0,ROUND(SomaAgrup,2)))</f>
        <v>20.29</v>
      </c>
      <c r="V47" s="1"/>
      <c r="W47" s="39" t="str">
        <f ca="1">IF(OR($A47=0,$A47="S",$A47&gt;CFF!$A$9),"",MAX(W$11:OFFSET(W47,-1,0))+1)</f>
        <v/>
      </c>
      <c r="X47" s="4" t="str">
        <f>IF(AND($J47=$G$2,$N47&lt;&gt;"",$M47&lt;&gt;""),CONCATENATE($M47,"-",$N47))</f>
        <v>Rec. Materiais-023</v>
      </c>
      <c r="Y47" s="39">
        <f ca="1">IF(X47&lt;&gt;FALSE,MATCH(X47,OFFSET(Banco,0,0,,1),0))</f>
        <v>32</v>
      </c>
      <c r="Z47" s="1"/>
      <c r="AA47" s="133">
        <f>IF($J47=$G$2,ROUND(IF(ISNUMBER(S47),S47,IF(LEFT(S47,2)="DI",HLOOKUP(S47,DADOS!$T$29:$X$30,2,FALSE),0)),4),"")</f>
        <v>0.25</v>
      </c>
      <c r="AB47" s="2"/>
    </row>
    <row r="48" spans="1:28">
      <c r="A48" t="str">
        <f t="shared" si="16"/>
        <v>S</v>
      </c>
      <c r="B48">
        <f t="shared" si="17"/>
        <v>0</v>
      </c>
      <c r="C48">
        <f t="shared" ca="1" si="18"/>
        <v>1</v>
      </c>
      <c r="D48">
        <f t="shared" ca="1" si="19"/>
        <v>1</v>
      </c>
      <c r="E48">
        <f t="shared" ca="1" si="20"/>
        <v>0</v>
      </c>
      <c r="F48">
        <f t="shared" ca="1" si="21"/>
        <v>0</v>
      </c>
      <c r="G48">
        <f t="shared" ca="1" si="22"/>
        <v>35</v>
      </c>
      <c r="H48">
        <f ca="1">IF(OR($A48="S",$A48=0),0,MATCH(0,OFFSET($B48,1,$A48,ROW($A$1504)-ROW($A48)),0))</f>
        <v>0</v>
      </c>
      <c r="I48">
        <f ca="1">IF(OR($A48="S",$A48=0),0,MATCH(OFFSET($B48,0,$A48)+1,OFFSET($B48,1,$A48,ROW($A$1504)-ROW($A48)),0))</f>
        <v>0</v>
      </c>
      <c r="J48" s="132" t="s">
        <v>29</v>
      </c>
      <c r="K48" s="121" t="str">
        <f t="shared" ca="1" si="23"/>
        <v>1.1.35.</v>
      </c>
      <c r="L48" s="137" t="str">
        <f t="shared" ca="1" si="24"/>
        <v>Cotação</v>
      </c>
      <c r="M48" s="122" t="s">
        <v>79</v>
      </c>
      <c r="N48" s="139" t="s">
        <v>165</v>
      </c>
      <c r="O48" s="137" t="str">
        <f t="shared" ca="1" si="25"/>
        <v>Papel de presente</v>
      </c>
      <c r="P48" s="138" t="str">
        <f t="shared" ca="1" si="26"/>
        <v>Folhas</v>
      </c>
      <c r="Q48" s="134">
        <v>16</v>
      </c>
      <c r="R48" s="124">
        <f t="shared" ca="1" si="27"/>
        <v>1.5</v>
      </c>
      <c r="S48" s="136" t="s">
        <v>62</v>
      </c>
      <c r="T48" s="123">
        <f t="shared" ca="1" si="28"/>
        <v>1.88</v>
      </c>
      <c r="U48" s="126">
        <f t="shared" ca="1" si="29"/>
        <v>30.08</v>
      </c>
      <c r="V48" s="1"/>
      <c r="W48" s="39" t="str">
        <f ca="1">IF(OR($A48=0,$A48="S",$A48&gt;CFF!$A$9),"",MAX(W$11:OFFSET(W48,-1,0))+1)</f>
        <v/>
      </c>
      <c r="X48" s="4" t="str">
        <f t="shared" si="30"/>
        <v>Rec. Materiais-021</v>
      </c>
      <c r="Y48" s="39">
        <f t="shared" ca="1" si="31"/>
        <v>30</v>
      </c>
      <c r="Z48" s="1"/>
      <c r="AA48" s="133">
        <f>IF($J48=$G$2,ROUND(IF(ISNUMBER(S48),S48,IF(LEFT(S48,2)="DI",HLOOKUP(S48,DADOS!$T$29:$X$30,2,FALSE),0)),4),"")</f>
        <v>0.25</v>
      </c>
      <c r="AB48" s="2"/>
    </row>
    <row r="49" spans="1:28">
      <c r="A49" t="str">
        <f t="shared" si="16"/>
        <v>S</v>
      </c>
      <c r="B49">
        <f t="shared" si="17"/>
        <v>0</v>
      </c>
      <c r="C49">
        <f t="shared" ca="1" si="18"/>
        <v>1</v>
      </c>
      <c r="D49">
        <f t="shared" ca="1" si="19"/>
        <v>1</v>
      </c>
      <c r="E49">
        <f t="shared" ca="1" si="20"/>
        <v>0</v>
      </c>
      <c r="F49">
        <f t="shared" ca="1" si="21"/>
        <v>0</v>
      </c>
      <c r="G49">
        <f t="shared" ca="1" si="22"/>
        <v>36</v>
      </c>
      <c r="H49">
        <f ca="1">IF(OR($A49="S",$A49=0),0,MATCH(0,OFFSET($B49,1,$A49,ROW($A$1504)-ROW($A49)),0))</f>
        <v>0</v>
      </c>
      <c r="I49">
        <f ca="1">IF(OR($A49="S",$A49=0),0,MATCH(OFFSET($B49,0,$A49)+1,OFFSET($B49,1,$A49,ROW($A$1504)-ROW($A49)),0))</f>
        <v>0</v>
      </c>
      <c r="J49" s="132" t="s">
        <v>29</v>
      </c>
      <c r="K49" s="121" t="str">
        <f t="shared" ca="1" si="23"/>
        <v>1.1.36.</v>
      </c>
      <c r="L49" s="137" t="str">
        <f t="shared" ca="1" si="24"/>
        <v>Cotação</v>
      </c>
      <c r="M49" s="122" t="s">
        <v>79</v>
      </c>
      <c r="N49" s="139" t="s">
        <v>163</v>
      </c>
      <c r="O49" s="137" t="str">
        <f t="shared" ca="1" si="25"/>
        <v>Guloseimas (balas e pirulito)</v>
      </c>
      <c r="P49" s="138" t="str">
        <f t="shared" ca="1" si="26"/>
        <v>Pacote</v>
      </c>
      <c r="Q49" s="134">
        <v>8</v>
      </c>
      <c r="R49" s="124">
        <f t="shared" ca="1" si="27"/>
        <v>12</v>
      </c>
      <c r="S49" s="136" t="s">
        <v>62</v>
      </c>
      <c r="T49" s="123">
        <f t="shared" ca="1" si="28"/>
        <v>15</v>
      </c>
      <c r="U49" s="126">
        <f t="shared" ca="1" si="29"/>
        <v>120</v>
      </c>
      <c r="V49" s="1"/>
      <c r="W49" s="39" t="str">
        <f ca="1">IF(OR($A49=0,$A49="S",$A49&gt;CFF!$A$9),"",MAX(W$11:OFFSET(W49,-1,0))+1)</f>
        <v/>
      </c>
      <c r="X49" s="4" t="str">
        <f t="shared" si="30"/>
        <v>Rec. Materiais-020</v>
      </c>
      <c r="Y49" s="39">
        <f t="shared" ca="1" si="31"/>
        <v>29</v>
      </c>
      <c r="Z49" s="1"/>
      <c r="AA49" s="133">
        <f>IF($J49=$G$2,ROUND(IF(ISNUMBER(S49),S49,IF(LEFT(S49,2)="DI",HLOOKUP(S49,DADOS!$T$29:$X$30,2,FALSE),0)),4),"")</f>
        <v>0.25</v>
      </c>
      <c r="AB49" s="2"/>
    </row>
    <row r="50" spans="1:28">
      <c r="A50" t="str">
        <f t="shared" si="16"/>
        <v>S</v>
      </c>
      <c r="B50">
        <f t="shared" si="17"/>
        <v>0</v>
      </c>
      <c r="C50">
        <f t="shared" ca="1" si="18"/>
        <v>1</v>
      </c>
      <c r="D50">
        <f t="shared" ca="1" si="19"/>
        <v>1</v>
      </c>
      <c r="E50">
        <f t="shared" ca="1" si="20"/>
        <v>0</v>
      </c>
      <c r="F50">
        <f t="shared" ca="1" si="21"/>
        <v>0</v>
      </c>
      <c r="G50">
        <f t="shared" ca="1" si="22"/>
        <v>37</v>
      </c>
      <c r="H50">
        <f ca="1">IF(OR($A50="S",$A50=0),0,MATCH(0,OFFSET($B50,1,$A50,ROW($A$1504)-ROW($A50)),0))</f>
        <v>0</v>
      </c>
      <c r="I50">
        <f ca="1">IF(OR($A50="S",$A50=0),0,MATCH(OFFSET($B50,0,$A50)+1,OFFSET($B50,1,$A50,ROW($A$1504)-ROW($A50)),0))</f>
        <v>0</v>
      </c>
      <c r="J50" s="132" t="s">
        <v>29</v>
      </c>
      <c r="K50" s="121" t="str">
        <f t="shared" ca="1" si="23"/>
        <v>1.1.37.</v>
      </c>
      <c r="L50" s="137" t="str">
        <f t="shared" ca="1" si="24"/>
        <v>Cotação</v>
      </c>
      <c r="M50" s="122" t="s">
        <v>79</v>
      </c>
      <c r="N50" s="139" t="s">
        <v>169</v>
      </c>
      <c r="O50" s="137" t="str">
        <f t="shared" ca="1" si="25"/>
        <v>Apontador</v>
      </c>
      <c r="P50" s="138" t="str">
        <f t="shared" ca="1" si="26"/>
        <v>Unidade</v>
      </c>
      <c r="Q50" s="134">
        <v>10</v>
      </c>
      <c r="R50" s="124">
        <f t="shared" ca="1" si="27"/>
        <v>5.2</v>
      </c>
      <c r="S50" s="136" t="s">
        <v>62</v>
      </c>
      <c r="T50" s="123">
        <f t="shared" ca="1" si="28"/>
        <v>6.5</v>
      </c>
      <c r="U50" s="126">
        <f t="shared" ca="1" si="29"/>
        <v>65</v>
      </c>
      <c r="V50" s="1"/>
      <c r="W50" s="39" t="str">
        <f ca="1">IF(OR($A50=0,$A50="S",$A50&gt;CFF!$A$9),"",MAX(W$11:OFFSET(W50,-1,0))+1)</f>
        <v/>
      </c>
      <c r="X50" s="4" t="str">
        <f t="shared" si="30"/>
        <v>Rec. Materiais-025</v>
      </c>
      <c r="Y50" s="39">
        <f t="shared" ca="1" si="31"/>
        <v>34</v>
      </c>
      <c r="Z50" s="1"/>
      <c r="AA50" s="133">
        <f>IF($J50=$G$2,ROUND(IF(ISNUMBER(S50),S50,IF(LEFT(S50,2)="DI",HLOOKUP(S50,DADOS!$T$29:$X$30,2,FALSE),0)),4),"")</f>
        <v>0.25</v>
      </c>
      <c r="AB50" s="2"/>
    </row>
    <row r="51" spans="1:28">
      <c r="A51" t="str">
        <f t="shared" si="16"/>
        <v>S</v>
      </c>
      <c r="B51">
        <f t="shared" si="17"/>
        <v>0</v>
      </c>
      <c r="C51">
        <f t="shared" ca="1" si="18"/>
        <v>1</v>
      </c>
      <c r="D51">
        <f t="shared" ca="1" si="19"/>
        <v>1</v>
      </c>
      <c r="E51">
        <f t="shared" ca="1" si="20"/>
        <v>0</v>
      </c>
      <c r="F51">
        <f t="shared" ca="1" si="21"/>
        <v>0</v>
      </c>
      <c r="G51">
        <f t="shared" ca="1" si="22"/>
        <v>38</v>
      </c>
      <c r="H51">
        <f ca="1">IF(OR($A51="S",$A51=0),0,MATCH(0,OFFSET($B51,1,$A51,ROW($A$1504)-ROW($A51)),0))</f>
        <v>0</v>
      </c>
      <c r="I51">
        <f ca="1">IF(OR($A51="S",$A51=0),0,MATCH(OFFSET($B51,0,$A51)+1,OFFSET($B51,1,$A51,ROW($A$1504)-ROW($A51)),0))</f>
        <v>0</v>
      </c>
      <c r="J51" s="132" t="s">
        <v>29</v>
      </c>
      <c r="K51" s="121" t="str">
        <f t="shared" ca="1" si="23"/>
        <v>1.1.38.</v>
      </c>
      <c r="L51" s="137" t="str">
        <f t="shared" ca="1" si="24"/>
        <v>Cotação</v>
      </c>
      <c r="M51" s="122" t="s">
        <v>79</v>
      </c>
      <c r="N51" s="139" t="s">
        <v>170</v>
      </c>
      <c r="O51" s="137" t="str">
        <f t="shared" ca="1" si="25"/>
        <v>Saco de lixo (100 litros)</v>
      </c>
      <c r="P51" s="138" t="str">
        <f t="shared" ca="1" si="26"/>
        <v>Pacote</v>
      </c>
      <c r="Q51" s="134">
        <v>2</v>
      </c>
      <c r="R51" s="124">
        <f t="shared" ca="1" si="27"/>
        <v>15</v>
      </c>
      <c r="S51" s="136" t="s">
        <v>62</v>
      </c>
      <c r="T51" s="123">
        <f t="shared" ca="1" si="28"/>
        <v>18.75</v>
      </c>
      <c r="U51" s="126">
        <f t="shared" ca="1" si="29"/>
        <v>37.5</v>
      </c>
      <c r="V51" s="1"/>
      <c r="W51" s="39" t="str">
        <f ca="1">IF(OR($A51=0,$A51="S",$A51&gt;CFF!$A$9),"",MAX(W$11:OFFSET(W51,-1,0))+1)</f>
        <v/>
      </c>
      <c r="X51" s="4" t="str">
        <f t="shared" si="30"/>
        <v>Rec. Materiais-026</v>
      </c>
      <c r="Y51" s="39">
        <f t="shared" ca="1" si="31"/>
        <v>35</v>
      </c>
      <c r="Z51" s="1"/>
      <c r="AA51" s="133">
        <f>IF($J51=$G$2,ROUND(IF(ISNUMBER(S51),S51,IF(LEFT(S51,2)="DI",HLOOKUP(S51,DADOS!$T$29:$X$30,2,FALSE),0)),4),"")</f>
        <v>0.25</v>
      </c>
      <c r="AB51" s="2"/>
    </row>
    <row r="52" spans="1:28">
      <c r="A52" t="str">
        <f t="shared" ref="A52:A82" si="32">CHOOSE(1+LOG(1+2*(J52=$C$2)+4*(J52=$D$2)+8*(J52=$E$2)+16*(J52=$F$2)+32*(J52=$G$2),2),0,1,2,3,4,"S")</f>
        <v>S</v>
      </c>
      <c r="B52">
        <f t="shared" ref="B52:B82" si="33">IF(OR(A52="S",A52=0),0,IF(ISERROR(I52),H52,SMALL(H52:I52,1)))</f>
        <v>0</v>
      </c>
      <c r="C52">
        <f t="shared" ref="C52:C82" ca="1" si="34">IF($A52=1,OFFSET(C52,-1,0)+1,OFFSET(C52,-1,0))</f>
        <v>1</v>
      </c>
      <c r="D52">
        <f t="shared" ref="D52:D82" ca="1" si="35">IF($A52=1,0,IF($A52=2,OFFSET(D52,-1,0)+1,OFFSET(D52,-1,0)))</f>
        <v>1</v>
      </c>
      <c r="E52">
        <f t="shared" ref="E52:E82" ca="1" si="36">IF(AND($A52&lt;=2,$A52&lt;&gt;0),0,IF($A52=3,OFFSET(E52,-1,0)+1,OFFSET(E52,-1,0)))</f>
        <v>0</v>
      </c>
      <c r="F52">
        <f t="shared" ref="F52:F82" ca="1" si="37">IF(AND($A52&lt;=3,$A52&lt;&gt;0),0,IF($A52=4,OFFSET(F52,-1,0)+1,OFFSET(F52,-1,0)))</f>
        <v>0</v>
      </c>
      <c r="G52">
        <f t="shared" ref="G52:G82" ca="1" si="38">IF(AND($A52&lt;=4,$A52&lt;&gt;0),0,IF($A52="S",OFFSET(G52,-1,0)+1,OFFSET(G52,-1,0)))</f>
        <v>39</v>
      </c>
      <c r="H52">
        <f ca="1">IF(OR($A52="S",$A52=0),0,MATCH(0,OFFSET($B52,1,$A52,ROW($A$1504)-ROW($A52)),0))</f>
        <v>0</v>
      </c>
      <c r="I52">
        <f ca="1">IF(OR($A52="S",$A52=0),0,MATCH(OFFSET($B52,0,$A52)+1,OFFSET($B52,1,$A52,ROW($A$1504)-ROW($A52)),0))</f>
        <v>0</v>
      </c>
      <c r="J52" s="132" t="s">
        <v>29</v>
      </c>
      <c r="K52" s="121" t="str">
        <f t="shared" ref="K52:K82" ca="1" si="39">IF($A52=0,"-",CONCATENATE(C52&amp;".",IF(AND($A$5&gt;=2,$A52&gt;=2),D52&amp;".",""),IF(AND($A$5&gt;=3,$A52&gt;=3),E52&amp;".",""),IF(AND($A$5&gt;=4,$A52&gt;=4),F52&amp;".",""),IF($A52="S",G52&amp;".","")))</f>
        <v>1.1.39.</v>
      </c>
      <c r="L52" s="137" t="str">
        <f t="shared" ref="L52:L82" ca="1" si="40">IF(NOT(ISERROR($Y52)),IF($Y52&lt;&gt;FALSE,INDEX(Banco,$Y52,4),""),"")</f>
        <v>Cotação</v>
      </c>
      <c r="M52" s="122" t="s">
        <v>79</v>
      </c>
      <c r="N52" s="139" t="s">
        <v>164</v>
      </c>
      <c r="O52" s="137" t="str">
        <f t="shared" ca="1" si="15"/>
        <v>Copos descartáveis (2500 unidades)</v>
      </c>
      <c r="P52" s="138" t="str">
        <f t="shared" ref="P52:P82" ca="1" si="41">IF(NOT(ISERROR($Y52)),IF($Y52&lt;&gt;FALSE,INDEX(Banco,$Y52,6),""),"")</f>
        <v>Caixa</v>
      </c>
      <c r="Q52" s="134">
        <v>1</v>
      </c>
      <c r="R52" s="124">
        <f t="shared" ref="R52:R82" ca="1" si="42">IF(NOT(ISERROR($Y52)),IF($Y52&lt;&gt;FALSE,INDEX(Banco,$Y52,7),0),0)</f>
        <v>77.400000000000006</v>
      </c>
      <c r="S52" s="136" t="s">
        <v>62</v>
      </c>
      <c r="T52" s="123">
        <f t="shared" ref="T52:T82" ca="1" si="43">IF($J52=$G$2,ROUND(ROUND($R52,2)*IF($R$9="Preço Unitário (R$)",1,1+$AA52),2),0)</f>
        <v>96.75</v>
      </c>
      <c r="U52" s="126">
        <f t="shared" ref="U52:U82" ca="1" si="44">IF($A52="S",VTOTAL1,IF($A52=0,0,ROUND(SomaAgrup,2)))</f>
        <v>96.75</v>
      </c>
      <c r="V52" s="1"/>
      <c r="W52" s="39" t="str">
        <f ca="1">IF(OR($A52=0,$A52="S",$A52&gt;CFF!$A$9),"",MAX(W$11:OFFSET(W52,-1,0))+1)</f>
        <v/>
      </c>
      <c r="X52" s="4" t="str">
        <f t="shared" ref="X52:X82" si="45">IF(AND($J52=$G$2,$N52&lt;&gt;"",$M52&lt;&gt;""),CONCATENATE($M52,"-",$N52))</f>
        <v>Rec. Materiais-019</v>
      </c>
      <c r="Y52" s="39">
        <f t="shared" ref="Y52:Y82" ca="1" si="46">IF(X52&lt;&gt;FALSE,MATCH(X52,OFFSET(Banco,0,0,,1),0))</f>
        <v>28</v>
      </c>
      <c r="Z52" s="1"/>
      <c r="AA52" s="133">
        <f>IF($J52=$G$2,ROUND(IF(ISNUMBER(S52),S52,IF(LEFT(S52,2)="DI",HLOOKUP(S52,DADOS!$T$29:$X$30,2,FALSE),0)),4),"")</f>
        <v>0.25</v>
      </c>
      <c r="AB52" s="2"/>
    </row>
    <row r="53" spans="1:28" ht="25.5">
      <c r="A53">
        <f>CHOOSE(1+LOG(1+2*(J53=$C$2)+4*(J53=$D$2)+8*(J53=$E$2)+16*(J53=$F$2)+32*(J53=$G$2),2),0,1,2,3,4,"S")</f>
        <v>2</v>
      </c>
      <c r="B53">
        <f ca="1">IF(OR(A53="S",A53=0),0,IF(ISERROR(I53),H53,SMALL(H53:I53,1)))</f>
        <v>31</v>
      </c>
      <c r="C53">
        <f ca="1">IF($A53=1,OFFSET(C53,-1,0)+1,OFFSET(C53,-1,0))</f>
        <v>1</v>
      </c>
      <c r="D53">
        <f ca="1">IF($A53=1,0,IF($A53=2,OFFSET(D53,-1,0)+1,OFFSET(D53,-1,0)))</f>
        <v>2</v>
      </c>
      <c r="E53">
        <f ca="1">IF(AND($A53&lt;=2,$A53&lt;&gt;0),0,IF($A53=3,OFFSET(E53,-1,0)+1,OFFSET(E53,-1,0)))</f>
        <v>0</v>
      </c>
      <c r="F53">
        <f ca="1">IF(AND($A53&lt;=3,$A53&lt;&gt;0),0,IF($A53=4,OFFSET(F53,-1,0)+1,OFFSET(F53,-1,0)))</f>
        <v>0</v>
      </c>
      <c r="G53">
        <f ca="1">IF(AND($A53&lt;=4,$A53&lt;&gt;0),0,IF($A53="S",OFFSET(G53,-1,0)+1,OFFSET(G53,-1,0)))</f>
        <v>0</v>
      </c>
      <c r="H53">
        <f ca="1">IF(OR($A53="S",$A53=0),0,MATCH(0,OFFSET($B53,1,$A53,ROW($A$1504)-ROW($A53)),0))</f>
        <v>60</v>
      </c>
      <c r="I53">
        <f ca="1">IF(OR($A53="S",$A53=0),0,MATCH(OFFSET($B53,0,$A53)+1,OFFSET($B53,1,$A53,ROW($A$1504)-ROW($A53)),0))</f>
        <v>31</v>
      </c>
      <c r="J53" s="132" t="s">
        <v>68</v>
      </c>
      <c r="K53" s="121" t="str">
        <f ca="1">IF($A53=0,"-",CONCATENATE(C53&amp;".",IF(AND($A$5&gt;=2,$A53&gt;=2),D53&amp;".",""),IF(AND($A$5&gt;=3,$A53&gt;=3),E53&amp;".",""),IF(AND($A$5&gt;=4,$A53&gt;=4),F53&amp;".",""),IF($A53="S",G53&amp;".","")))</f>
        <v>1.2.</v>
      </c>
      <c r="L53" s="137" t="str">
        <f ca="1">IF(NOT(ISERROR($Y53)),IF($Y53&lt;&gt;FALSE,INDEX(Banco,$Y53,4),""),"")</f>
        <v/>
      </c>
      <c r="M53" s="122"/>
      <c r="N53" s="139"/>
      <c r="O53" s="137" t="s">
        <v>349</v>
      </c>
      <c r="P53" s="138" t="str">
        <f ca="1">IF(NOT(ISERROR($Y53)),IF($Y53&lt;&gt;FALSE,INDEX(Banco,$Y53,6),""),"")</f>
        <v/>
      </c>
      <c r="Q53" s="134"/>
      <c r="R53" s="124">
        <f ca="1">IF(NOT(ISERROR($Y53)),IF($Y53&lt;&gt;FALSE,INDEX(Banco,$Y53,7),0),0)</f>
        <v>0</v>
      </c>
      <c r="S53" s="136" t="s">
        <v>62</v>
      </c>
      <c r="T53" s="123">
        <f>IF($J53=$G$2,ROUND(ROUND($R53,2)*IF($R$9="Preço Unitário (R$)",1,1+$AA53),2),0)</f>
        <v>0</v>
      </c>
      <c r="U53" s="126">
        <f ca="1">IF($A53="S",VTOTAL1,IF($A53=0,0,ROUND(SomaAgrup,2)))</f>
        <v>9649.6</v>
      </c>
      <c r="V53" s="1"/>
      <c r="W53" s="39">
        <f ca="1">IF(OR($A53=0,$A53="S",$A53&gt;CFF!$A$9),"",MAX(W$11:OFFSET(W53,-1,0))+1)</f>
        <v>3</v>
      </c>
      <c r="X53" s="4" t="b">
        <f>IF(AND($J53=$G$2,$N53&lt;&gt;"",$M53&lt;&gt;""),CONCATENATE($M53,"-",$N53))</f>
        <v>0</v>
      </c>
      <c r="Y53" s="39" t="b">
        <f ca="1">IF(X53&lt;&gt;FALSE,MATCH(X53,OFFSET(Banco,0,0,,1),0))</f>
        <v>0</v>
      </c>
      <c r="Z53" s="1"/>
      <c r="AA53" s="133" t="str">
        <f>IF($J53=$G$2,ROUND(IF(ISNUMBER(S53),S53,IF(LEFT(S53,2)="DI",HLOOKUP(S53,DADOS!$T$29:$X$30,2,FALSE),0)),4),"")</f>
        <v/>
      </c>
      <c r="AB53" s="2"/>
    </row>
    <row r="54" spans="1:28">
      <c r="A54" t="str">
        <f t="shared" si="32"/>
        <v>S</v>
      </c>
      <c r="B54">
        <f t="shared" si="33"/>
        <v>0</v>
      </c>
      <c r="C54">
        <f t="shared" ca="1" si="34"/>
        <v>1</v>
      </c>
      <c r="D54">
        <f t="shared" ca="1" si="35"/>
        <v>2</v>
      </c>
      <c r="E54">
        <f t="shared" ca="1" si="36"/>
        <v>0</v>
      </c>
      <c r="F54">
        <f t="shared" ca="1" si="37"/>
        <v>0</v>
      </c>
      <c r="G54">
        <f t="shared" ca="1" si="38"/>
        <v>1</v>
      </c>
      <c r="H54">
        <f ca="1">IF(OR($A54="S",$A54=0),0,MATCH(0,OFFSET($B54,1,$A54,ROW($A$1504)-ROW($A54)),0))</f>
        <v>0</v>
      </c>
      <c r="I54">
        <f ca="1">IF(OR($A54="S",$A54=0),0,MATCH(OFFSET($B54,0,$A54)+1,OFFSET($B54,1,$A54,ROW($A$1504)-ROW($A54)),0))</f>
        <v>0</v>
      </c>
      <c r="J54" s="132" t="s">
        <v>29</v>
      </c>
      <c r="K54" s="121" t="str">
        <f t="shared" ca="1" si="39"/>
        <v>1.2.1.</v>
      </c>
      <c r="L54" s="137" t="str">
        <f t="shared" ca="1" si="40"/>
        <v>CRESS</v>
      </c>
      <c r="M54" s="122" t="s">
        <v>78</v>
      </c>
      <c r="N54" s="139" t="s">
        <v>149</v>
      </c>
      <c r="O54" s="137" t="str">
        <f t="shared" ref="O54:O83" ca="1" si="47">IF(NOT(ISERROR($Y54)),IF($Y54&lt;&gt;FALSE,INDEX(Banco,$Y54,5),""),"")</f>
        <v>Responsável Técnica</v>
      </c>
      <c r="P54" s="138" t="str">
        <f t="shared" ca="1" si="41"/>
        <v>Horas</v>
      </c>
      <c r="Q54" s="134">
        <v>9</v>
      </c>
      <c r="R54" s="124">
        <f t="shared" ca="1" si="42"/>
        <v>150.28</v>
      </c>
      <c r="S54" s="136" t="s">
        <v>62</v>
      </c>
      <c r="T54" s="123">
        <f t="shared" ca="1" si="43"/>
        <v>187.85</v>
      </c>
      <c r="U54" s="126">
        <f t="shared" ca="1" si="44"/>
        <v>1690.65</v>
      </c>
      <c r="V54" s="1"/>
      <c r="W54" s="39" t="str">
        <f ca="1">IF(OR($A54=0,$A54="S",$A54&gt;CFF!$A$9),"",MAX(W$11:OFFSET(W54,-1,0))+1)</f>
        <v/>
      </c>
      <c r="X54" s="4" t="str">
        <f t="shared" si="45"/>
        <v>Rec. Humanos-001</v>
      </c>
      <c r="Y54" s="39">
        <f t="shared" ca="1" si="46"/>
        <v>3</v>
      </c>
      <c r="Z54" s="1"/>
      <c r="AA54" s="133">
        <f>IF($J54=$G$2,ROUND(IF(ISNUMBER(S54),S54,IF(LEFT(S54,2)="DI",HLOOKUP(S54,DADOS!$T$29:$X$30,2,FALSE),0)),4),"")</f>
        <v>0.25</v>
      </c>
      <c r="AB54" s="2"/>
    </row>
    <row r="55" spans="1:28">
      <c r="A55" t="str">
        <f t="shared" si="32"/>
        <v>S</v>
      </c>
      <c r="B55">
        <f t="shared" si="33"/>
        <v>0</v>
      </c>
      <c r="C55">
        <f t="shared" ca="1" si="34"/>
        <v>1</v>
      </c>
      <c r="D55">
        <f t="shared" ca="1" si="35"/>
        <v>2</v>
      </c>
      <c r="E55">
        <f t="shared" ca="1" si="36"/>
        <v>0</v>
      </c>
      <c r="F55">
        <f t="shared" ca="1" si="37"/>
        <v>0</v>
      </c>
      <c r="G55">
        <f t="shared" ca="1" si="38"/>
        <v>2</v>
      </c>
      <c r="H55">
        <f ca="1">IF(OR($A55="S",$A55=0),0,MATCH(0,OFFSET($B55,1,$A55,ROW($A$1504)-ROW($A55)),0))</f>
        <v>0</v>
      </c>
      <c r="I55">
        <f ca="1">IF(OR($A55="S",$A55=0),0,MATCH(OFFSET($B55,0,$A55)+1,OFFSET($B55,1,$A55,ROW($A$1504)-ROW($A55)),0))</f>
        <v>0</v>
      </c>
      <c r="J55" s="132" t="s">
        <v>29</v>
      </c>
      <c r="K55" s="121" t="str">
        <f t="shared" ca="1" si="39"/>
        <v>1.2.2.</v>
      </c>
      <c r="L55" s="137" t="str">
        <f t="shared" ca="1" si="40"/>
        <v>CRESS</v>
      </c>
      <c r="M55" s="122" t="s">
        <v>78</v>
      </c>
      <c r="N55" s="139" t="s">
        <v>152</v>
      </c>
      <c r="O55" s="137" t="str">
        <f t="shared" ca="1" si="47"/>
        <v>Assistente Social</v>
      </c>
      <c r="P55" s="138" t="str">
        <f t="shared" ca="1" si="41"/>
        <v>Horas</v>
      </c>
      <c r="Q55" s="134">
        <v>7</v>
      </c>
      <c r="R55" s="124">
        <f t="shared" ca="1" si="42"/>
        <v>133.81</v>
      </c>
      <c r="S55" s="136" t="s">
        <v>62</v>
      </c>
      <c r="T55" s="123">
        <f t="shared" ca="1" si="43"/>
        <v>167.26</v>
      </c>
      <c r="U55" s="126">
        <f t="shared" ca="1" si="44"/>
        <v>1170.82</v>
      </c>
      <c r="V55" s="1"/>
      <c r="W55" s="39" t="str">
        <f ca="1">IF(OR($A55=0,$A55="S",$A55&gt;CFF!$A$9),"",MAX(W$11:OFFSET(W55,-1,0))+1)</f>
        <v/>
      </c>
      <c r="X55" s="4" t="str">
        <f t="shared" si="45"/>
        <v>Rec. Humanos-002</v>
      </c>
      <c r="Y55" s="39">
        <f t="shared" ca="1" si="46"/>
        <v>4</v>
      </c>
      <c r="Z55" s="1"/>
      <c r="AA55" s="133">
        <f>IF($J55=$G$2,ROUND(IF(ISNUMBER(S55),S55,IF(LEFT(S55,2)="DI",HLOOKUP(S55,DADOS!$T$29:$X$30,2,FALSE),0)),4),"")</f>
        <v>0.25</v>
      </c>
      <c r="AB55" s="2"/>
    </row>
    <row r="56" spans="1:28">
      <c r="A56" t="str">
        <f t="shared" si="32"/>
        <v>S</v>
      </c>
      <c r="B56">
        <f t="shared" si="33"/>
        <v>0</v>
      </c>
      <c r="C56">
        <f t="shared" ca="1" si="34"/>
        <v>1</v>
      </c>
      <c r="D56">
        <f t="shared" ca="1" si="35"/>
        <v>2</v>
      </c>
      <c r="E56">
        <f t="shared" ca="1" si="36"/>
        <v>0</v>
      </c>
      <c r="F56">
        <f t="shared" ca="1" si="37"/>
        <v>0</v>
      </c>
      <c r="G56">
        <f t="shared" ca="1" si="38"/>
        <v>3</v>
      </c>
      <c r="H56">
        <f ca="1">IF(OR($A56="S",$A56=0),0,MATCH(0,OFFSET($B56,1,$A56,ROW($A$1504)-ROW($A56)),0))</f>
        <v>0</v>
      </c>
      <c r="I56">
        <f ca="1">IF(OR($A56="S",$A56=0),0,MATCH(OFFSET($B56,0,$A56)+1,OFFSET($B56,1,$A56,ROW($A$1504)-ROW($A56)),0))</f>
        <v>0</v>
      </c>
      <c r="J56" s="132" t="s">
        <v>29</v>
      </c>
      <c r="K56" s="121" t="str">
        <f t="shared" ca="1" si="39"/>
        <v>1.2.3.</v>
      </c>
      <c r="L56" s="137" t="str">
        <f t="shared" ca="1" si="40"/>
        <v>Cotação</v>
      </c>
      <c r="M56" s="122" t="s">
        <v>78</v>
      </c>
      <c r="N56" s="139" t="s">
        <v>151</v>
      </c>
      <c r="O56" s="137" t="str">
        <f t="shared" ca="1" si="47"/>
        <v xml:space="preserve">Administrador (Técnico de Apoio) </v>
      </c>
      <c r="P56" s="138" t="str">
        <f t="shared" ca="1" si="41"/>
        <v>Horas</v>
      </c>
      <c r="Q56" s="134">
        <v>4</v>
      </c>
      <c r="R56" s="124">
        <f t="shared" ca="1" si="42"/>
        <v>103.65</v>
      </c>
      <c r="S56" s="136" t="s">
        <v>62</v>
      </c>
      <c r="T56" s="123">
        <f t="shared" ca="1" si="43"/>
        <v>129.56</v>
      </c>
      <c r="U56" s="126">
        <f t="shared" ca="1" si="44"/>
        <v>518.24</v>
      </c>
      <c r="V56" s="1"/>
      <c r="W56" s="39" t="str">
        <f ca="1">IF(OR($A56=0,$A56="S",$A56&gt;CFF!$A$9),"",MAX(W$11:OFFSET(W56,-1,0))+1)</f>
        <v/>
      </c>
      <c r="X56" s="4" t="str">
        <f t="shared" si="45"/>
        <v>Rec. Humanos-003</v>
      </c>
      <c r="Y56" s="39">
        <f t="shared" ca="1" si="46"/>
        <v>5</v>
      </c>
      <c r="Z56" s="1"/>
      <c r="AA56" s="133">
        <f>IF($J56=$G$2,ROUND(IF(ISNUMBER(S56),S56,IF(LEFT(S56,2)="DI",HLOOKUP(S56,DADOS!$T$29:$X$30,2,FALSE),0)),4),"")</f>
        <v>0.25</v>
      </c>
      <c r="AB56" s="2"/>
    </row>
    <row r="57" spans="1:28">
      <c r="A57" t="str">
        <f t="shared" si="32"/>
        <v>S</v>
      </c>
      <c r="B57">
        <f t="shared" si="33"/>
        <v>0</v>
      </c>
      <c r="C57">
        <f t="shared" ca="1" si="34"/>
        <v>1</v>
      </c>
      <c r="D57">
        <f t="shared" ca="1" si="35"/>
        <v>2</v>
      </c>
      <c r="E57">
        <f t="shared" ca="1" si="36"/>
        <v>0</v>
      </c>
      <c r="F57">
        <f t="shared" ca="1" si="37"/>
        <v>0</v>
      </c>
      <c r="G57">
        <f t="shared" ca="1" si="38"/>
        <v>4</v>
      </c>
      <c r="H57">
        <f ca="1">IF(OR($A57="S",$A57=0),0,MATCH(0,OFFSET($B57,1,$A57,ROW($A$1504)-ROW($A57)),0))</f>
        <v>0</v>
      </c>
      <c r="I57">
        <f ca="1">IF(OR($A57="S",$A57=0),0,MATCH(OFFSET($B57,0,$A57)+1,OFFSET($B57,1,$A57,ROW($A$1504)-ROW($A57)),0))</f>
        <v>0</v>
      </c>
      <c r="J57" s="132" t="s">
        <v>29</v>
      </c>
      <c r="K57" s="121" t="str">
        <f t="shared" ca="1" si="39"/>
        <v>1.2.4.</v>
      </c>
      <c r="L57" s="137" t="str">
        <f t="shared" ca="1" si="40"/>
        <v>SINE</v>
      </c>
      <c r="M57" s="122" t="s">
        <v>78</v>
      </c>
      <c r="N57" s="139" t="s">
        <v>153</v>
      </c>
      <c r="O57" s="137" t="str">
        <f t="shared" ca="1" si="47"/>
        <v>Estagiários</v>
      </c>
      <c r="P57" s="138" t="str">
        <f t="shared" ca="1" si="41"/>
        <v>Horas</v>
      </c>
      <c r="Q57" s="134">
        <v>16</v>
      </c>
      <c r="R57" s="124">
        <f t="shared" ca="1" si="42"/>
        <v>9.7899999999999991</v>
      </c>
      <c r="S57" s="136" t="s">
        <v>62</v>
      </c>
      <c r="T57" s="123">
        <f t="shared" ca="1" si="43"/>
        <v>12.24</v>
      </c>
      <c r="U57" s="126">
        <f t="shared" ca="1" si="44"/>
        <v>195.84</v>
      </c>
      <c r="V57" s="1"/>
      <c r="W57" s="39" t="str">
        <f ca="1">IF(OR($A57=0,$A57="S",$A57&gt;CFF!$A$9),"",MAX(W$11:OFFSET(W57,-1,0))+1)</f>
        <v/>
      </c>
      <c r="X57" s="4" t="str">
        <f t="shared" si="45"/>
        <v>Rec. Humanos-004</v>
      </c>
      <c r="Y57" s="39">
        <f t="shared" ca="1" si="46"/>
        <v>6</v>
      </c>
      <c r="Z57" s="1"/>
      <c r="AA57" s="133">
        <f>IF($J57=$G$2,ROUND(IF(ISNUMBER(S57),S57,IF(LEFT(S57,2)="DI",HLOOKUP(S57,DADOS!$T$29:$X$30,2,FALSE),0)),4),"")</f>
        <v>0.25</v>
      </c>
      <c r="AB57" s="2"/>
    </row>
    <row r="58" spans="1:28">
      <c r="A58" t="str">
        <f t="shared" si="32"/>
        <v>S</v>
      </c>
      <c r="B58">
        <f t="shared" si="33"/>
        <v>0</v>
      </c>
      <c r="C58">
        <f t="shared" ca="1" si="34"/>
        <v>1</v>
      </c>
      <c r="D58">
        <f t="shared" ca="1" si="35"/>
        <v>2</v>
      </c>
      <c r="E58">
        <f t="shared" ca="1" si="36"/>
        <v>0</v>
      </c>
      <c r="F58">
        <f t="shared" ca="1" si="37"/>
        <v>0</v>
      </c>
      <c r="G58">
        <f t="shared" ca="1" si="38"/>
        <v>5</v>
      </c>
      <c r="H58">
        <f ca="1">IF(OR($A58="S",$A58=0),0,MATCH(0,OFFSET($B58,1,$A58,ROW($A$1504)-ROW($A58)),0))</f>
        <v>0</v>
      </c>
      <c r="I58">
        <f ca="1">IF(OR($A58="S",$A58=0),0,MATCH(OFFSET($B58,0,$A58)+1,OFFSET($B58,1,$A58,ROW($A$1504)-ROW($A58)),0))</f>
        <v>0</v>
      </c>
      <c r="J58" s="132" t="s">
        <v>29</v>
      </c>
      <c r="K58" s="121" t="str">
        <f t="shared" ca="1" si="39"/>
        <v>1.2.5.</v>
      </c>
      <c r="L58" s="137" t="str">
        <f t="shared" ca="1" si="40"/>
        <v>Cotação</v>
      </c>
      <c r="M58" s="122" t="s">
        <v>80</v>
      </c>
      <c r="N58" s="139" t="s">
        <v>149</v>
      </c>
      <c r="O58" s="137" t="str">
        <f t="shared" ca="1" si="47"/>
        <v>Fotocópias</v>
      </c>
      <c r="P58" s="138" t="str">
        <f t="shared" ca="1" si="41"/>
        <v>Unidade</v>
      </c>
      <c r="Q58" s="134">
        <v>105</v>
      </c>
      <c r="R58" s="124">
        <f t="shared" ca="1" si="42"/>
        <v>0.3</v>
      </c>
      <c r="S58" s="136" t="s">
        <v>62</v>
      </c>
      <c r="T58" s="123">
        <f t="shared" ca="1" si="43"/>
        <v>0.38</v>
      </c>
      <c r="U58" s="126">
        <f t="shared" ca="1" si="44"/>
        <v>39.9</v>
      </c>
      <c r="V58" s="1"/>
      <c r="W58" s="39" t="str">
        <f ca="1">IF(OR($A58=0,$A58="S",$A58&gt;CFF!$A$9),"",MAX(W$11:OFFSET(W58,-1,0))+1)</f>
        <v/>
      </c>
      <c r="X58" s="4" t="str">
        <f t="shared" si="45"/>
        <v>Serv. Terc.-001</v>
      </c>
      <c r="Y58" s="39">
        <f t="shared" ca="1" si="46"/>
        <v>81</v>
      </c>
      <c r="Z58" s="1"/>
      <c r="AA58" s="133">
        <f>IF($J58=$G$2,ROUND(IF(ISNUMBER(S58),S58,IF(LEFT(S58,2)="DI",HLOOKUP(S58,DADOS!$T$29:$X$30,2,FALSE),0)),4),"")</f>
        <v>0.25</v>
      </c>
      <c r="AB58" s="2"/>
    </row>
    <row r="59" spans="1:28">
      <c r="A59" t="str">
        <f t="shared" si="32"/>
        <v>S</v>
      </c>
      <c r="B59">
        <f t="shared" si="33"/>
        <v>0</v>
      </c>
      <c r="C59">
        <f t="shared" ca="1" si="34"/>
        <v>1</v>
      </c>
      <c r="D59">
        <f t="shared" ca="1" si="35"/>
        <v>2</v>
      </c>
      <c r="E59">
        <f t="shared" ca="1" si="36"/>
        <v>0</v>
      </c>
      <c r="F59">
        <f t="shared" ca="1" si="37"/>
        <v>0</v>
      </c>
      <c r="G59">
        <f t="shared" ca="1" si="38"/>
        <v>6</v>
      </c>
      <c r="H59">
        <f ca="1">IF(OR($A59="S",$A59=0),0,MATCH(0,OFFSET($B59,1,$A59,ROW($A$1504)-ROW($A59)),0))</f>
        <v>0</v>
      </c>
      <c r="I59">
        <f ca="1">IF(OR($A59="S",$A59=0),0,MATCH(OFFSET($B59,0,$A59)+1,OFFSET($B59,1,$A59,ROW($A$1504)-ROW($A59)),0))</f>
        <v>0</v>
      </c>
      <c r="J59" s="132" t="s">
        <v>29</v>
      </c>
      <c r="K59" s="121" t="str">
        <f t="shared" ca="1" si="39"/>
        <v>1.2.6.</v>
      </c>
      <c r="L59" s="137" t="str">
        <f t="shared" ca="1" si="40"/>
        <v>Cotação</v>
      </c>
      <c r="M59" s="122" t="s">
        <v>80</v>
      </c>
      <c r="N59" s="139" t="s">
        <v>152</v>
      </c>
      <c r="O59" s="137" t="str">
        <f t="shared" ca="1" si="47"/>
        <v>Carro de som com gravação de vinheta</v>
      </c>
      <c r="P59" s="138" t="str">
        <f t="shared" ca="1" si="41"/>
        <v>Horas</v>
      </c>
      <c r="Q59" s="134">
        <v>3</v>
      </c>
      <c r="R59" s="124">
        <f t="shared" ca="1" si="42"/>
        <v>200</v>
      </c>
      <c r="S59" s="136" t="s">
        <v>62</v>
      </c>
      <c r="T59" s="123">
        <f t="shared" ca="1" si="43"/>
        <v>250</v>
      </c>
      <c r="U59" s="126">
        <f t="shared" ca="1" si="44"/>
        <v>750</v>
      </c>
      <c r="V59" s="1"/>
      <c r="W59" s="39" t="str">
        <f ca="1">IF(OR($A59=0,$A59="S",$A59&gt;CFF!$A$9),"",MAX(W$11:OFFSET(W59,-1,0))+1)</f>
        <v/>
      </c>
      <c r="X59" s="4" t="str">
        <f t="shared" si="45"/>
        <v>Serv. Terc.-002</v>
      </c>
      <c r="Y59" s="39">
        <f t="shared" ca="1" si="46"/>
        <v>82</v>
      </c>
      <c r="Z59" s="1"/>
      <c r="AA59" s="133">
        <f>IF($J59=$G$2,ROUND(IF(ISNUMBER(S59),S59,IF(LEFT(S59,2)="DI",HLOOKUP(S59,DADOS!$T$29:$X$30,2,FALSE),0)),4),"")</f>
        <v>0.25</v>
      </c>
      <c r="AB59" s="2"/>
    </row>
    <row r="60" spans="1:28">
      <c r="A60" t="str">
        <f>CHOOSE(1+LOG(1+2*(J60=$C$2)+4*(J60=$D$2)+8*(J60=$E$2)+16*(J60=$F$2)+32*(J60=$G$2),2),0,1,2,3,4,"S")</f>
        <v>S</v>
      </c>
      <c r="B60">
        <f>IF(OR(A60="S",A60=0),0,IF(ISERROR(I60),H60,SMALL(H60:I60,1)))</f>
        <v>0</v>
      </c>
      <c r="C60">
        <f ca="1">IF($A60=1,OFFSET(C60,-1,0)+1,OFFSET(C60,-1,0))</f>
        <v>1</v>
      </c>
      <c r="D60">
        <f ca="1">IF($A60=1,0,IF($A60=2,OFFSET(D60,-1,0)+1,OFFSET(D60,-1,0)))</f>
        <v>2</v>
      </c>
      <c r="E60">
        <f ca="1">IF(AND($A60&lt;=2,$A60&lt;&gt;0),0,IF($A60=3,OFFSET(E60,-1,0)+1,OFFSET(E60,-1,0)))</f>
        <v>0</v>
      </c>
      <c r="F60">
        <f ca="1">IF(AND($A60&lt;=3,$A60&lt;&gt;0),0,IF($A60=4,OFFSET(F60,-1,0)+1,OFFSET(F60,-1,0)))</f>
        <v>0</v>
      </c>
      <c r="G60">
        <f ca="1">IF(AND($A60&lt;=4,$A60&lt;&gt;0),0,IF($A60="S",OFFSET(G60,-1,0)+1,OFFSET(G60,-1,0)))</f>
        <v>7</v>
      </c>
      <c r="H60">
        <f ca="1">IF(OR($A60="S",$A60=0),0,MATCH(0,OFFSET($B60,1,$A60,ROW($A$1504)-ROW($A60)),0))</f>
        <v>0</v>
      </c>
      <c r="I60">
        <f ca="1">IF(OR($A60="S",$A60=0),0,MATCH(OFFSET($B60,0,$A60)+1,OFFSET($B60,1,$A60,ROW($A$1504)-ROW($A60)),0))</f>
        <v>0</v>
      </c>
      <c r="J60" s="132" t="s">
        <v>29</v>
      </c>
      <c r="K60" s="121" t="str">
        <f ca="1">IF($A60=0,"-",CONCATENATE(C60&amp;".",IF(AND($A$5&gt;=2,$A60&gt;=2),D60&amp;".",""),IF(AND($A$5&gt;=3,$A60&gt;=3),E60&amp;".",""),IF(AND($A$5&gt;=4,$A60&gt;=4),F60&amp;".",""),IF($A60="S",G60&amp;".","")))</f>
        <v>1.2.7.</v>
      </c>
      <c r="L60" s="137" t="str">
        <f ca="1">IF(NOT(ISERROR($Y60)),IF($Y60&lt;&gt;FALSE,INDEX(Banco,$Y60,4),""),"")</f>
        <v>Cotação</v>
      </c>
      <c r="M60" s="122" t="s">
        <v>80</v>
      </c>
      <c r="N60" s="139" t="s">
        <v>256</v>
      </c>
      <c r="O60" s="137" t="str">
        <f ca="1">IF(NOT(ISERROR($Y60)),IF($Y60&lt;&gt;FALSE,INDEX(Banco,$Y60,5),""),"")</f>
        <v>Instrutor/Monitor (Educação Fisíca)</v>
      </c>
      <c r="P60" s="138" t="str">
        <f ca="1">IF(NOT(ISERROR($Y60)),IF($Y60&lt;&gt;FALSE,INDEX(Banco,$Y60,6),""),"")</f>
        <v>Horas</v>
      </c>
      <c r="Q60" s="134">
        <v>3</v>
      </c>
      <c r="R60" s="124">
        <f ca="1">IF(NOT(ISERROR($Y60)),IF($Y60&lt;&gt;FALSE,INDEX(Banco,$Y60,7),0),0)</f>
        <v>100</v>
      </c>
      <c r="S60" s="136" t="s">
        <v>62</v>
      </c>
      <c r="T60" s="123">
        <f ca="1">IF($J60=$G$2,ROUND(ROUND($R60,2)*IF($R$9="Preço Unitário (R$)",1,1+$AA60),2),0)</f>
        <v>125</v>
      </c>
      <c r="U60" s="126">
        <f ca="1">IF($A60="S",VTOTAL1,IF($A60=0,0,ROUND(SomaAgrup,2)))</f>
        <v>375</v>
      </c>
      <c r="V60" s="1"/>
      <c r="W60" s="39" t="str">
        <f ca="1">IF(OR($A60=0,$A60="S",$A60&gt;CFF!$A$9),"",MAX(W$11:OFFSET(W60,-1,0))+1)</f>
        <v/>
      </c>
      <c r="X60" s="4" t="str">
        <f>IF(AND($J60=$G$2,$N60&lt;&gt;"",$M60&lt;&gt;""),CONCATENATE($M60,"-",$N60))</f>
        <v>Serv. Terc.-017</v>
      </c>
      <c r="Y60" s="39">
        <f ca="1">IF(X60&lt;&gt;FALSE,MATCH(X60,OFFSET(Banco,0,0,,1),0))</f>
        <v>97</v>
      </c>
      <c r="Z60" s="1"/>
      <c r="AA60" s="133">
        <f>IF($J60=$G$2,ROUND(IF(ISNUMBER(S60),S60,IF(LEFT(S60,2)="DI",HLOOKUP(S60,DADOS!$T$29:$X$30,2,FALSE),0)),4),"")</f>
        <v>0.25</v>
      </c>
      <c r="AB60" s="2"/>
    </row>
    <row r="61" spans="1:28">
      <c r="A61" t="str">
        <f t="shared" si="32"/>
        <v>S</v>
      </c>
      <c r="B61">
        <f t="shared" si="33"/>
        <v>0</v>
      </c>
      <c r="C61">
        <f t="shared" ca="1" si="34"/>
        <v>1</v>
      </c>
      <c r="D61">
        <f t="shared" ca="1" si="35"/>
        <v>2</v>
      </c>
      <c r="E61">
        <f t="shared" ca="1" si="36"/>
        <v>0</v>
      </c>
      <c r="F61">
        <f t="shared" ca="1" si="37"/>
        <v>0</v>
      </c>
      <c r="G61">
        <f t="shared" ca="1" si="38"/>
        <v>8</v>
      </c>
      <c r="H61">
        <f ca="1">IF(OR($A61="S",$A61=0),0,MATCH(0,OFFSET($B61,1,$A61,ROW($A$1504)-ROW($A61)),0))</f>
        <v>0</v>
      </c>
      <c r="I61">
        <f ca="1">IF(OR($A61="S",$A61=0),0,MATCH(OFFSET($B61,0,$A61)+1,OFFSET($B61,1,$A61,ROW($A$1504)-ROW($A61)),0))</f>
        <v>0</v>
      </c>
      <c r="J61" s="132" t="s">
        <v>29</v>
      </c>
      <c r="K61" s="121" t="str">
        <f t="shared" ca="1" si="39"/>
        <v>1.2.8.</v>
      </c>
      <c r="L61" s="137" t="str">
        <f t="shared" ca="1" si="40"/>
        <v>Cotação</v>
      </c>
      <c r="M61" s="122" t="s">
        <v>80</v>
      </c>
      <c r="N61" s="139" t="s">
        <v>154</v>
      </c>
      <c r="O61" s="137" t="str">
        <f t="shared" ca="1" si="47"/>
        <v>Locação de caixa térmica</v>
      </c>
      <c r="P61" s="138" t="str">
        <f t="shared" ca="1" si="41"/>
        <v>Unidade</v>
      </c>
      <c r="Q61" s="134">
        <v>2</v>
      </c>
      <c r="R61" s="124">
        <f t="shared" ca="1" si="42"/>
        <v>40</v>
      </c>
      <c r="S61" s="136" t="s">
        <v>62</v>
      </c>
      <c r="T61" s="123">
        <f t="shared" ca="1" si="43"/>
        <v>50</v>
      </c>
      <c r="U61" s="126">
        <f t="shared" ca="1" si="44"/>
        <v>100</v>
      </c>
      <c r="V61" s="1"/>
      <c r="W61" s="39" t="str">
        <f ca="1">IF(OR($A61=0,$A61="S",$A61&gt;CFF!$A$9),"",MAX(W$11:OFFSET(W61,-1,0))+1)</f>
        <v/>
      </c>
      <c r="X61" s="4" t="str">
        <f t="shared" si="45"/>
        <v>Serv. Terc.-005</v>
      </c>
      <c r="Y61" s="39">
        <f t="shared" ca="1" si="46"/>
        <v>85</v>
      </c>
      <c r="Z61" s="1"/>
      <c r="AA61" s="133">
        <f>IF($J61=$G$2,ROUND(IF(ISNUMBER(S61),S61,IF(LEFT(S61,2)="DI",HLOOKUP(S61,DADOS!$T$29:$X$30,2,FALSE),0)),4),"")</f>
        <v>0.25</v>
      </c>
      <c r="AB61" s="2"/>
    </row>
    <row r="62" spans="1:28">
      <c r="A62" t="str">
        <f t="shared" si="32"/>
        <v>S</v>
      </c>
      <c r="B62">
        <f t="shared" si="33"/>
        <v>0</v>
      </c>
      <c r="C62">
        <f t="shared" ca="1" si="34"/>
        <v>1</v>
      </c>
      <c r="D62">
        <f t="shared" ca="1" si="35"/>
        <v>2</v>
      </c>
      <c r="E62">
        <f t="shared" ca="1" si="36"/>
        <v>0</v>
      </c>
      <c r="F62">
        <f t="shared" ca="1" si="37"/>
        <v>0</v>
      </c>
      <c r="G62">
        <f t="shared" ca="1" si="38"/>
        <v>9</v>
      </c>
      <c r="H62">
        <f ca="1">IF(OR($A62="S",$A62=0),0,MATCH(0,OFFSET($B62,1,$A62,ROW($A$1504)-ROW($A62)),0))</f>
        <v>0</v>
      </c>
      <c r="I62">
        <f ca="1">IF(OR($A62="S",$A62=0),0,MATCH(OFFSET($B62,0,$A62)+1,OFFSET($B62,1,$A62,ROW($A$1504)-ROW($A62)),0))</f>
        <v>0</v>
      </c>
      <c r="J62" s="132" t="s">
        <v>29</v>
      </c>
      <c r="K62" s="121" t="str">
        <f t="shared" ca="1" si="39"/>
        <v>1.2.9.</v>
      </c>
      <c r="L62" s="137" t="str">
        <f t="shared" ca="1" si="40"/>
        <v>Cotação</v>
      </c>
      <c r="M62" s="122" t="s">
        <v>80</v>
      </c>
      <c r="N62" s="139" t="s">
        <v>157</v>
      </c>
      <c r="O62" s="137" t="str">
        <f t="shared" ca="1" si="47"/>
        <v>Locação de pula-pula com monitor</v>
      </c>
      <c r="P62" s="138" t="str">
        <f t="shared" ca="1" si="41"/>
        <v>Unidade</v>
      </c>
      <c r="Q62" s="134">
        <v>2</v>
      </c>
      <c r="R62" s="124">
        <f t="shared" ca="1" si="42"/>
        <v>220</v>
      </c>
      <c r="S62" s="136" t="s">
        <v>62</v>
      </c>
      <c r="T62" s="123">
        <f t="shared" ca="1" si="43"/>
        <v>275</v>
      </c>
      <c r="U62" s="126">
        <f t="shared" ca="1" si="44"/>
        <v>550</v>
      </c>
      <c r="V62" s="1"/>
      <c r="W62" s="39" t="str">
        <f ca="1">IF(OR($A62=0,$A62="S",$A62&gt;CFF!$A$9),"",MAX(W$11:OFFSET(W62,-1,0))+1)</f>
        <v/>
      </c>
      <c r="X62" s="4" t="str">
        <f t="shared" si="45"/>
        <v>Serv. Terc.-008</v>
      </c>
      <c r="Y62" s="39">
        <f t="shared" ca="1" si="46"/>
        <v>88</v>
      </c>
      <c r="Z62" s="1"/>
      <c r="AA62" s="133">
        <f>IF($J62=$G$2,ROUND(IF(ISNUMBER(S62),S62,IF(LEFT(S62,2)="DI",HLOOKUP(S62,DADOS!$T$29:$X$30,2,FALSE),0)),4),"")</f>
        <v>0.25</v>
      </c>
      <c r="AB62" s="2"/>
    </row>
    <row r="63" spans="1:28">
      <c r="A63" t="str">
        <f t="shared" si="32"/>
        <v>S</v>
      </c>
      <c r="B63">
        <f t="shared" si="33"/>
        <v>0</v>
      </c>
      <c r="C63">
        <f t="shared" ca="1" si="34"/>
        <v>1</v>
      </c>
      <c r="D63">
        <f t="shared" ca="1" si="35"/>
        <v>2</v>
      </c>
      <c r="E63">
        <f t="shared" ca="1" si="36"/>
        <v>0</v>
      </c>
      <c r="F63">
        <f t="shared" ca="1" si="37"/>
        <v>0</v>
      </c>
      <c r="G63">
        <f t="shared" ca="1" si="38"/>
        <v>10</v>
      </c>
      <c r="H63">
        <f ca="1">IF(OR($A63="S",$A63=0),0,MATCH(0,OFFSET($B63,1,$A63,ROW($A$1504)-ROW($A63)),0))</f>
        <v>0</v>
      </c>
      <c r="I63">
        <f ca="1">IF(OR($A63="S",$A63=0),0,MATCH(OFFSET($B63,0,$A63)+1,OFFSET($B63,1,$A63,ROW($A$1504)-ROW($A63)),0))</f>
        <v>0</v>
      </c>
      <c r="J63" s="132" t="s">
        <v>29</v>
      </c>
      <c r="K63" s="121" t="str">
        <f t="shared" ca="1" si="39"/>
        <v>1.2.10.</v>
      </c>
      <c r="L63" s="137" t="str">
        <f t="shared" ca="1" si="40"/>
        <v xml:space="preserve">Cotação </v>
      </c>
      <c r="M63" s="122" t="s">
        <v>80</v>
      </c>
      <c r="N63" s="139" t="s">
        <v>159</v>
      </c>
      <c r="O63" s="137" t="str">
        <f t="shared" ca="1" si="47"/>
        <v>Brindes ( descrição nos orçamentos e PTS)</v>
      </c>
      <c r="P63" s="138" t="str">
        <f t="shared" ca="1" si="41"/>
        <v>Unidade</v>
      </c>
      <c r="Q63" s="134">
        <v>4</v>
      </c>
      <c r="R63" s="124">
        <f t="shared" ca="1" si="42"/>
        <v>120</v>
      </c>
      <c r="S63" s="136" t="s">
        <v>62</v>
      </c>
      <c r="T63" s="123">
        <f t="shared" ca="1" si="43"/>
        <v>150</v>
      </c>
      <c r="U63" s="126">
        <f t="shared" ca="1" si="44"/>
        <v>600</v>
      </c>
      <c r="V63" s="1"/>
      <c r="W63" s="39" t="str">
        <f ca="1">IF(OR($A63=0,$A63="S",$A63&gt;CFF!$A$9),"",MAX(W$11:OFFSET(W63,-1,0))+1)</f>
        <v/>
      </c>
      <c r="X63" s="4" t="str">
        <f t="shared" si="45"/>
        <v>Serv. Terc.-010</v>
      </c>
      <c r="Y63" s="39">
        <f t="shared" ca="1" si="46"/>
        <v>90</v>
      </c>
      <c r="Z63" s="1"/>
      <c r="AA63" s="133">
        <f>IF($J63=$G$2,ROUND(IF(ISNUMBER(S63),S63,IF(LEFT(S63,2)="DI",HLOOKUP(S63,DADOS!$T$29:$X$30,2,FALSE),0)),4),"")</f>
        <v>0.25</v>
      </c>
      <c r="AB63" s="2"/>
    </row>
    <row r="64" spans="1:28">
      <c r="A64" t="str">
        <f t="shared" si="32"/>
        <v>S</v>
      </c>
      <c r="B64">
        <f t="shared" si="33"/>
        <v>0</v>
      </c>
      <c r="C64">
        <f t="shared" ca="1" si="34"/>
        <v>1</v>
      </c>
      <c r="D64">
        <f t="shared" ca="1" si="35"/>
        <v>2</v>
      </c>
      <c r="E64">
        <f t="shared" ca="1" si="36"/>
        <v>0</v>
      </c>
      <c r="F64">
        <f t="shared" ca="1" si="37"/>
        <v>0</v>
      </c>
      <c r="G64">
        <f t="shared" ca="1" si="38"/>
        <v>11</v>
      </c>
      <c r="H64">
        <f ca="1">IF(OR($A64="S",$A64=0),0,MATCH(0,OFFSET($B64,1,$A64,ROW($A$1504)-ROW($A64)),0))</f>
        <v>0</v>
      </c>
      <c r="I64">
        <f ca="1">IF(OR($A64="S",$A64=0),0,MATCH(OFFSET($B64,0,$A64)+1,OFFSET($B64,1,$A64,ROW($A$1504)-ROW($A64)),0))</f>
        <v>0</v>
      </c>
      <c r="J64" s="132" t="s">
        <v>29</v>
      </c>
      <c r="K64" s="121" t="str">
        <f t="shared" ca="1" si="39"/>
        <v>1.2.11.</v>
      </c>
      <c r="L64" s="137" t="str">
        <f t="shared" ca="1" si="40"/>
        <v xml:space="preserve">Cotação </v>
      </c>
      <c r="M64" s="122" t="s">
        <v>80</v>
      </c>
      <c r="N64" s="139" t="s">
        <v>160</v>
      </c>
      <c r="O64" s="137" t="str">
        <f t="shared" ca="1" si="47"/>
        <v>Barra de gelo</v>
      </c>
      <c r="P64" s="138" t="str">
        <f t="shared" ca="1" si="41"/>
        <v>Unidade</v>
      </c>
      <c r="Q64" s="134">
        <v>4</v>
      </c>
      <c r="R64" s="124">
        <f t="shared" ca="1" si="42"/>
        <v>12</v>
      </c>
      <c r="S64" s="136" t="s">
        <v>62</v>
      </c>
      <c r="T64" s="123">
        <f t="shared" ca="1" si="43"/>
        <v>15</v>
      </c>
      <c r="U64" s="126">
        <f t="shared" ca="1" si="44"/>
        <v>60</v>
      </c>
      <c r="V64" s="1"/>
      <c r="W64" s="39" t="str">
        <f ca="1">IF(OR($A64=0,$A64="S",$A64&gt;CFF!$A$9),"",MAX(W$11:OFFSET(W64,-1,0))+1)</f>
        <v/>
      </c>
      <c r="X64" s="4" t="str">
        <f t="shared" si="45"/>
        <v>Serv. Terc.-011</v>
      </c>
      <c r="Y64" s="39">
        <f t="shared" ca="1" si="46"/>
        <v>91</v>
      </c>
      <c r="Z64" s="1"/>
      <c r="AA64" s="133">
        <f>IF($J64=$G$2,ROUND(IF(ISNUMBER(S64),S64,IF(LEFT(S64,2)="DI",HLOOKUP(S64,DADOS!$T$29:$X$30,2,FALSE),0)),4),"")</f>
        <v>0.25</v>
      </c>
      <c r="AB64" s="2"/>
    </row>
    <row r="65" spans="1:28">
      <c r="A65" t="str">
        <f t="shared" si="32"/>
        <v>S</v>
      </c>
      <c r="B65">
        <f t="shared" si="33"/>
        <v>0</v>
      </c>
      <c r="C65">
        <f t="shared" ca="1" si="34"/>
        <v>1</v>
      </c>
      <c r="D65">
        <f t="shared" ca="1" si="35"/>
        <v>2</v>
      </c>
      <c r="E65">
        <f t="shared" ca="1" si="36"/>
        <v>0</v>
      </c>
      <c r="F65">
        <f t="shared" ca="1" si="37"/>
        <v>0</v>
      </c>
      <c r="G65">
        <f t="shared" ca="1" si="38"/>
        <v>12</v>
      </c>
      <c r="H65">
        <f ca="1">IF(OR($A65="S",$A65=0),0,MATCH(0,OFFSET($B65,1,$A65,ROW($A$1504)-ROW($A65)),0))</f>
        <v>0</v>
      </c>
      <c r="I65">
        <f ca="1">IF(OR($A65="S",$A65=0),0,MATCH(OFFSET($B65,0,$A65)+1,OFFSET($B65,1,$A65,ROW($A$1504)-ROW($A65)),0))</f>
        <v>0</v>
      </c>
      <c r="J65" s="132" t="s">
        <v>29</v>
      </c>
      <c r="K65" s="121" t="str">
        <f t="shared" ca="1" si="39"/>
        <v>1.2.12.</v>
      </c>
      <c r="L65" s="137" t="str">
        <f t="shared" ca="1" si="40"/>
        <v>Cotação</v>
      </c>
      <c r="M65" s="122" t="s">
        <v>80</v>
      </c>
      <c r="N65" s="139" t="s">
        <v>150</v>
      </c>
      <c r="O65" s="137" t="str">
        <f t="shared" ca="1" si="47"/>
        <v>Sucos</v>
      </c>
      <c r="P65" s="138" t="str">
        <f t="shared" ca="1" si="41"/>
        <v>Unidade</v>
      </c>
      <c r="Q65" s="134">
        <v>12</v>
      </c>
      <c r="R65" s="124">
        <f t="shared" ca="1" si="42"/>
        <v>6.4</v>
      </c>
      <c r="S65" s="136" t="s">
        <v>62</v>
      </c>
      <c r="T65" s="123">
        <f t="shared" ca="1" si="43"/>
        <v>8</v>
      </c>
      <c r="U65" s="126">
        <f t="shared" ca="1" si="44"/>
        <v>96</v>
      </c>
      <c r="V65" s="1"/>
      <c r="W65" s="39" t="str">
        <f ca="1">IF(OR($A65=0,$A65="S",$A65&gt;CFF!$A$9),"",MAX(W$11:OFFSET(W65,-1,0))+1)</f>
        <v/>
      </c>
      <c r="X65" s="4" t="str">
        <f t="shared" si="45"/>
        <v>Serv. Terc.-013</v>
      </c>
      <c r="Y65" s="39">
        <f t="shared" ca="1" si="46"/>
        <v>93</v>
      </c>
      <c r="Z65" s="1"/>
      <c r="AA65" s="133">
        <f>IF($J65=$G$2,ROUND(IF(ISNUMBER(S65),S65,IF(LEFT(S65,2)="DI",HLOOKUP(S65,DADOS!$T$29:$X$30,2,FALSE),0)),4),"")</f>
        <v>0.25</v>
      </c>
      <c r="AB65" s="2"/>
    </row>
    <row r="66" spans="1:28">
      <c r="A66" t="str">
        <f>CHOOSE(1+LOG(1+2*(J66=$C$2)+4*(J66=$D$2)+8*(J66=$E$2)+16*(J66=$F$2)+32*(J66=$G$2),2),0,1,2,3,4,"S")</f>
        <v>S</v>
      </c>
      <c r="B66">
        <f>IF(OR(A66="S",A66=0),0,IF(ISERROR(I66),H66,SMALL(H66:I66,1)))</f>
        <v>0</v>
      </c>
      <c r="C66">
        <f ca="1">IF($A66=1,OFFSET(C66,-1,0)+1,OFFSET(C66,-1,0))</f>
        <v>1</v>
      </c>
      <c r="D66">
        <f ca="1">IF($A66=1,0,IF($A66=2,OFFSET(D66,-1,0)+1,OFFSET(D66,-1,0)))</f>
        <v>2</v>
      </c>
      <c r="E66">
        <f ca="1">IF(AND($A66&lt;=2,$A66&lt;&gt;0),0,IF($A66=3,OFFSET(E66,-1,0)+1,OFFSET(E66,-1,0)))</f>
        <v>0</v>
      </c>
      <c r="F66">
        <f ca="1">IF(AND($A66&lt;=3,$A66&lt;&gt;0),0,IF($A66=4,OFFSET(F66,-1,0)+1,OFFSET(F66,-1,0)))</f>
        <v>0</v>
      </c>
      <c r="G66">
        <f ca="1">IF(AND($A66&lt;=4,$A66&lt;&gt;0),0,IF($A66="S",OFFSET(G66,-1,0)+1,OFFSET(G66,-1,0)))</f>
        <v>13</v>
      </c>
      <c r="H66">
        <f ca="1">IF(OR($A66="S",$A66=0),0,MATCH(0,OFFSET($B66,1,$A66,ROW($A$1504)-ROW($A66)),0))</f>
        <v>0</v>
      </c>
      <c r="I66">
        <f ca="1">IF(OR($A66="S",$A66=0),0,MATCH(OFFSET($B66,0,$A66)+1,OFFSET($B66,1,$A66,ROW($A$1504)-ROW($A66)),0))</f>
        <v>0</v>
      </c>
      <c r="J66" s="132" t="s">
        <v>29</v>
      </c>
      <c r="K66" s="121" t="str">
        <f ca="1">IF($A66=0,"-",CONCATENATE(C66&amp;".",IF(AND($A$5&gt;=2,$A66&gt;=2),D66&amp;".",""),IF(AND($A$5&gt;=3,$A66&gt;=3),E66&amp;".",""),IF(AND($A$5&gt;=4,$A66&gt;=4),F66&amp;".",""),IF($A66="S",G66&amp;".","")))</f>
        <v>1.2.13.</v>
      </c>
      <c r="L66" s="137" t="str">
        <f ca="1">IF(NOT(ISERROR($Y66)),IF($Y66&lt;&gt;FALSE,INDEX(Banco,$Y66,4),""),"")</f>
        <v>Cotação</v>
      </c>
      <c r="M66" s="122" t="s">
        <v>80</v>
      </c>
      <c r="N66" s="139" t="s">
        <v>171</v>
      </c>
      <c r="O66" s="137" t="str">
        <f ca="1">IF(NOT(ISERROR($Y66)),IF($Y66&lt;&gt;FALSE,INDEX(Banco,$Y66,5),""),"")</f>
        <v xml:space="preserve">Refrigerantes (02 litros) </v>
      </c>
      <c r="P66" s="138" t="str">
        <f ca="1">IF(NOT(ISERROR($Y66)),IF($Y66&lt;&gt;FALSE,INDEX(Banco,$Y66,6),""),"")</f>
        <v>Unidade</v>
      </c>
      <c r="Q66" s="134">
        <v>20</v>
      </c>
      <c r="R66" s="124">
        <f ca="1">IF(NOT(ISERROR($Y66)),IF($Y66&lt;&gt;FALSE,INDEX(Banco,$Y66,7),0),0)</f>
        <v>6</v>
      </c>
      <c r="S66" s="136" t="s">
        <v>62</v>
      </c>
      <c r="T66" s="123">
        <f ca="1">IF($J66=$G$2,ROUND(ROUND($R66,2)*IF($R$9="Preço Unitário (R$)",1,1+$AA66),2),0)</f>
        <v>7.5</v>
      </c>
      <c r="U66" s="126">
        <f ca="1">IF($A66="S",VTOTAL1,IF($A66=0,0,ROUND(SomaAgrup,2)))</f>
        <v>150</v>
      </c>
      <c r="V66" s="1"/>
      <c r="W66" s="39" t="str">
        <f ca="1">IF(OR($A66=0,$A66="S",$A66&gt;CFF!$A$9),"",MAX(W$11:OFFSET(W66,-1,0))+1)</f>
        <v/>
      </c>
      <c r="X66" s="4" t="str">
        <f>IF(AND($J66=$G$2,$N66&lt;&gt;"",$M66&lt;&gt;""),CONCATENATE($M66,"-",$N66))</f>
        <v>Serv. Terc.-027</v>
      </c>
      <c r="Y66" s="39">
        <f ca="1">IF(X66&lt;&gt;FALSE,MATCH(X66,OFFSET(Banco,0,0,,1),0))</f>
        <v>107</v>
      </c>
      <c r="Z66" s="1"/>
      <c r="AA66" s="133">
        <f>IF($J66=$G$2,ROUND(IF(ISNUMBER(S66),S66,IF(LEFT(S66,2)="DI",HLOOKUP(S66,DADOS!$T$29:$X$30,2,FALSE),0)),4),"")</f>
        <v>0.25</v>
      </c>
      <c r="AB66" s="2"/>
    </row>
    <row r="67" spans="1:28">
      <c r="A67" t="str">
        <f t="shared" si="32"/>
        <v>S</v>
      </c>
      <c r="B67">
        <f t="shared" si="33"/>
        <v>0</v>
      </c>
      <c r="C67">
        <f t="shared" ca="1" si="34"/>
        <v>1</v>
      </c>
      <c r="D67">
        <f t="shared" ca="1" si="35"/>
        <v>2</v>
      </c>
      <c r="E67">
        <f t="shared" ca="1" si="36"/>
        <v>0</v>
      </c>
      <c r="F67">
        <f t="shared" ca="1" si="37"/>
        <v>0</v>
      </c>
      <c r="G67">
        <f t="shared" ca="1" si="38"/>
        <v>14</v>
      </c>
      <c r="H67">
        <f ca="1">IF(OR($A67="S",$A67=0),0,MATCH(0,OFFSET($B67,1,$A67,ROW($A$1504)-ROW($A67)),0))</f>
        <v>0</v>
      </c>
      <c r="I67">
        <f ca="1">IF(OR($A67="S",$A67=0),0,MATCH(OFFSET($B67,0,$A67)+1,OFFSET($B67,1,$A67,ROW($A$1504)-ROW($A67)),0))</f>
        <v>0</v>
      </c>
      <c r="J67" s="132" t="s">
        <v>29</v>
      </c>
      <c r="K67" s="121" t="str">
        <f t="shared" ca="1" si="39"/>
        <v>1.2.14.</v>
      </c>
      <c r="L67" s="137" t="str">
        <f t="shared" ca="1" si="40"/>
        <v>Cotação</v>
      </c>
      <c r="M67" s="122" t="s">
        <v>80</v>
      </c>
      <c r="N67" s="139" t="s">
        <v>162</v>
      </c>
      <c r="O67" s="137" t="str">
        <f t="shared" ca="1" si="47"/>
        <v>Coffee break (salgados)</v>
      </c>
      <c r="P67" s="138" t="str">
        <f t="shared" ca="1" si="41"/>
        <v>Centro</v>
      </c>
      <c r="Q67" s="134">
        <v>15</v>
      </c>
      <c r="R67" s="124">
        <f t="shared" ca="1" si="42"/>
        <v>65</v>
      </c>
      <c r="S67" s="136" t="s">
        <v>62</v>
      </c>
      <c r="T67" s="123">
        <f t="shared" ca="1" si="43"/>
        <v>81.25</v>
      </c>
      <c r="U67" s="126">
        <f t="shared" ca="1" si="44"/>
        <v>1218.75</v>
      </c>
      <c r="V67" s="1"/>
      <c r="W67" s="39" t="str">
        <f ca="1">IF(OR($A67=0,$A67="S",$A67&gt;CFF!$A$9),"",MAX(W$11:OFFSET(W67,-1,0))+1)</f>
        <v/>
      </c>
      <c r="X67" s="4" t="str">
        <f t="shared" si="45"/>
        <v>Serv. Terc.-015</v>
      </c>
      <c r="Y67" s="39">
        <f t="shared" ca="1" si="46"/>
        <v>95</v>
      </c>
      <c r="Z67" s="1"/>
      <c r="AA67" s="133">
        <f>IF($J67=$G$2,ROUND(IF(ISNUMBER(S67),S67,IF(LEFT(S67,2)="DI",HLOOKUP(S67,DADOS!$T$29:$X$30,2,FALSE),0)),4),"")</f>
        <v>0.25</v>
      </c>
      <c r="AB67" s="2"/>
    </row>
    <row r="68" spans="1:28">
      <c r="A68" t="str">
        <f t="shared" si="32"/>
        <v>S</v>
      </c>
      <c r="B68">
        <f t="shared" si="33"/>
        <v>0</v>
      </c>
      <c r="C68">
        <f t="shared" ca="1" si="34"/>
        <v>1</v>
      </c>
      <c r="D68">
        <f t="shared" ca="1" si="35"/>
        <v>2</v>
      </c>
      <c r="E68">
        <f t="shared" ca="1" si="36"/>
        <v>0</v>
      </c>
      <c r="F68">
        <f t="shared" ca="1" si="37"/>
        <v>0</v>
      </c>
      <c r="G68">
        <f t="shared" ca="1" si="38"/>
        <v>15</v>
      </c>
      <c r="H68">
        <f ca="1">IF(OR($A68="S",$A68=0),0,MATCH(0,OFFSET($B68,1,$A68,ROW($A$1504)-ROW($A68)),0))</f>
        <v>0</v>
      </c>
      <c r="I68">
        <f ca="1">IF(OR($A68="S",$A68=0),0,MATCH(OFFSET($B68,0,$A68)+1,OFFSET($B68,1,$A68,ROW($A$1504)-ROW($A68)),0))</f>
        <v>0</v>
      </c>
      <c r="J68" s="132" t="s">
        <v>29</v>
      </c>
      <c r="K68" s="121" t="str">
        <f t="shared" ca="1" si="39"/>
        <v>1.2.15.</v>
      </c>
      <c r="L68" s="137" t="str">
        <f t="shared" ca="1" si="40"/>
        <v>Cotação</v>
      </c>
      <c r="M68" s="122" t="s">
        <v>79</v>
      </c>
      <c r="N68" s="139" t="s">
        <v>153</v>
      </c>
      <c r="O68" s="137" t="str">
        <f t="shared" ca="1" si="47"/>
        <v>Lápis de cor</v>
      </c>
      <c r="P68" s="138" t="str">
        <f t="shared" ca="1" si="41"/>
        <v>Caixa</v>
      </c>
      <c r="Q68" s="134">
        <v>10</v>
      </c>
      <c r="R68" s="124">
        <f t="shared" ca="1" si="42"/>
        <v>13.45</v>
      </c>
      <c r="S68" s="136" t="s">
        <v>62</v>
      </c>
      <c r="T68" s="123">
        <f t="shared" ca="1" si="43"/>
        <v>16.809999999999999</v>
      </c>
      <c r="U68" s="126">
        <f t="shared" ca="1" si="44"/>
        <v>168.1</v>
      </c>
      <c r="V68" s="1"/>
      <c r="W68" s="39" t="str">
        <f ca="1">IF(OR($A68=0,$A68="S",$A68&gt;CFF!$A$9),"",MAX(W$11:OFFSET(W68,-1,0))+1)</f>
        <v/>
      </c>
      <c r="X68" s="4" t="str">
        <f t="shared" si="45"/>
        <v>Rec. Materiais-004</v>
      </c>
      <c r="Y68" s="39">
        <f t="shared" ca="1" si="46"/>
        <v>13</v>
      </c>
      <c r="Z68" s="1"/>
      <c r="AA68" s="133">
        <f>IF($J68=$G$2,ROUND(IF(ISNUMBER(S68),S68,IF(LEFT(S68,2)="DI",HLOOKUP(S68,DADOS!$T$29:$X$30,2,FALSE),0)),4),"")</f>
        <v>0.25</v>
      </c>
      <c r="AB68" s="2"/>
    </row>
    <row r="69" spans="1:28">
      <c r="A69" t="str">
        <f>CHOOSE(1+LOG(1+2*(J69=$C$2)+4*(J69=$D$2)+8*(J69=$E$2)+16*(J69=$F$2)+32*(J69=$G$2),2),0,1,2,3,4,"S")</f>
        <v>S</v>
      </c>
      <c r="B69">
        <f>IF(OR(A69="S",A69=0),0,IF(ISERROR(I69),H69,SMALL(H69:I69,1)))</f>
        <v>0</v>
      </c>
      <c r="C69">
        <f ca="1">IF($A69=1,OFFSET(C69,-1,0)+1,OFFSET(C69,-1,0))</f>
        <v>1</v>
      </c>
      <c r="D69">
        <f ca="1">IF($A69=1,0,IF($A69=2,OFFSET(D69,-1,0)+1,OFFSET(D69,-1,0)))</f>
        <v>2</v>
      </c>
      <c r="E69">
        <f ca="1">IF(AND($A69&lt;=2,$A69&lt;&gt;0),0,IF($A69=3,OFFSET(E69,-1,0)+1,OFFSET(E69,-1,0)))</f>
        <v>0</v>
      </c>
      <c r="F69">
        <f ca="1">IF(AND($A69&lt;=3,$A69&lt;&gt;0),0,IF($A69=4,OFFSET(F69,-1,0)+1,OFFSET(F69,-1,0)))</f>
        <v>0</v>
      </c>
      <c r="G69">
        <f ca="1">IF(AND($A69&lt;=4,$A69&lt;&gt;0),0,IF($A69="S",OFFSET(G69,-1,0)+1,OFFSET(G69,-1,0)))</f>
        <v>16</v>
      </c>
      <c r="H69">
        <f ca="1">IF(OR($A69="S",$A69=0),0,MATCH(0,OFFSET($B69,1,$A69,ROW($A$1504)-ROW($A69)),0))</f>
        <v>0</v>
      </c>
      <c r="I69">
        <f ca="1">IF(OR($A69="S",$A69=0),0,MATCH(OFFSET($B69,0,$A69)+1,OFFSET($B69,1,$A69,ROW($A$1504)-ROW($A69)),0))</f>
        <v>0</v>
      </c>
      <c r="J69" s="132" t="s">
        <v>29</v>
      </c>
      <c r="K69" s="121" t="str">
        <f ca="1">IF($A69=0,"-",CONCATENATE(C69&amp;".",IF(AND($A$5&gt;=2,$A69&gt;=2),D69&amp;".",""),IF(AND($A$5&gt;=3,$A69&gt;=3),E69&amp;".",""),IF(AND($A$5&gt;=4,$A69&gt;=4),F69&amp;".",""),IF($A69="S",G69&amp;".","")))</f>
        <v>1.2.16.</v>
      </c>
      <c r="L69" s="137" t="str">
        <f ca="1">IF(NOT(ISERROR($Y69)),IF($Y69&lt;&gt;FALSE,INDEX(Banco,$Y69,4),""),"")</f>
        <v>Cotação</v>
      </c>
      <c r="M69" s="122" t="s">
        <v>79</v>
      </c>
      <c r="N69" s="139" t="s">
        <v>157</v>
      </c>
      <c r="O69" s="137" t="str">
        <f ca="1">IF(NOT(ISERROR($Y69)),IF($Y69&lt;&gt;FALSE,INDEX(Banco,$Y69,5),""),"")</f>
        <v>Massa de modelar</v>
      </c>
      <c r="P69" s="138" t="str">
        <f ca="1">IF(NOT(ISERROR($Y69)),IF($Y69&lt;&gt;FALSE,INDEX(Banco,$Y69,6),""),"")</f>
        <v>Unidade</v>
      </c>
      <c r="Q69" s="134">
        <v>20</v>
      </c>
      <c r="R69" s="124">
        <f ca="1">IF(NOT(ISERROR($Y69)),IF($Y69&lt;&gt;FALSE,INDEX(Banco,$Y69,7),0),0)</f>
        <v>5.2</v>
      </c>
      <c r="S69" s="136" t="s">
        <v>62</v>
      </c>
      <c r="T69" s="123">
        <f ca="1">IF($J69=$G$2,ROUND(ROUND($R69,2)*IF($R$9="Preço Unitário (R$)",1,1+$AA69),2),0)</f>
        <v>6.5</v>
      </c>
      <c r="U69" s="126">
        <f ca="1">IF($A69="S",VTOTAL1,IF($A69=0,0,ROUND(SomaAgrup,2)))</f>
        <v>130</v>
      </c>
      <c r="V69" s="1"/>
      <c r="W69" s="39" t="str">
        <f ca="1">IF(OR($A69=0,$A69="S",$A69&gt;CFF!$A$9),"",MAX(W$11:OFFSET(W69,-1,0))+1)</f>
        <v/>
      </c>
      <c r="X69" s="4" t="str">
        <f>IF(AND($J69=$G$2,$N69&lt;&gt;"",$M69&lt;&gt;""),CONCATENATE($M69,"-",$N69))</f>
        <v>Rec. Materiais-008</v>
      </c>
      <c r="Y69" s="39">
        <f ca="1">IF(X69&lt;&gt;FALSE,MATCH(X69,OFFSET(Banco,0,0,,1),0))</f>
        <v>17</v>
      </c>
      <c r="Z69" s="1"/>
      <c r="AA69" s="133">
        <f>IF($J69=$G$2,ROUND(IF(ISNUMBER(S69),S69,IF(LEFT(S69,2)="DI",HLOOKUP(S69,DADOS!$T$29:$X$30,2,FALSE),0)),4),"")</f>
        <v>0.25</v>
      </c>
      <c r="AB69" s="2"/>
    </row>
    <row r="70" spans="1:28">
      <c r="A70" t="str">
        <f t="shared" si="32"/>
        <v>S</v>
      </c>
      <c r="B70">
        <f t="shared" si="33"/>
        <v>0</v>
      </c>
      <c r="C70">
        <f t="shared" ca="1" si="34"/>
        <v>1</v>
      </c>
      <c r="D70">
        <f t="shared" ca="1" si="35"/>
        <v>2</v>
      </c>
      <c r="E70">
        <f t="shared" ca="1" si="36"/>
        <v>0</v>
      </c>
      <c r="F70">
        <f t="shared" ca="1" si="37"/>
        <v>0</v>
      </c>
      <c r="G70">
        <f t="shared" ca="1" si="38"/>
        <v>17</v>
      </c>
      <c r="H70">
        <f ca="1">IF(OR($A70="S",$A70=0),0,MATCH(0,OFFSET($B70,1,$A70,ROW($A$1504)-ROW($A70)),0))</f>
        <v>0</v>
      </c>
      <c r="I70">
        <f ca="1">IF(OR($A70="S",$A70=0),0,MATCH(OFFSET($B70,0,$A70)+1,OFFSET($B70,1,$A70,ROW($A$1504)-ROW($A70)),0))</f>
        <v>0</v>
      </c>
      <c r="J70" s="132" t="s">
        <v>29</v>
      </c>
      <c r="K70" s="121" t="str">
        <f t="shared" ca="1" si="39"/>
        <v>1.2.17.</v>
      </c>
      <c r="L70" s="137" t="str">
        <f t="shared" ca="1" si="40"/>
        <v>Cotação</v>
      </c>
      <c r="M70" s="122" t="s">
        <v>79</v>
      </c>
      <c r="N70" s="139" t="s">
        <v>200</v>
      </c>
      <c r="O70" s="137" t="str">
        <f t="shared" ca="1" si="47"/>
        <v>Crachá</v>
      </c>
      <c r="P70" s="138" t="str">
        <f t="shared" ca="1" si="41"/>
        <v>Unidade</v>
      </c>
      <c r="Q70" s="134">
        <v>5</v>
      </c>
      <c r="R70" s="124">
        <f t="shared" ca="1" si="42"/>
        <v>3</v>
      </c>
      <c r="S70" s="136" t="s">
        <v>62</v>
      </c>
      <c r="T70" s="123">
        <f t="shared" ca="1" si="43"/>
        <v>3.75</v>
      </c>
      <c r="U70" s="126">
        <f t="shared" ca="1" si="44"/>
        <v>18.75</v>
      </c>
      <c r="V70" s="1"/>
      <c r="W70" s="39" t="str">
        <f ca="1">IF(OR($A70=0,$A70="S",$A70&gt;CFF!$A$9),"",MAX(W$11:OFFSET(W70,-1,0))+1)</f>
        <v/>
      </c>
      <c r="X70" s="4" t="str">
        <f t="shared" si="45"/>
        <v>Rec. Materiais-029</v>
      </c>
      <c r="Y70" s="39">
        <f t="shared" ca="1" si="46"/>
        <v>38</v>
      </c>
      <c r="Z70" s="1"/>
      <c r="AA70" s="133">
        <f>IF($J70=$G$2,ROUND(IF(ISNUMBER(S70),S70,IF(LEFT(S70,2)="DI",HLOOKUP(S70,DADOS!$T$29:$X$30,2,FALSE),0)),4),"")</f>
        <v>0.25</v>
      </c>
      <c r="AB70" s="2"/>
    </row>
    <row r="71" spans="1:28">
      <c r="A71" t="str">
        <f t="shared" si="32"/>
        <v>S</v>
      </c>
      <c r="B71">
        <f t="shared" si="33"/>
        <v>0</v>
      </c>
      <c r="C71">
        <f t="shared" ca="1" si="34"/>
        <v>1</v>
      </c>
      <c r="D71">
        <f t="shared" ca="1" si="35"/>
        <v>2</v>
      </c>
      <c r="E71">
        <f t="shared" ca="1" si="36"/>
        <v>0</v>
      </c>
      <c r="F71">
        <f t="shared" ca="1" si="37"/>
        <v>0</v>
      </c>
      <c r="G71">
        <f t="shared" ca="1" si="38"/>
        <v>18</v>
      </c>
      <c r="H71">
        <f ca="1">IF(OR($A71="S",$A71=0),0,MATCH(0,OFFSET($B71,1,$A71,ROW($A$1504)-ROW($A71)),0))</f>
        <v>0</v>
      </c>
      <c r="I71">
        <f ca="1">IF(OR($A71="S",$A71=0),0,MATCH(OFFSET($B71,0,$A71)+1,OFFSET($B71,1,$A71,ROW($A$1504)-ROW($A71)),0))</f>
        <v>0</v>
      </c>
      <c r="J71" s="132" t="s">
        <v>29</v>
      </c>
      <c r="K71" s="121" t="str">
        <f t="shared" ca="1" si="39"/>
        <v>1.2.18.</v>
      </c>
      <c r="L71" s="137" t="str">
        <f t="shared" ca="1" si="40"/>
        <v>Cotação</v>
      </c>
      <c r="M71" s="122" t="s">
        <v>79</v>
      </c>
      <c r="N71" s="139" t="s">
        <v>154</v>
      </c>
      <c r="O71" s="137" t="str">
        <f t="shared" ca="1" si="47"/>
        <v>Giz de cerra</v>
      </c>
      <c r="P71" s="138" t="str">
        <f t="shared" ca="1" si="41"/>
        <v>Caixa</v>
      </c>
      <c r="Q71" s="134">
        <v>15</v>
      </c>
      <c r="R71" s="124">
        <f t="shared" ca="1" si="42"/>
        <v>7.1</v>
      </c>
      <c r="S71" s="136" t="s">
        <v>62</v>
      </c>
      <c r="T71" s="123">
        <f t="shared" ca="1" si="43"/>
        <v>8.8800000000000008</v>
      </c>
      <c r="U71" s="126">
        <f t="shared" ca="1" si="44"/>
        <v>133.19999999999999</v>
      </c>
      <c r="V71" s="1"/>
      <c r="W71" s="39" t="str">
        <f ca="1">IF(OR($A71=0,$A71="S",$A71&gt;CFF!$A$9),"",MAX(W$11:OFFSET(W71,-1,0))+1)</f>
        <v/>
      </c>
      <c r="X71" s="4" t="str">
        <f t="shared" si="45"/>
        <v>Rec. Materiais-005</v>
      </c>
      <c r="Y71" s="39">
        <f t="shared" ca="1" si="46"/>
        <v>14</v>
      </c>
      <c r="Z71" s="1"/>
      <c r="AA71" s="133">
        <f>IF($J71=$G$2,ROUND(IF(ISNUMBER(S71),S71,IF(LEFT(S71,2)="DI",HLOOKUP(S71,DADOS!$T$29:$X$30,2,FALSE),0)),4),"")</f>
        <v>0.25</v>
      </c>
      <c r="AB71" s="2"/>
    </row>
    <row r="72" spans="1:28">
      <c r="A72" t="str">
        <f>CHOOSE(1+LOG(1+2*(J72=$C$2)+4*(J72=$D$2)+8*(J72=$E$2)+16*(J72=$F$2)+32*(J72=$G$2),2),0,1,2,3,4,"S")</f>
        <v>S</v>
      </c>
      <c r="B72">
        <f>IF(OR(A72="S",A72=0),0,IF(ISERROR(I72),H72,SMALL(H72:I72,1)))</f>
        <v>0</v>
      </c>
      <c r="C72">
        <f ca="1">IF($A72=1,OFFSET(C72,-1,0)+1,OFFSET(C72,-1,0))</f>
        <v>1</v>
      </c>
      <c r="D72">
        <f ca="1">IF($A72=1,0,IF($A72=2,OFFSET(D72,-1,0)+1,OFFSET(D72,-1,0)))</f>
        <v>2</v>
      </c>
      <c r="E72">
        <f ca="1">IF(AND($A72&lt;=2,$A72&lt;&gt;0),0,IF($A72=3,OFFSET(E72,-1,0)+1,OFFSET(E72,-1,0)))</f>
        <v>0</v>
      </c>
      <c r="F72">
        <f ca="1">IF(AND($A72&lt;=3,$A72&lt;&gt;0),0,IF($A72=4,OFFSET(F72,-1,0)+1,OFFSET(F72,-1,0)))</f>
        <v>0</v>
      </c>
      <c r="G72">
        <f ca="1">IF(AND($A72&lt;=4,$A72&lt;&gt;0),0,IF($A72="S",OFFSET(G72,-1,0)+1,OFFSET(G72,-1,0)))</f>
        <v>19</v>
      </c>
      <c r="H72">
        <f ca="1">IF(OR($A72="S",$A72=0),0,MATCH(0,OFFSET($B72,1,$A72,ROW($A$1504)-ROW($A72)),0))</f>
        <v>0</v>
      </c>
      <c r="I72">
        <f ca="1">IF(OR($A72="S",$A72=0),0,MATCH(OFFSET($B72,0,$A72)+1,OFFSET($B72,1,$A72,ROW($A$1504)-ROW($A72)),0))</f>
        <v>0</v>
      </c>
      <c r="J72" s="132" t="s">
        <v>29</v>
      </c>
      <c r="K72" s="121" t="str">
        <f ca="1">IF($A72=0,"-",CONCATENATE(C72&amp;".",IF(AND($A$5&gt;=2,$A72&gt;=2),D72&amp;".",""),IF(AND($A$5&gt;=3,$A72&gt;=3),E72&amp;".",""),IF(AND($A$5&gt;=4,$A72&gt;=4),F72&amp;".",""),IF($A72="S",G72&amp;".","")))</f>
        <v>1.2.19.</v>
      </c>
      <c r="L72" s="137" t="str">
        <f ca="1">IF(NOT(ISERROR($Y72)),IF($Y72&lt;&gt;FALSE,INDEX(Banco,$Y72,4),""),"")</f>
        <v>Cotação</v>
      </c>
      <c r="M72" s="122" t="s">
        <v>79</v>
      </c>
      <c r="N72" s="139" t="s">
        <v>159</v>
      </c>
      <c r="O72" s="137" t="str">
        <f ca="1">IF(NOT(ISERROR($Y72)),IF($Y72&lt;&gt;FALSE,INDEX(Banco,$Y72,5),""),"")</f>
        <v>Clips galvanizado</v>
      </c>
      <c r="P72" s="138" t="str">
        <f ca="1">IF(NOT(ISERROR($Y72)),IF($Y72&lt;&gt;FALSE,INDEX(Banco,$Y72,6),""),"")</f>
        <v xml:space="preserve">Caixa </v>
      </c>
      <c r="Q72" s="134">
        <v>1</v>
      </c>
      <c r="R72" s="124">
        <f ca="1">IF(NOT(ISERROR($Y72)),IF($Y72&lt;&gt;FALSE,INDEX(Banco,$Y72,7),0),0)</f>
        <v>6.62</v>
      </c>
      <c r="S72" s="136" t="s">
        <v>62</v>
      </c>
      <c r="T72" s="123">
        <f ca="1">IF($J72=$G$2,ROUND(ROUND($R72,2)*IF($R$9="Preço Unitário (R$)",1,1+$AA72),2),0)</f>
        <v>8.2799999999999994</v>
      </c>
      <c r="U72" s="126">
        <f ca="1">IF($A72="S",VTOTAL1,IF($A72=0,0,ROUND(SomaAgrup,2)))</f>
        <v>8.2799999999999994</v>
      </c>
      <c r="V72" s="1"/>
      <c r="W72" s="39" t="str">
        <f ca="1">IF(OR($A72=0,$A72="S",$A72&gt;CFF!$A$9),"",MAX(W$11:OFFSET(W72,-1,0))+1)</f>
        <v/>
      </c>
      <c r="X72" s="4" t="str">
        <f>IF(AND($J72=$G$2,$N72&lt;&gt;"",$M72&lt;&gt;""),CONCATENATE($M72,"-",$N72))</f>
        <v>Rec. Materiais-010</v>
      </c>
      <c r="Y72" s="39">
        <f ca="1">IF(X72&lt;&gt;FALSE,MATCH(X72,OFFSET(Banco,0,0,,1),0))</f>
        <v>19</v>
      </c>
      <c r="Z72" s="1"/>
      <c r="AA72" s="133">
        <f>IF($J72=$G$2,ROUND(IF(ISNUMBER(S72),S72,IF(LEFT(S72,2)="DI",HLOOKUP(S72,DADOS!$T$29:$X$30,2,FALSE),0)),4),"")</f>
        <v>0.25</v>
      </c>
      <c r="AB72" s="2"/>
    </row>
    <row r="73" spans="1:28">
      <c r="A73" t="str">
        <f>CHOOSE(1+LOG(1+2*(J73=$C$2)+4*(J73=$D$2)+8*(J73=$E$2)+16*(J73=$F$2)+32*(J73=$G$2),2),0,1,2,3,4,"S")</f>
        <v>S</v>
      </c>
      <c r="B73">
        <f>IF(OR(A73="S",A73=0),0,IF(ISERROR(I73),H73,SMALL(H73:I73,1)))</f>
        <v>0</v>
      </c>
      <c r="C73">
        <f ca="1">IF($A73=1,OFFSET(C73,-1,0)+1,OFFSET(C73,-1,0))</f>
        <v>1</v>
      </c>
      <c r="D73">
        <f ca="1">IF($A73=1,0,IF($A73=2,OFFSET(D73,-1,0)+1,OFFSET(D73,-1,0)))</f>
        <v>2</v>
      </c>
      <c r="E73">
        <f ca="1">IF(AND($A73&lt;=2,$A73&lt;&gt;0),0,IF($A73=3,OFFSET(E73,-1,0)+1,OFFSET(E73,-1,0)))</f>
        <v>0</v>
      </c>
      <c r="F73">
        <f ca="1">IF(AND($A73&lt;=3,$A73&lt;&gt;0),0,IF($A73=4,OFFSET(F73,-1,0)+1,OFFSET(F73,-1,0)))</f>
        <v>0</v>
      </c>
      <c r="G73">
        <f ca="1">IF(AND($A73&lt;=4,$A73&lt;&gt;0),0,IF($A73="S",OFFSET(G73,-1,0)+1,OFFSET(G73,-1,0)))</f>
        <v>20</v>
      </c>
      <c r="H73">
        <f ca="1">IF(OR($A73="S",$A73=0),0,MATCH(0,OFFSET($B73,1,$A73,ROW($A$1504)-ROW($A73)),0))</f>
        <v>0</v>
      </c>
      <c r="I73">
        <f ca="1">IF(OR($A73="S",$A73=0),0,MATCH(OFFSET($B73,0,$A73)+1,OFFSET($B73,1,$A73,ROW($A$1504)-ROW($A73)),0))</f>
        <v>0</v>
      </c>
      <c r="J73" s="132" t="s">
        <v>29</v>
      </c>
      <c r="K73" s="121" t="str">
        <f ca="1">IF($A73=0,"-",CONCATENATE(C73&amp;".",IF(AND($A$5&gt;=2,$A73&gt;=2),D73&amp;".",""),IF(AND($A$5&gt;=3,$A73&gt;=3),E73&amp;".",""),IF(AND($A$5&gt;=4,$A73&gt;=4),F73&amp;".",""),IF($A73="S",G73&amp;".","")))</f>
        <v>1.2.20.</v>
      </c>
      <c r="L73" s="137" t="str">
        <f ca="1">IF(NOT(ISERROR($Y73)),IF($Y73&lt;&gt;FALSE,INDEX(Banco,$Y73,4),""),"")</f>
        <v>Cotação</v>
      </c>
      <c r="M73" s="122" t="s">
        <v>79</v>
      </c>
      <c r="N73" s="139" t="s">
        <v>321</v>
      </c>
      <c r="O73" s="137" t="str">
        <f ca="1">IF(NOT(ISERROR($Y73)),IF($Y73&lt;&gt;FALSE,INDEX(Banco,$Y73,5),""),"")</f>
        <v>Corretivo líquido a base de água 18ml</v>
      </c>
      <c r="P73" s="138" t="str">
        <f ca="1">IF(NOT(ISERROR($Y73)),IF($Y73&lt;&gt;FALSE,INDEX(Banco,$Y73,6),""),"")</f>
        <v>Unidade</v>
      </c>
      <c r="Q73" s="134">
        <v>2</v>
      </c>
      <c r="R73" s="124">
        <f ca="1">IF(NOT(ISERROR($Y73)),IF($Y73&lt;&gt;FALSE,INDEX(Banco,$Y73,7),0),0)</f>
        <v>2.62</v>
      </c>
      <c r="S73" s="136" t="s">
        <v>62</v>
      </c>
      <c r="T73" s="123">
        <f ca="1">IF($J73=$G$2,ROUND(ROUND($R73,2)*IF($R$9="Preço Unitário (R$)",1,1+$AA73),2),0)</f>
        <v>3.28</v>
      </c>
      <c r="U73" s="126">
        <f ca="1">IF($A73="S",VTOTAL1,IF($A73=0,0,ROUND(SomaAgrup,2)))</f>
        <v>6.56</v>
      </c>
      <c r="V73" s="1"/>
      <c r="W73" s="39" t="str">
        <f ca="1">IF(OR($A73=0,$A73="S",$A73&gt;CFF!$A$9),"",MAX(W$11:OFFSET(W73,-1,0))+1)</f>
        <v/>
      </c>
      <c r="X73" s="4" t="str">
        <f>IF(AND($J73=$G$2,$N73&lt;&gt;"",$M73&lt;&gt;""),CONCATENATE($M73,"-",$N73))</f>
        <v>Rec. Materiais-031</v>
      </c>
      <c r="Y73" s="39">
        <f ca="1">IF(X73&lt;&gt;FALSE,MATCH(X73,OFFSET(Banco,0,0,,1),0))</f>
        <v>40</v>
      </c>
      <c r="Z73" s="1"/>
      <c r="AA73" s="133">
        <f>IF($J73=$G$2,ROUND(IF(ISNUMBER(S73),S73,IF(LEFT(S73,2)="DI",HLOOKUP(S73,DADOS!$T$29:$X$30,2,FALSE),0)),4),"")</f>
        <v>0.25</v>
      </c>
      <c r="AB73" s="2"/>
    </row>
    <row r="74" spans="1:28">
      <c r="A74" t="str">
        <f t="shared" si="32"/>
        <v>S</v>
      </c>
      <c r="B74">
        <f t="shared" si="33"/>
        <v>0</v>
      </c>
      <c r="C74">
        <f t="shared" ca="1" si="34"/>
        <v>1</v>
      </c>
      <c r="D74">
        <f t="shared" ca="1" si="35"/>
        <v>2</v>
      </c>
      <c r="E74">
        <f t="shared" ca="1" si="36"/>
        <v>0</v>
      </c>
      <c r="F74">
        <f t="shared" ca="1" si="37"/>
        <v>0</v>
      </c>
      <c r="G74">
        <f t="shared" ca="1" si="38"/>
        <v>21</v>
      </c>
      <c r="H74">
        <f ca="1">IF(OR($A74="S",$A74=0),0,MATCH(0,OFFSET($B74,1,$A74,ROW($A$1504)-ROW($A74)),0))</f>
        <v>0</v>
      </c>
      <c r="I74">
        <f ca="1">IF(OR($A74="S",$A74=0),0,MATCH(OFFSET($B74,0,$A74)+1,OFFSET($B74,1,$A74,ROW($A$1504)-ROW($A74)),0))</f>
        <v>0</v>
      </c>
      <c r="J74" s="132" t="s">
        <v>29</v>
      </c>
      <c r="K74" s="121" t="str">
        <f t="shared" ca="1" si="39"/>
        <v>1.2.21.</v>
      </c>
      <c r="L74" s="137" t="str">
        <f t="shared" ca="1" si="40"/>
        <v>Cotação</v>
      </c>
      <c r="M74" s="122" t="s">
        <v>79</v>
      </c>
      <c r="N74" s="139" t="s">
        <v>156</v>
      </c>
      <c r="O74" s="137" t="str">
        <f t="shared" ca="1" si="47"/>
        <v>Pintura facial</v>
      </c>
      <c r="P74" s="138" t="str">
        <f t="shared" ca="1" si="41"/>
        <v>Unidade</v>
      </c>
      <c r="Q74" s="134">
        <v>5</v>
      </c>
      <c r="R74" s="124">
        <f t="shared" ca="1" si="42"/>
        <v>60</v>
      </c>
      <c r="S74" s="136" t="s">
        <v>62</v>
      </c>
      <c r="T74" s="123">
        <f t="shared" ca="1" si="43"/>
        <v>75</v>
      </c>
      <c r="U74" s="126">
        <f t="shared" ca="1" si="44"/>
        <v>375</v>
      </c>
      <c r="V74" s="1"/>
      <c r="W74" s="39" t="str">
        <f ca="1">IF(OR($A74=0,$A74="S",$A74&gt;CFF!$A$9),"",MAX(W$11:OFFSET(W74,-1,0))+1)</f>
        <v/>
      </c>
      <c r="X74" s="4" t="str">
        <f t="shared" si="45"/>
        <v>Rec. Materiais-007</v>
      </c>
      <c r="Y74" s="39">
        <f t="shared" ca="1" si="46"/>
        <v>16</v>
      </c>
      <c r="Z74" s="1"/>
      <c r="AA74" s="133">
        <f>IF($J74=$G$2,ROUND(IF(ISNUMBER(S74),S74,IF(LEFT(S74,2)="DI",HLOOKUP(S74,DADOS!$T$29:$X$30,2,FALSE),0)),4),"")</f>
        <v>0.25</v>
      </c>
      <c r="AB74" s="2"/>
    </row>
    <row r="75" spans="1:28">
      <c r="A75" t="str">
        <f t="shared" si="32"/>
        <v>S</v>
      </c>
      <c r="B75">
        <f t="shared" si="33"/>
        <v>0</v>
      </c>
      <c r="C75">
        <f t="shared" ca="1" si="34"/>
        <v>1</v>
      </c>
      <c r="D75">
        <f t="shared" ca="1" si="35"/>
        <v>2</v>
      </c>
      <c r="E75">
        <f t="shared" ca="1" si="36"/>
        <v>0</v>
      </c>
      <c r="F75">
        <f t="shared" ca="1" si="37"/>
        <v>0</v>
      </c>
      <c r="G75">
        <f t="shared" ca="1" si="38"/>
        <v>22</v>
      </c>
      <c r="H75">
        <f ca="1">IF(OR($A75="S",$A75=0),0,MATCH(0,OFFSET($B75,1,$A75,ROW($A$1504)-ROW($A75)),0))</f>
        <v>0</v>
      </c>
      <c r="I75">
        <f ca="1">IF(OR($A75="S",$A75=0),0,MATCH(OFFSET($B75,0,$A75)+1,OFFSET($B75,1,$A75,ROW($A$1504)-ROW($A75)),0))</f>
        <v>0</v>
      </c>
      <c r="J75" s="132" t="s">
        <v>29</v>
      </c>
      <c r="K75" s="121" t="str">
        <f t="shared" ca="1" si="39"/>
        <v>1.2.22.</v>
      </c>
      <c r="L75" s="137" t="str">
        <f t="shared" ca="1" si="40"/>
        <v>Cotação</v>
      </c>
      <c r="M75" s="122" t="s">
        <v>79</v>
      </c>
      <c r="N75" s="139" t="s">
        <v>158</v>
      </c>
      <c r="O75" s="137" t="str">
        <f t="shared" ca="1" si="47"/>
        <v>Pasta AZ</v>
      </c>
      <c r="P75" s="138" t="str">
        <f t="shared" ca="1" si="41"/>
        <v>Unidade</v>
      </c>
      <c r="Q75" s="134">
        <v>2</v>
      </c>
      <c r="R75" s="124">
        <f t="shared" ca="1" si="42"/>
        <v>12</v>
      </c>
      <c r="S75" s="136" t="s">
        <v>62</v>
      </c>
      <c r="T75" s="123">
        <f t="shared" ca="1" si="43"/>
        <v>15</v>
      </c>
      <c r="U75" s="126">
        <f t="shared" ca="1" si="44"/>
        <v>30</v>
      </c>
      <c r="V75" s="1"/>
      <c r="W75" s="39" t="str">
        <f ca="1">IF(OR($A75=0,$A75="S",$A75&gt;CFF!$A$9),"",MAX(W$11:OFFSET(W75,-1,0))+1)</f>
        <v/>
      </c>
      <c r="X75" s="4" t="str">
        <f t="shared" si="45"/>
        <v>Rec. Materiais-009</v>
      </c>
      <c r="Y75" s="39">
        <f t="shared" ca="1" si="46"/>
        <v>18</v>
      </c>
      <c r="Z75" s="1"/>
      <c r="AA75" s="133">
        <f>IF($J75=$G$2,ROUND(IF(ISNUMBER(S75),S75,IF(LEFT(S75,2)="DI",HLOOKUP(S75,DADOS!$T$29:$X$30,2,FALSE),0)),4),"")</f>
        <v>0.25</v>
      </c>
      <c r="AB75" s="2"/>
    </row>
    <row r="76" spans="1:28">
      <c r="A76" t="str">
        <f>CHOOSE(1+LOG(1+2*(J76=$C$2)+4*(J76=$D$2)+8*(J76=$E$2)+16*(J76=$F$2)+32*(J76=$G$2),2),0,1,2,3,4,"S")</f>
        <v>S</v>
      </c>
      <c r="B76">
        <f>IF(OR(A76="S",A76=0),0,IF(ISERROR(I76),H76,SMALL(H76:I76,1)))</f>
        <v>0</v>
      </c>
      <c r="C76">
        <f ca="1">IF($A76=1,OFFSET(C76,-1,0)+1,OFFSET(C76,-1,0))</f>
        <v>1</v>
      </c>
      <c r="D76">
        <f ca="1">IF($A76=1,0,IF($A76=2,OFFSET(D76,-1,0)+1,OFFSET(D76,-1,0)))</f>
        <v>2</v>
      </c>
      <c r="E76">
        <f ca="1">IF(AND($A76&lt;=2,$A76&lt;&gt;0),0,IF($A76=3,OFFSET(E76,-1,0)+1,OFFSET(E76,-1,0)))</f>
        <v>0</v>
      </c>
      <c r="F76">
        <f ca="1">IF(AND($A76&lt;=3,$A76&lt;&gt;0),0,IF($A76=4,OFFSET(F76,-1,0)+1,OFFSET(F76,-1,0)))</f>
        <v>0</v>
      </c>
      <c r="G76">
        <f ca="1">IF(AND($A76&lt;=4,$A76&lt;&gt;0),0,IF($A76="S",OFFSET(G76,-1,0)+1,OFFSET(G76,-1,0)))</f>
        <v>23</v>
      </c>
      <c r="H76">
        <f ca="1">IF(OR($A76="S",$A76=0),0,MATCH(0,OFFSET($B76,1,$A76,ROW($A$1504)-ROW($A76)),0))</f>
        <v>0</v>
      </c>
      <c r="I76">
        <f ca="1">IF(OR($A76="S",$A76=0),0,MATCH(OFFSET($B76,0,$A76)+1,OFFSET($B76,1,$A76,ROW($A$1504)-ROW($A76)),0))</f>
        <v>0</v>
      </c>
      <c r="J76" s="132" t="s">
        <v>29</v>
      </c>
      <c r="K76" s="121" t="str">
        <f ca="1">IF($A76=0,"-",CONCATENATE(C76&amp;".",IF(AND($A$5&gt;=2,$A76&gt;=2),D76&amp;".",""),IF(AND($A$5&gt;=3,$A76&gt;=3),E76&amp;".",""),IF(AND($A$5&gt;=4,$A76&gt;=4),F76&amp;".",""),IF($A76="S",G76&amp;".","")))</f>
        <v>1.2.23.</v>
      </c>
      <c r="L76" s="137" t="str">
        <f ca="1">IF(NOT(ISERROR($Y76)),IF($Y76&lt;&gt;FALSE,INDEX(Banco,$Y76,4),""),"")</f>
        <v>Cotação</v>
      </c>
      <c r="M76" s="122" t="s">
        <v>79</v>
      </c>
      <c r="N76" s="139" t="s">
        <v>166</v>
      </c>
      <c r="O76" s="137" t="str">
        <f ca="1">IF(NOT(ISERROR($Y76)),IF($Y76&lt;&gt;FALSE,INDEX(Banco,$Y76,5),""),"")</f>
        <v>Balão redondo</v>
      </c>
      <c r="P76" s="138" t="str">
        <f ca="1">IF(NOT(ISERROR($Y76)),IF($Y76&lt;&gt;FALSE,INDEX(Banco,$Y76,6),""),"")</f>
        <v>Unidade</v>
      </c>
      <c r="Q76" s="134">
        <v>30</v>
      </c>
      <c r="R76" s="124">
        <f ca="1">IF(NOT(ISERROR($Y76)),IF($Y76&lt;&gt;FALSE,INDEX(Banco,$Y76,7),0),0)</f>
        <v>9</v>
      </c>
      <c r="S76" s="136" t="s">
        <v>62</v>
      </c>
      <c r="T76" s="123">
        <f ca="1">IF($J76=$G$2,ROUND(ROUND($R76,2)*IF($R$9="Preço Unitário (R$)",1,1+$AA76),2),0)</f>
        <v>11.25</v>
      </c>
      <c r="U76" s="126">
        <f ca="1">IF($A76="S",VTOTAL1,IF($A76=0,0,ROUND(SomaAgrup,2)))</f>
        <v>337.5</v>
      </c>
      <c r="V76" s="1"/>
      <c r="W76" s="39" t="str">
        <f ca="1">IF(OR($A76=0,$A76="S",$A76&gt;CFF!$A$9),"",MAX(W$11:OFFSET(W76,-1,0))+1)</f>
        <v/>
      </c>
      <c r="X76" s="4" t="str">
        <f>IF(AND($J76=$G$2,$N76&lt;&gt;"",$M76&lt;&gt;""),CONCATENATE($M76,"-",$N76))</f>
        <v>Rec. Materiais-022</v>
      </c>
      <c r="Y76" s="39">
        <f ca="1">IF(X76&lt;&gt;FALSE,MATCH(X76,OFFSET(Banco,0,0,,1),0))</f>
        <v>31</v>
      </c>
      <c r="Z76" s="1"/>
      <c r="AA76" s="133">
        <f>IF($J76=$G$2,ROUND(IF(ISNUMBER(S76),S76,IF(LEFT(S76,2)="DI",HLOOKUP(S76,DADOS!$T$29:$X$30,2,FALSE),0)),4),"")</f>
        <v>0.25</v>
      </c>
      <c r="AB76" s="2"/>
    </row>
    <row r="77" spans="1:28" ht="30" customHeight="1">
      <c r="A77" t="str">
        <f t="shared" si="32"/>
        <v>S</v>
      </c>
      <c r="B77">
        <f t="shared" si="33"/>
        <v>0</v>
      </c>
      <c r="C77">
        <f t="shared" ca="1" si="34"/>
        <v>1</v>
      </c>
      <c r="D77">
        <f t="shared" ca="1" si="35"/>
        <v>2</v>
      </c>
      <c r="E77">
        <f t="shared" ca="1" si="36"/>
        <v>0</v>
      </c>
      <c r="F77">
        <f t="shared" ca="1" si="37"/>
        <v>0</v>
      </c>
      <c r="G77">
        <f t="shared" ca="1" si="38"/>
        <v>24</v>
      </c>
      <c r="H77">
        <f ca="1">IF(OR($A77="S",$A77=0),0,MATCH(0,OFFSET($B77,1,$A77,ROW($A$1504)-ROW($A77)),0))</f>
        <v>0</v>
      </c>
      <c r="I77">
        <f ca="1">IF(OR($A77="S",$A77=0),0,MATCH(OFFSET($B77,0,$A77)+1,OFFSET($B77,1,$A77,ROW($A$1504)-ROW($A77)),0))</f>
        <v>0</v>
      </c>
      <c r="J77" s="132" t="s">
        <v>29</v>
      </c>
      <c r="K77" s="121" t="str">
        <f t="shared" ca="1" si="39"/>
        <v>1.2.24.</v>
      </c>
      <c r="L77" s="137" t="str">
        <f t="shared" ca="1" si="40"/>
        <v>Cotação</v>
      </c>
      <c r="M77" s="122" t="s">
        <v>79</v>
      </c>
      <c r="N77" s="139" t="s">
        <v>167</v>
      </c>
      <c r="O77" s="137" t="str">
        <f t="shared" ca="1" si="47"/>
        <v>Brinquedos pedagogicos (jogos de damas, bozó, dominó de percepção e de associação de idéias, quebra-cabeça progressivo, mapa do mundo, bola, bambolé</v>
      </c>
      <c r="P77" s="138" t="str">
        <f t="shared" ca="1" si="41"/>
        <v>Unidade</v>
      </c>
      <c r="Q77" s="134">
        <v>1</v>
      </c>
      <c r="R77" s="124">
        <f t="shared" ca="1" si="42"/>
        <v>600</v>
      </c>
      <c r="S77" s="136" t="s">
        <v>62</v>
      </c>
      <c r="T77" s="123">
        <f t="shared" ca="1" si="43"/>
        <v>750</v>
      </c>
      <c r="U77" s="126">
        <f t="shared" ca="1" si="44"/>
        <v>750</v>
      </c>
      <c r="V77" s="1"/>
      <c r="W77" s="39" t="str">
        <f ca="1">IF(OR($A77=0,$A77="S",$A77&gt;CFF!$A$9),"",MAX(W$11:OFFSET(W77,-1,0))+1)</f>
        <v/>
      </c>
      <c r="X77" s="4" t="str">
        <f t="shared" si="45"/>
        <v>Rec. Materiais-024</v>
      </c>
      <c r="Y77" s="39">
        <f t="shared" ca="1" si="46"/>
        <v>33</v>
      </c>
      <c r="Z77" s="1"/>
      <c r="AA77" s="133">
        <f>IF($J77=$G$2,ROUND(IF(ISNUMBER(S77),S77,IF(LEFT(S77,2)="DI",HLOOKUP(S77,DADOS!$T$29:$X$30,2,FALSE),0)),4),"")</f>
        <v>0.25</v>
      </c>
      <c r="AB77" s="2"/>
    </row>
    <row r="78" spans="1:28">
      <c r="A78" t="str">
        <f t="shared" si="32"/>
        <v>S</v>
      </c>
      <c r="B78">
        <f t="shared" si="33"/>
        <v>0</v>
      </c>
      <c r="C78">
        <f t="shared" ca="1" si="34"/>
        <v>1</v>
      </c>
      <c r="D78">
        <f t="shared" ca="1" si="35"/>
        <v>2</v>
      </c>
      <c r="E78">
        <f t="shared" ca="1" si="36"/>
        <v>0</v>
      </c>
      <c r="F78">
        <f t="shared" ca="1" si="37"/>
        <v>0</v>
      </c>
      <c r="G78">
        <f t="shared" ca="1" si="38"/>
        <v>25</v>
      </c>
      <c r="H78">
        <f ca="1">IF(OR($A78="S",$A78=0),0,MATCH(0,OFFSET($B78,1,$A78,ROW($A$1504)-ROW($A78)),0))</f>
        <v>0</v>
      </c>
      <c r="I78">
        <f ca="1">IF(OR($A78="S",$A78=0),0,MATCH(OFFSET($B78,0,$A78)+1,OFFSET($B78,1,$A78,ROW($A$1504)-ROW($A78)),0))</f>
        <v>0</v>
      </c>
      <c r="J78" s="132" t="s">
        <v>29</v>
      </c>
      <c r="K78" s="121" t="str">
        <f t="shared" ca="1" si="39"/>
        <v>1.2.25.</v>
      </c>
      <c r="L78" s="137" t="str">
        <f t="shared" ca="1" si="40"/>
        <v>Cotação</v>
      </c>
      <c r="M78" s="122" t="s">
        <v>79</v>
      </c>
      <c r="N78" s="139" t="s">
        <v>168</v>
      </c>
      <c r="O78" s="137" t="str">
        <f t="shared" ca="1" si="47"/>
        <v>Fita adesiva</v>
      </c>
      <c r="P78" s="138" t="str">
        <f t="shared" ca="1" si="41"/>
        <v>Unidade</v>
      </c>
      <c r="Q78" s="134">
        <v>1</v>
      </c>
      <c r="R78" s="124">
        <f t="shared" ca="1" si="42"/>
        <v>6.18</v>
      </c>
      <c r="S78" s="136" t="s">
        <v>62</v>
      </c>
      <c r="T78" s="123">
        <f t="shared" ca="1" si="43"/>
        <v>7.73</v>
      </c>
      <c r="U78" s="126">
        <f t="shared" ca="1" si="44"/>
        <v>7.73</v>
      </c>
      <c r="V78" s="1"/>
      <c r="W78" s="39" t="str">
        <f ca="1">IF(OR($A78=0,$A78="S",$A78&gt;CFF!$A$9),"",MAX(W$11:OFFSET(W78,-1,0))+1)</f>
        <v/>
      </c>
      <c r="X78" s="4" t="str">
        <f t="shared" si="45"/>
        <v>Rec. Materiais-018</v>
      </c>
      <c r="Y78" s="39">
        <f t="shared" ca="1" si="46"/>
        <v>27</v>
      </c>
      <c r="Z78" s="1"/>
      <c r="AA78" s="133">
        <f>IF($J78=$G$2,ROUND(IF(ISNUMBER(S78),S78,IF(LEFT(S78,2)="DI",HLOOKUP(S78,DADOS!$T$29:$X$30,2,FALSE),0)),4),"")</f>
        <v>0.25</v>
      </c>
      <c r="AB78" s="2"/>
    </row>
    <row r="79" spans="1:28">
      <c r="A79" t="str">
        <f t="shared" si="32"/>
        <v>S</v>
      </c>
      <c r="B79">
        <f t="shared" si="33"/>
        <v>0</v>
      </c>
      <c r="C79">
        <f t="shared" ca="1" si="34"/>
        <v>1</v>
      </c>
      <c r="D79">
        <f t="shared" ca="1" si="35"/>
        <v>2</v>
      </c>
      <c r="E79">
        <f t="shared" ca="1" si="36"/>
        <v>0</v>
      </c>
      <c r="F79">
        <f t="shared" ca="1" si="37"/>
        <v>0</v>
      </c>
      <c r="G79">
        <f t="shared" ca="1" si="38"/>
        <v>26</v>
      </c>
      <c r="H79">
        <f ca="1">IF(OR($A79="S",$A79=0),0,MATCH(0,OFFSET($B79,1,$A79,ROW($A$1504)-ROW($A79)),0))</f>
        <v>0</v>
      </c>
      <c r="I79">
        <f ca="1">IF(OR($A79="S",$A79=0),0,MATCH(OFFSET($B79,0,$A79)+1,OFFSET($B79,1,$A79,ROW($A$1504)-ROW($A79)),0))</f>
        <v>0</v>
      </c>
      <c r="J79" s="132" t="s">
        <v>29</v>
      </c>
      <c r="K79" s="121" t="str">
        <f t="shared" ca="1" si="39"/>
        <v>1.2.26.</v>
      </c>
      <c r="L79" s="137" t="str">
        <f t="shared" ca="1" si="40"/>
        <v>Cotação</v>
      </c>
      <c r="M79" s="122" t="s">
        <v>79</v>
      </c>
      <c r="N79" s="139" t="s">
        <v>227</v>
      </c>
      <c r="O79" s="137" t="str">
        <f t="shared" ca="1" si="47"/>
        <v>Fita zebrada para isolar área</v>
      </c>
      <c r="P79" s="138" t="str">
        <f t="shared" ca="1" si="41"/>
        <v>Unidade</v>
      </c>
      <c r="Q79" s="134">
        <v>1</v>
      </c>
      <c r="R79" s="124">
        <f t="shared" ca="1" si="42"/>
        <v>19.39</v>
      </c>
      <c r="S79" s="136" t="s">
        <v>62</v>
      </c>
      <c r="T79" s="123">
        <f t="shared" ca="1" si="43"/>
        <v>24.24</v>
      </c>
      <c r="U79" s="126">
        <f t="shared" ca="1" si="44"/>
        <v>24.24</v>
      </c>
      <c r="V79" s="1"/>
      <c r="W79" s="39" t="str">
        <f ca="1">IF(OR($A79=0,$A79="S",$A79&gt;CFF!$A$9),"",MAX(W$11:OFFSET(W79,-1,0))+1)</f>
        <v/>
      </c>
      <c r="X79" s="4" t="str">
        <f t="shared" si="45"/>
        <v>Rec. Materiais-030</v>
      </c>
      <c r="Y79" s="39">
        <f t="shared" ca="1" si="46"/>
        <v>39</v>
      </c>
      <c r="Z79" s="1"/>
      <c r="AA79" s="133">
        <f>IF($J79=$G$2,ROUND(IF(ISNUMBER(S79),S79,IF(LEFT(S79,2)="DI",HLOOKUP(S79,DADOS!$T$29:$X$30,2,FALSE),0)),4),"")</f>
        <v>0.25</v>
      </c>
      <c r="AB79" s="2"/>
    </row>
    <row r="80" spans="1:28">
      <c r="A80" t="str">
        <f t="shared" si="32"/>
        <v>S</v>
      </c>
      <c r="B80">
        <f t="shared" si="33"/>
        <v>0</v>
      </c>
      <c r="C80">
        <f t="shared" ca="1" si="34"/>
        <v>1</v>
      </c>
      <c r="D80">
        <f t="shared" ca="1" si="35"/>
        <v>2</v>
      </c>
      <c r="E80">
        <f t="shared" ca="1" si="36"/>
        <v>0</v>
      </c>
      <c r="F80">
        <f t="shared" ca="1" si="37"/>
        <v>0</v>
      </c>
      <c r="G80">
        <f t="shared" ca="1" si="38"/>
        <v>27</v>
      </c>
      <c r="H80">
        <f ca="1">IF(OR($A80="S",$A80=0),0,MATCH(0,OFFSET($B80,1,$A80,ROW($A$1504)-ROW($A80)),0))</f>
        <v>0</v>
      </c>
      <c r="I80">
        <f ca="1">IF(OR($A80="S",$A80=0),0,MATCH(OFFSET($B80,0,$A80)+1,OFFSET($B80,1,$A80,ROW($A$1504)-ROW($A80)),0))</f>
        <v>0</v>
      </c>
      <c r="J80" s="132" t="s">
        <v>29</v>
      </c>
      <c r="K80" s="121" t="str">
        <f t="shared" ca="1" si="39"/>
        <v>1.2.27.</v>
      </c>
      <c r="L80" s="137" t="str">
        <f t="shared" ca="1" si="40"/>
        <v>Cotação</v>
      </c>
      <c r="M80" s="122" t="s">
        <v>79</v>
      </c>
      <c r="N80" s="139" t="s">
        <v>165</v>
      </c>
      <c r="O80" s="137" t="str">
        <f t="shared" ca="1" si="47"/>
        <v>Papel de presente</v>
      </c>
      <c r="P80" s="138" t="str">
        <f t="shared" ca="1" si="41"/>
        <v>Folhas</v>
      </c>
      <c r="Q80" s="134">
        <v>8</v>
      </c>
      <c r="R80" s="124">
        <f t="shared" ca="1" si="42"/>
        <v>1.5</v>
      </c>
      <c r="S80" s="136" t="s">
        <v>62</v>
      </c>
      <c r="T80" s="123">
        <f t="shared" ca="1" si="43"/>
        <v>1.88</v>
      </c>
      <c r="U80" s="126">
        <f t="shared" ca="1" si="44"/>
        <v>15.04</v>
      </c>
      <c r="V80" s="1"/>
      <c r="W80" s="39" t="str">
        <f ca="1">IF(OR($A80=0,$A80="S",$A80&gt;CFF!$A$9),"",MAX(W$11:OFFSET(W80,-1,0))+1)</f>
        <v/>
      </c>
      <c r="X80" s="4" t="str">
        <f t="shared" si="45"/>
        <v>Rec. Materiais-021</v>
      </c>
      <c r="Y80" s="39">
        <f t="shared" ca="1" si="46"/>
        <v>30</v>
      </c>
      <c r="Z80" s="1"/>
      <c r="AA80" s="133">
        <f>IF($J80=$G$2,ROUND(IF(ISNUMBER(S80),S80,IF(LEFT(S80,2)="DI",HLOOKUP(S80,DADOS!$T$29:$X$30,2,FALSE),0)),4),"")</f>
        <v>0.25</v>
      </c>
      <c r="AB80" s="2"/>
    </row>
    <row r="81" spans="1:28">
      <c r="A81" t="str">
        <f t="shared" si="32"/>
        <v>S</v>
      </c>
      <c r="B81">
        <f t="shared" si="33"/>
        <v>0</v>
      </c>
      <c r="C81">
        <f t="shared" ca="1" si="34"/>
        <v>1</v>
      </c>
      <c r="D81">
        <f t="shared" ca="1" si="35"/>
        <v>2</v>
      </c>
      <c r="E81">
        <f t="shared" ca="1" si="36"/>
        <v>0</v>
      </c>
      <c r="F81">
        <f t="shared" ca="1" si="37"/>
        <v>0</v>
      </c>
      <c r="G81">
        <f t="shared" ca="1" si="38"/>
        <v>28</v>
      </c>
      <c r="H81">
        <f ca="1">IF(OR($A81="S",$A81=0),0,MATCH(0,OFFSET($B81,1,$A81,ROW($A$1504)-ROW($A81)),0))</f>
        <v>0</v>
      </c>
      <c r="I81">
        <f ca="1">IF(OR($A81="S",$A81=0),0,MATCH(OFFSET($B81,0,$A81)+1,OFFSET($B81,1,$A81,ROW($A$1504)-ROW($A81)),0))</f>
        <v>0</v>
      </c>
      <c r="J81" s="132" t="s">
        <v>29</v>
      </c>
      <c r="K81" s="121" t="str">
        <f t="shared" ca="1" si="39"/>
        <v>1.2.28.</v>
      </c>
      <c r="L81" s="137" t="str">
        <f t="shared" ca="1" si="40"/>
        <v>Cotação</v>
      </c>
      <c r="M81" s="122" t="s">
        <v>79</v>
      </c>
      <c r="N81" s="139" t="s">
        <v>163</v>
      </c>
      <c r="O81" s="137" t="str">
        <f t="shared" ca="1" si="47"/>
        <v>Guloseimas (balas e pirulito)</v>
      </c>
      <c r="P81" s="138" t="str">
        <f t="shared" ca="1" si="41"/>
        <v>Pacote</v>
      </c>
      <c r="Q81" s="134">
        <v>4</v>
      </c>
      <c r="R81" s="124">
        <f t="shared" ca="1" si="42"/>
        <v>12</v>
      </c>
      <c r="S81" s="136" t="s">
        <v>62</v>
      </c>
      <c r="T81" s="123">
        <f t="shared" ca="1" si="43"/>
        <v>15</v>
      </c>
      <c r="U81" s="126">
        <f t="shared" ca="1" si="44"/>
        <v>60</v>
      </c>
      <c r="V81" s="1"/>
      <c r="W81" s="39" t="str">
        <f ca="1">IF(OR($A81=0,$A81="S",$A81&gt;CFF!$A$9),"",MAX(W$11:OFFSET(W81,-1,0))+1)</f>
        <v/>
      </c>
      <c r="X81" s="4" t="str">
        <f t="shared" si="45"/>
        <v>Rec. Materiais-020</v>
      </c>
      <c r="Y81" s="39">
        <f t="shared" ca="1" si="46"/>
        <v>29</v>
      </c>
      <c r="Z81" s="1"/>
      <c r="AA81" s="133">
        <f>IF($J81=$G$2,ROUND(IF(ISNUMBER(S81),S81,IF(LEFT(S81,2)="DI",HLOOKUP(S81,DADOS!$T$29:$X$30,2,FALSE),0)),4),"")</f>
        <v>0.25</v>
      </c>
      <c r="AB81" s="2"/>
    </row>
    <row r="82" spans="1:28">
      <c r="A82" t="str">
        <f t="shared" si="32"/>
        <v>S</v>
      </c>
      <c r="B82">
        <f t="shared" si="33"/>
        <v>0</v>
      </c>
      <c r="C82">
        <f t="shared" ca="1" si="34"/>
        <v>1</v>
      </c>
      <c r="D82">
        <f t="shared" ca="1" si="35"/>
        <v>2</v>
      </c>
      <c r="E82">
        <f t="shared" ca="1" si="36"/>
        <v>0</v>
      </c>
      <c r="F82">
        <f t="shared" ca="1" si="37"/>
        <v>0</v>
      </c>
      <c r="G82">
        <f t="shared" ca="1" si="38"/>
        <v>29</v>
      </c>
      <c r="H82">
        <f ca="1">IF(OR($A82="S",$A82=0),0,MATCH(0,OFFSET($B82,1,$A82,ROW($A$1504)-ROW($A82)),0))</f>
        <v>0</v>
      </c>
      <c r="I82">
        <f ca="1">IF(OR($A82="S",$A82=0),0,MATCH(OFFSET($B82,0,$A82)+1,OFFSET($B82,1,$A82,ROW($A$1504)-ROW($A82)),0))</f>
        <v>0</v>
      </c>
      <c r="J82" s="132" t="s">
        <v>29</v>
      </c>
      <c r="K82" s="121" t="str">
        <f t="shared" ca="1" si="39"/>
        <v>1.2.29.</v>
      </c>
      <c r="L82" s="137" t="str">
        <f t="shared" ca="1" si="40"/>
        <v>Cotação</v>
      </c>
      <c r="M82" s="122" t="s">
        <v>79</v>
      </c>
      <c r="N82" s="139" t="s">
        <v>169</v>
      </c>
      <c r="O82" s="137" t="str">
        <f t="shared" ca="1" si="47"/>
        <v>Apontador</v>
      </c>
      <c r="P82" s="138" t="str">
        <f t="shared" ca="1" si="41"/>
        <v>Unidade</v>
      </c>
      <c r="Q82" s="134">
        <v>5</v>
      </c>
      <c r="R82" s="124">
        <f t="shared" ca="1" si="42"/>
        <v>5.2</v>
      </c>
      <c r="S82" s="136" t="s">
        <v>62</v>
      </c>
      <c r="T82" s="123">
        <f t="shared" ca="1" si="43"/>
        <v>6.5</v>
      </c>
      <c r="U82" s="126">
        <f t="shared" ca="1" si="44"/>
        <v>32.5</v>
      </c>
      <c r="V82" s="1"/>
      <c r="W82" s="39" t="str">
        <f ca="1">IF(OR($A82=0,$A82="S",$A82&gt;CFF!$A$9),"",MAX(W$11:OFFSET(W82,-1,0))+1)</f>
        <v/>
      </c>
      <c r="X82" s="4" t="str">
        <f t="shared" si="45"/>
        <v>Rec. Materiais-025</v>
      </c>
      <c r="Y82" s="39">
        <f t="shared" ca="1" si="46"/>
        <v>34</v>
      </c>
      <c r="Z82" s="1"/>
      <c r="AA82" s="133">
        <f>IF($J82=$G$2,ROUND(IF(ISNUMBER(S82),S82,IF(LEFT(S82,2)="DI",HLOOKUP(S82,DADOS!$T$29:$X$30,2,FALSE),0)),4),"")</f>
        <v>0.25</v>
      </c>
      <c r="AB82" s="2"/>
    </row>
    <row r="83" spans="1:28">
      <c r="A83" t="str">
        <f>CHOOSE(1+LOG(1+2*(J83=$C$2)+4*(J83=$D$2)+8*(J83=$E$2)+16*(J83=$F$2)+32*(J83=$G$2),2),0,1,2,3,4,"S")</f>
        <v>S</v>
      </c>
      <c r="B83">
        <f>IF(OR(A83="S",A83=0),0,IF(ISERROR(I83),H83,SMALL(H83:I83,1)))</f>
        <v>0</v>
      </c>
      <c r="C83">
        <f ca="1">IF($A83=1,OFFSET(C83,-1,0)+1,OFFSET(C83,-1,0))</f>
        <v>1</v>
      </c>
      <c r="D83">
        <f ca="1">IF($A83=1,0,IF($A83=2,OFFSET(D83,-1,0)+1,OFFSET(D83,-1,0)))</f>
        <v>2</v>
      </c>
      <c r="E83">
        <f ca="1">IF(AND($A83&lt;=2,$A83&lt;&gt;0),0,IF($A83=3,OFFSET(E83,-1,0)+1,OFFSET(E83,-1,0)))</f>
        <v>0</v>
      </c>
      <c r="F83">
        <f ca="1">IF(AND($A83&lt;=3,$A83&lt;&gt;0),0,IF($A83=4,OFFSET(F83,-1,0)+1,OFFSET(F83,-1,0)))</f>
        <v>0</v>
      </c>
      <c r="G83">
        <f ca="1">IF(AND($A83&lt;=4,$A83&lt;&gt;0),0,IF($A83="S",OFFSET(G83,-1,0)+1,OFFSET(G83,-1,0)))</f>
        <v>30</v>
      </c>
      <c r="H83">
        <f ca="1">IF(OR($A83="S",$A83=0),0,MATCH(0,OFFSET($B83,1,$A83,ROW($A$1504)-ROW($A83)),0))</f>
        <v>0</v>
      </c>
      <c r="I83">
        <f ca="1">IF(OR($A83="S",$A83=0),0,MATCH(OFFSET($B83,0,$A83)+1,OFFSET($B83,1,$A83,ROW($A$1504)-ROW($A83)),0))</f>
        <v>0</v>
      </c>
      <c r="J83" s="132" t="s">
        <v>29</v>
      </c>
      <c r="K83" s="121" t="str">
        <f ca="1">IF($A83=0,"-",CONCATENATE(C83&amp;".",IF(AND($A$5&gt;=2,$A83&gt;=2),D83&amp;".",""),IF(AND($A$5&gt;=3,$A83&gt;=3),E83&amp;".",""),IF(AND($A$5&gt;=4,$A83&gt;=4),F83&amp;".",""),IF($A83="S",G83&amp;".","")))</f>
        <v>1.2.30.</v>
      </c>
      <c r="L83" s="137" t="str">
        <f ca="1">IF(NOT(ISERROR($Y83)),IF($Y83&lt;&gt;FALSE,INDEX(Banco,$Y83,4),""),"")</f>
        <v>Cotação</v>
      </c>
      <c r="M83" s="122" t="s">
        <v>79</v>
      </c>
      <c r="N83" s="139" t="s">
        <v>170</v>
      </c>
      <c r="O83" s="137" t="str">
        <f t="shared" ca="1" si="47"/>
        <v>Saco de lixo (100 litros)</v>
      </c>
      <c r="P83" s="138" t="str">
        <f ca="1">IF(NOT(ISERROR($Y83)),IF($Y83&lt;&gt;FALSE,INDEX(Banco,$Y83,6),""),"")</f>
        <v>Pacote</v>
      </c>
      <c r="Q83" s="134">
        <v>2</v>
      </c>
      <c r="R83" s="124">
        <f ca="1">IF(NOT(ISERROR($Y83)),IF($Y83&lt;&gt;FALSE,INDEX(Banco,$Y83,7),0),0)</f>
        <v>15</v>
      </c>
      <c r="S83" s="136" t="s">
        <v>62</v>
      </c>
      <c r="T83" s="123">
        <f ca="1">IF($J83=$G$2,ROUND(ROUND($R83,2)*IF($R$9="Preço Unitário (R$)",1,1+$AA83),2),0)</f>
        <v>18.75</v>
      </c>
      <c r="U83" s="126">
        <f ca="1">IF($A83="S",VTOTAL1,IF($A83=0,0,ROUND(SomaAgrup,2)))</f>
        <v>37.5</v>
      </c>
      <c r="V83" s="1"/>
      <c r="W83" s="39" t="str">
        <f ca="1">IF(OR($A83=0,$A83="S",$A83&gt;CFF!$A$9),"",MAX(W$11:OFFSET(W83,-1,0))+1)</f>
        <v/>
      </c>
      <c r="X83" s="4" t="str">
        <f>IF(AND($J83=$G$2,$N83&lt;&gt;"",$M83&lt;&gt;""),CONCATENATE($M83,"-",$N83))</f>
        <v>Rec. Materiais-026</v>
      </c>
      <c r="Y83" s="39">
        <f ca="1">IF(X83&lt;&gt;FALSE,MATCH(X83,OFFSET(Banco,0,0,,1),0))</f>
        <v>35</v>
      </c>
      <c r="Z83" s="1"/>
      <c r="AA83" s="133">
        <f>IF($J83=$G$2,ROUND(IF(ISNUMBER(S83),S83,IF(LEFT(S83,2)="DI",HLOOKUP(S83,DADOS!$T$29:$X$30,2,FALSE),0)),4),"")</f>
        <v>0.25</v>
      </c>
      <c r="AB83" s="2"/>
    </row>
    <row r="84" spans="1:28" ht="25.5">
      <c r="A84">
        <f>CHOOSE(1+LOG(1+2*(J84=$C$2)+4*(J84=$D$2)+8*(J84=$E$2)+16*(J84=$F$2)+32*(J84=$G$2),2),0,1,2,3,4,"S")</f>
        <v>2</v>
      </c>
      <c r="B84">
        <f ca="1">IF(OR(A84="S",A84=0),0,IF(ISERROR(I84),H84,SMALL(H84:I84,1)))</f>
        <v>29</v>
      </c>
      <c r="C84">
        <f ca="1">IF($A84=1,OFFSET(C84,-1,0)+1,OFFSET(C84,-1,0))</f>
        <v>1</v>
      </c>
      <c r="D84">
        <f ca="1">IF($A84=1,0,IF($A84=2,OFFSET(D84,-1,0)+1,OFFSET(D84,-1,0)))</f>
        <v>3</v>
      </c>
      <c r="E84">
        <f ca="1">IF(AND($A84&lt;=2,$A84&lt;&gt;0),0,IF($A84=3,OFFSET(E84,-1,0)+1,OFFSET(E84,-1,0)))</f>
        <v>0</v>
      </c>
      <c r="F84">
        <f ca="1">IF(AND($A84&lt;=3,$A84&lt;&gt;0),0,IF($A84=4,OFFSET(F84,-1,0)+1,OFFSET(F84,-1,0)))</f>
        <v>0</v>
      </c>
      <c r="G84">
        <f ca="1">IF(AND($A84&lt;=4,$A84&lt;&gt;0),0,IF($A84="S",OFFSET(G84,-1,0)+1,OFFSET(G84,-1,0)))</f>
        <v>0</v>
      </c>
      <c r="H84">
        <f ca="1">IF(OR($A84="S",$A84=0),0,MATCH(0,OFFSET($B84,1,$A84,ROW($A$1504)-ROW($A84)),0))</f>
        <v>29</v>
      </c>
      <c r="I84">
        <f ca="1">IF(OR($A84="S",$A84=0),0,MATCH(OFFSET($B84,0,$A84)+1,OFFSET($B84,1,$A84,ROW($A$1504)-ROW($A84)),0))</f>
        <v>67</v>
      </c>
      <c r="J84" s="132" t="s">
        <v>68</v>
      </c>
      <c r="K84" s="121" t="str">
        <f ca="1">IF($A84=0,"-",CONCATENATE(C84&amp;".",IF(AND($A$5&gt;=2,$A84&gt;=2),D84&amp;".",""),IF(AND($A$5&gt;=3,$A84&gt;=3),E84&amp;".",""),IF(AND($A$5&gt;=4,$A84&gt;=4),F84&amp;".",""),IF($A84="S",G84&amp;".","")))</f>
        <v>1.3.</v>
      </c>
      <c r="L84" s="137" t="str">
        <f ca="1">IF(NOT(ISERROR($Y84)),IF($Y84&lt;&gt;FALSE,INDEX(Banco,$Y84,4),""),"")</f>
        <v/>
      </c>
      <c r="M84" s="122"/>
      <c r="N84" s="139"/>
      <c r="O84" s="137" t="s">
        <v>350</v>
      </c>
      <c r="P84" s="138" t="str">
        <f ca="1">IF(NOT(ISERROR($Y84)),IF($Y84&lt;&gt;FALSE,INDEX(Banco,$Y84,6),""),"")</f>
        <v/>
      </c>
      <c r="Q84" s="134"/>
      <c r="R84" s="124">
        <f ca="1">IF(NOT(ISERROR($Y84)),IF($Y84&lt;&gt;FALSE,INDEX(Banco,$Y84,7),0),0)</f>
        <v>0</v>
      </c>
      <c r="S84" s="136" t="s">
        <v>62</v>
      </c>
      <c r="T84" s="123">
        <f>IF($J84=$G$2,ROUND(ROUND($R84,2)*IF($R$9="Preço Unitário (R$)",1,1+$AA84),2),0)</f>
        <v>0</v>
      </c>
      <c r="U84" s="126">
        <f ca="1">IF($A84="S",VTOTAL1,IF($A84=0,0,ROUND(SomaAgrup,2)))</f>
        <v>8495.99</v>
      </c>
      <c r="V84" s="1"/>
      <c r="W84" s="39">
        <f ca="1">IF(OR($A84=0,$A84="S",$A84&gt;CFF!$A$9),"",MAX(W$11:OFFSET(W84,-1,0))+1)</f>
        <v>4</v>
      </c>
      <c r="X84" s="4" t="b">
        <f>IF(AND($J84=$G$2,$N84&lt;&gt;"",$M84&lt;&gt;""),CONCATENATE($M84,"-",$N84))</f>
        <v>0</v>
      </c>
      <c r="Y84" s="39" t="b">
        <f ca="1">IF(X84&lt;&gt;FALSE,MATCH(X84,OFFSET(Banco,0,0,,1),0))</f>
        <v>0</v>
      </c>
      <c r="Z84" s="1"/>
      <c r="AA84" s="133" t="str">
        <f>IF($J84=$G$2,ROUND(IF(ISNUMBER(S84),S84,IF(LEFT(S84,2)="DI",HLOOKUP(S84,DADOS!$T$29:$X$30,2,FALSE),0)),4),"")</f>
        <v/>
      </c>
      <c r="AB84" s="2"/>
    </row>
    <row r="85" spans="1:28">
      <c r="A85" t="str">
        <f t="shared" ref="A85:A90" si="48">CHOOSE(1+LOG(1+2*(J85=$C$2)+4*(J85=$D$2)+8*(J85=$E$2)+16*(J85=$F$2)+32*(J85=$G$2),2),0,1,2,3,4,"S")</f>
        <v>S</v>
      </c>
      <c r="B85">
        <f t="shared" ref="B85:B90" si="49">IF(OR(A85="S",A85=0),0,IF(ISERROR(I85),H85,SMALL(H85:I85,1)))</f>
        <v>0</v>
      </c>
      <c r="C85">
        <f t="shared" ref="C85:C111" ca="1" si="50">IF($A85=1,OFFSET(C85,-1,0)+1,OFFSET(C85,-1,0))</f>
        <v>1</v>
      </c>
      <c r="D85">
        <f t="shared" ref="D85:D111" ca="1" si="51">IF($A85=1,0,IF($A85=2,OFFSET(D85,-1,0)+1,OFFSET(D85,-1,0)))</f>
        <v>3</v>
      </c>
      <c r="E85">
        <f t="shared" ref="E85:E111" ca="1" si="52">IF(AND($A85&lt;=2,$A85&lt;&gt;0),0,IF($A85=3,OFFSET(E85,-1,0)+1,OFFSET(E85,-1,0)))</f>
        <v>0</v>
      </c>
      <c r="F85">
        <f t="shared" ref="F85:F111" ca="1" si="53">IF(AND($A85&lt;=3,$A85&lt;&gt;0),0,IF($A85=4,OFFSET(F85,-1,0)+1,OFFSET(F85,-1,0)))</f>
        <v>0</v>
      </c>
      <c r="G85">
        <f t="shared" ref="G85:G111" ca="1" si="54">IF(AND($A85&lt;=4,$A85&lt;&gt;0),0,IF($A85="S",OFFSET(G85,-1,0)+1,OFFSET(G85,-1,0)))</f>
        <v>1</v>
      </c>
      <c r="H85">
        <f ca="1">IF(OR($A85="S",$A85=0),0,MATCH(0,OFFSET($B85,1,$A85,ROW($A$1504)-ROW($A85)),0))</f>
        <v>0</v>
      </c>
      <c r="I85">
        <f ca="1">IF(OR($A85="S",$A85=0),0,MATCH(OFFSET($B85,0,$A85)+1,OFFSET($B85,1,$A85,ROW($A$1504)-ROW($A85)),0))</f>
        <v>0</v>
      </c>
      <c r="J85" s="132" t="s">
        <v>29</v>
      </c>
      <c r="K85" s="121" t="str">
        <f t="shared" ref="K85:K90" ca="1" si="55">IF($A85=0,"-",CONCATENATE(C85&amp;".",IF(AND($A$5&gt;=2,$A85&gt;=2),D85&amp;".",""),IF(AND($A$5&gt;=3,$A85&gt;=3),E85&amp;".",""),IF(AND($A$5&gt;=4,$A85&gt;=4),F85&amp;".",""),IF($A85="S",G85&amp;".","")))</f>
        <v>1.3.1.</v>
      </c>
      <c r="L85" s="137" t="str">
        <f t="shared" ref="L85:L111" ca="1" si="56">IF(NOT(ISERROR($Y85)),IF($Y85&lt;&gt;FALSE,INDEX(Banco,$Y85,4),""),"")</f>
        <v>CRESS</v>
      </c>
      <c r="M85" s="122" t="s">
        <v>78</v>
      </c>
      <c r="N85" s="139" t="s">
        <v>149</v>
      </c>
      <c r="O85" s="137" t="str">
        <f t="shared" ref="O85:O112" ca="1" si="57">IF(NOT(ISERROR($Y85)),IF($Y85&lt;&gt;FALSE,INDEX(Banco,$Y85,5),""),"")</f>
        <v>Responsável Técnica</v>
      </c>
      <c r="P85" s="138" t="str">
        <f t="shared" ref="P85:P111" ca="1" si="58">IF(NOT(ISERROR($Y85)),IF($Y85&lt;&gt;FALSE,INDEX(Banco,$Y85,6),""),"")</f>
        <v>Horas</v>
      </c>
      <c r="Q85" s="134">
        <v>6</v>
      </c>
      <c r="R85" s="124">
        <f t="shared" ref="R85:R111" ca="1" si="59">IF(NOT(ISERROR($Y85)),IF($Y85&lt;&gt;FALSE,INDEX(Banco,$Y85,7),0),0)</f>
        <v>150.28</v>
      </c>
      <c r="S85" s="136" t="s">
        <v>62</v>
      </c>
      <c r="T85" s="123">
        <f t="shared" ref="T85:T111" ca="1" si="60">IF($J85=$G$2,ROUND(ROUND($R85,2)*IF($R$9="Preço Unitário (R$)",1,1+$AA85),2),0)</f>
        <v>187.85</v>
      </c>
      <c r="U85" s="126">
        <f t="shared" ref="U85:U111" ca="1" si="61">IF($A85="S",VTOTAL1,IF($A85=0,0,ROUND(SomaAgrup,2)))</f>
        <v>1127.0999999999999</v>
      </c>
      <c r="V85" s="1"/>
      <c r="W85" s="39" t="str">
        <f ca="1">IF(OR($A85=0,$A85="S",$A85&gt;CFF!$A$9),"",MAX(W$11:OFFSET(W85,-1,0))+1)</f>
        <v/>
      </c>
      <c r="X85" s="4" t="str">
        <f t="shared" ref="X85:X111" si="62">IF(AND($J85=$G$2,$N85&lt;&gt;"",$M85&lt;&gt;""),CONCATENATE($M85,"-",$N85))</f>
        <v>Rec. Humanos-001</v>
      </c>
      <c r="Y85" s="39">
        <f t="shared" ref="Y85:Y90" ca="1" si="63">IF(X85&lt;&gt;FALSE,MATCH(X85,OFFSET(Banco,0,0,,1),0))</f>
        <v>3</v>
      </c>
      <c r="Z85" s="1"/>
      <c r="AA85" s="133">
        <f>IF($J85=$G$2,ROUND(IF(ISNUMBER(S85),S85,IF(LEFT(S85,2)="DI",HLOOKUP(S85,DADOS!$T$29:$X$30,2,FALSE),0)),4),"")</f>
        <v>0.25</v>
      </c>
      <c r="AB85" s="2"/>
    </row>
    <row r="86" spans="1:28">
      <c r="A86" t="str">
        <f t="shared" si="48"/>
        <v>S</v>
      </c>
      <c r="B86">
        <f t="shared" si="49"/>
        <v>0</v>
      </c>
      <c r="C86">
        <f t="shared" ca="1" si="50"/>
        <v>1</v>
      </c>
      <c r="D86">
        <f t="shared" ca="1" si="51"/>
        <v>3</v>
      </c>
      <c r="E86">
        <f t="shared" ca="1" si="52"/>
        <v>0</v>
      </c>
      <c r="F86">
        <f t="shared" ca="1" si="53"/>
        <v>0</v>
      </c>
      <c r="G86">
        <f t="shared" ca="1" si="54"/>
        <v>2</v>
      </c>
      <c r="H86">
        <f ca="1">IF(OR($A86="S",$A86=0),0,MATCH(0,OFFSET($B86,1,$A86,ROW($A$1504)-ROW($A86)),0))</f>
        <v>0</v>
      </c>
      <c r="I86">
        <f ca="1">IF(OR($A86="S",$A86=0),0,MATCH(OFFSET($B86,0,$A86)+1,OFFSET($B86,1,$A86,ROW($A$1504)-ROW($A86)),0))</f>
        <v>0</v>
      </c>
      <c r="J86" s="132" t="s">
        <v>29</v>
      </c>
      <c r="K86" s="121" t="str">
        <f t="shared" ca="1" si="55"/>
        <v>1.3.2.</v>
      </c>
      <c r="L86" s="137" t="str">
        <f t="shared" ca="1" si="56"/>
        <v>CRESS</v>
      </c>
      <c r="M86" s="122" t="s">
        <v>78</v>
      </c>
      <c r="N86" s="139" t="s">
        <v>152</v>
      </c>
      <c r="O86" s="137" t="str">
        <f t="shared" ca="1" si="57"/>
        <v>Assistente Social</v>
      </c>
      <c r="P86" s="138" t="str">
        <f t="shared" ca="1" si="58"/>
        <v>Horas</v>
      </c>
      <c r="Q86" s="134">
        <v>4</v>
      </c>
      <c r="R86" s="124">
        <f t="shared" ca="1" si="59"/>
        <v>133.81</v>
      </c>
      <c r="S86" s="136" t="s">
        <v>62</v>
      </c>
      <c r="T86" s="123">
        <f t="shared" ca="1" si="60"/>
        <v>167.26</v>
      </c>
      <c r="U86" s="126">
        <f t="shared" ca="1" si="61"/>
        <v>669.04</v>
      </c>
      <c r="V86" s="1"/>
      <c r="W86" s="39" t="str">
        <f ca="1">IF(OR($A86=0,$A86="S",$A86&gt;CFF!$A$9),"",MAX(W$11:OFFSET(W86,-1,0))+1)</f>
        <v/>
      </c>
      <c r="X86" s="4" t="str">
        <f t="shared" si="62"/>
        <v>Rec. Humanos-002</v>
      </c>
      <c r="Y86" s="39">
        <f t="shared" ca="1" si="63"/>
        <v>4</v>
      </c>
      <c r="Z86" s="1"/>
      <c r="AA86" s="133">
        <f>IF($J86=$G$2,ROUND(IF(ISNUMBER(S86),S86,IF(LEFT(S86,2)="DI",HLOOKUP(S86,DADOS!$T$29:$X$30,2,FALSE),0)),4),"")</f>
        <v>0.25</v>
      </c>
      <c r="AB86" s="2"/>
    </row>
    <row r="87" spans="1:28">
      <c r="A87" t="str">
        <f t="shared" si="48"/>
        <v>S</v>
      </c>
      <c r="B87">
        <f t="shared" si="49"/>
        <v>0</v>
      </c>
      <c r="C87">
        <f t="shared" ca="1" si="50"/>
        <v>1</v>
      </c>
      <c r="D87">
        <f t="shared" ca="1" si="51"/>
        <v>3</v>
      </c>
      <c r="E87">
        <f t="shared" ca="1" si="52"/>
        <v>0</v>
      </c>
      <c r="F87">
        <f t="shared" ca="1" si="53"/>
        <v>0</v>
      </c>
      <c r="G87">
        <f t="shared" ca="1" si="54"/>
        <v>3</v>
      </c>
      <c r="H87">
        <f ca="1">IF(OR($A87="S",$A87=0),0,MATCH(0,OFFSET($B87,1,$A87,ROW($A$1504)-ROW($A87)),0))</f>
        <v>0</v>
      </c>
      <c r="I87">
        <f ca="1">IF(OR($A87="S",$A87=0),0,MATCH(OFFSET($B87,0,$A87)+1,OFFSET($B87,1,$A87,ROW($A$1504)-ROW($A87)),0))</f>
        <v>0</v>
      </c>
      <c r="J87" s="132" t="s">
        <v>29</v>
      </c>
      <c r="K87" s="121" t="str">
        <f t="shared" ca="1" si="55"/>
        <v>1.3.3.</v>
      </c>
      <c r="L87" s="137" t="str">
        <f t="shared" ca="1" si="56"/>
        <v>Cotação</v>
      </c>
      <c r="M87" s="122" t="s">
        <v>78</v>
      </c>
      <c r="N87" s="139" t="s">
        <v>151</v>
      </c>
      <c r="O87" s="137" t="str">
        <f t="shared" ca="1" si="57"/>
        <v xml:space="preserve">Administrador (Técnico de Apoio) </v>
      </c>
      <c r="P87" s="138" t="str">
        <f t="shared" ca="1" si="58"/>
        <v>Horas</v>
      </c>
      <c r="Q87" s="134">
        <v>4</v>
      </c>
      <c r="R87" s="124">
        <f t="shared" ca="1" si="59"/>
        <v>103.65</v>
      </c>
      <c r="S87" s="136" t="s">
        <v>62</v>
      </c>
      <c r="T87" s="123">
        <f t="shared" ca="1" si="60"/>
        <v>129.56</v>
      </c>
      <c r="U87" s="126">
        <f t="shared" ca="1" si="61"/>
        <v>518.24</v>
      </c>
      <c r="V87" s="1"/>
      <c r="W87" s="39" t="str">
        <f ca="1">IF(OR($A87=0,$A87="S",$A87&gt;CFF!$A$9),"",MAX(W$11:OFFSET(W87,-1,0))+1)</f>
        <v/>
      </c>
      <c r="X87" s="4" t="str">
        <f t="shared" si="62"/>
        <v>Rec. Humanos-003</v>
      </c>
      <c r="Y87" s="39">
        <f t="shared" ca="1" si="63"/>
        <v>5</v>
      </c>
      <c r="Z87" s="1"/>
      <c r="AA87" s="133">
        <f>IF($J87=$G$2,ROUND(IF(ISNUMBER(S87),S87,IF(LEFT(S87,2)="DI",HLOOKUP(S87,DADOS!$T$29:$X$30,2,FALSE),0)),4),"")</f>
        <v>0.25</v>
      </c>
      <c r="AB87" s="2"/>
    </row>
    <row r="88" spans="1:28">
      <c r="A88" t="str">
        <f t="shared" si="48"/>
        <v>S</v>
      </c>
      <c r="B88">
        <f t="shared" si="49"/>
        <v>0</v>
      </c>
      <c r="C88">
        <f t="shared" ca="1" si="50"/>
        <v>1</v>
      </c>
      <c r="D88">
        <f t="shared" ca="1" si="51"/>
        <v>3</v>
      </c>
      <c r="E88">
        <f t="shared" ca="1" si="52"/>
        <v>0</v>
      </c>
      <c r="F88">
        <f t="shared" ca="1" si="53"/>
        <v>0</v>
      </c>
      <c r="G88">
        <f t="shared" ca="1" si="54"/>
        <v>4</v>
      </c>
      <c r="H88">
        <f ca="1">IF(OR($A88="S",$A88=0),0,MATCH(0,OFFSET($B88,1,$A88,ROW($A$1504)-ROW($A88)),0))</f>
        <v>0</v>
      </c>
      <c r="I88">
        <f ca="1">IF(OR($A88="S",$A88=0),0,MATCH(OFFSET($B88,0,$A88)+1,OFFSET($B88,1,$A88,ROW($A$1504)-ROW($A88)),0))</f>
        <v>0</v>
      </c>
      <c r="J88" s="132" t="s">
        <v>29</v>
      </c>
      <c r="K88" s="121" t="str">
        <f t="shared" ca="1" si="55"/>
        <v>1.3.4.</v>
      </c>
      <c r="L88" s="137" t="str">
        <f t="shared" ca="1" si="56"/>
        <v>SINE</v>
      </c>
      <c r="M88" s="122" t="s">
        <v>78</v>
      </c>
      <c r="N88" s="139" t="s">
        <v>153</v>
      </c>
      <c r="O88" s="137" t="str">
        <f t="shared" ca="1" si="57"/>
        <v>Estagiários</v>
      </c>
      <c r="P88" s="138" t="str">
        <f t="shared" ca="1" si="58"/>
        <v>Horas</v>
      </c>
      <c r="Q88" s="134">
        <v>10</v>
      </c>
      <c r="R88" s="124">
        <f t="shared" ca="1" si="59"/>
        <v>9.7899999999999991</v>
      </c>
      <c r="S88" s="136" t="s">
        <v>62</v>
      </c>
      <c r="T88" s="123">
        <f t="shared" ca="1" si="60"/>
        <v>12.24</v>
      </c>
      <c r="U88" s="126">
        <f t="shared" ca="1" si="61"/>
        <v>122.4</v>
      </c>
      <c r="V88" s="1"/>
      <c r="W88" s="39" t="str">
        <f ca="1">IF(OR($A88=0,$A88="S",$A88&gt;CFF!$A$9),"",MAX(W$11:OFFSET(W88,-1,0))+1)</f>
        <v/>
      </c>
      <c r="X88" s="4" t="str">
        <f t="shared" si="62"/>
        <v>Rec. Humanos-004</v>
      </c>
      <c r="Y88" s="39">
        <f t="shared" ca="1" si="63"/>
        <v>6</v>
      </c>
      <c r="Z88" s="1"/>
      <c r="AA88" s="133">
        <f>IF($J88=$G$2,ROUND(IF(ISNUMBER(S88),S88,IF(LEFT(S88,2)="DI",HLOOKUP(S88,DADOS!$T$29:$X$30,2,FALSE),0)),4),"")</f>
        <v>0.25</v>
      </c>
      <c r="AB88" s="2"/>
    </row>
    <row r="89" spans="1:28">
      <c r="A89" t="str">
        <f t="shared" si="48"/>
        <v>S</v>
      </c>
      <c r="B89">
        <f t="shared" si="49"/>
        <v>0</v>
      </c>
      <c r="C89">
        <f t="shared" ca="1" si="50"/>
        <v>1</v>
      </c>
      <c r="D89">
        <f t="shared" ca="1" si="51"/>
        <v>3</v>
      </c>
      <c r="E89">
        <f t="shared" ca="1" si="52"/>
        <v>0</v>
      </c>
      <c r="F89">
        <f t="shared" ca="1" si="53"/>
        <v>0</v>
      </c>
      <c r="G89">
        <f t="shared" ca="1" si="54"/>
        <v>5</v>
      </c>
      <c r="H89">
        <f ca="1">IF(OR($A89="S",$A89=0),0,MATCH(0,OFFSET($B89,1,$A89,ROW($A$1504)-ROW($A89)),0))</f>
        <v>0</v>
      </c>
      <c r="I89">
        <f ca="1">IF(OR($A89="S",$A89=0),0,MATCH(OFFSET($B89,0,$A89)+1,OFFSET($B89,1,$A89,ROW($A$1504)-ROW($A89)),0))</f>
        <v>0</v>
      </c>
      <c r="J89" s="132" t="s">
        <v>29</v>
      </c>
      <c r="K89" s="121" t="str">
        <f t="shared" ca="1" si="55"/>
        <v>1.3.5.</v>
      </c>
      <c r="L89" s="137" t="str">
        <f t="shared" ca="1" si="56"/>
        <v>Cotação</v>
      </c>
      <c r="M89" s="122" t="s">
        <v>80</v>
      </c>
      <c r="N89" s="139" t="s">
        <v>149</v>
      </c>
      <c r="O89" s="137" t="str">
        <f t="shared" ca="1" si="57"/>
        <v>Fotocópias</v>
      </c>
      <c r="P89" s="138" t="str">
        <f t="shared" ca="1" si="58"/>
        <v>Unidade</v>
      </c>
      <c r="Q89" s="134">
        <v>105</v>
      </c>
      <c r="R89" s="124">
        <f t="shared" ca="1" si="59"/>
        <v>0.3</v>
      </c>
      <c r="S89" s="136" t="s">
        <v>62</v>
      </c>
      <c r="T89" s="123">
        <f t="shared" ca="1" si="60"/>
        <v>0.38</v>
      </c>
      <c r="U89" s="126">
        <f t="shared" ca="1" si="61"/>
        <v>39.9</v>
      </c>
      <c r="V89" s="1"/>
      <c r="W89" s="39" t="str">
        <f ca="1">IF(OR($A89=0,$A89="S",$A89&gt;CFF!$A$9),"",MAX(W$11:OFFSET(W89,-1,0))+1)</f>
        <v/>
      </c>
      <c r="X89" s="4" t="str">
        <f t="shared" si="62"/>
        <v>Serv. Terc.-001</v>
      </c>
      <c r="Y89" s="39">
        <f t="shared" ca="1" si="63"/>
        <v>81</v>
      </c>
      <c r="Z89" s="1"/>
      <c r="AA89" s="133">
        <f>IF($J89=$G$2,ROUND(IF(ISNUMBER(S89),S89,IF(LEFT(S89,2)="DI",HLOOKUP(S89,DADOS!$T$29:$X$30,2,FALSE),0)),4),"")</f>
        <v>0.25</v>
      </c>
      <c r="AB89" s="2"/>
    </row>
    <row r="90" spans="1:28">
      <c r="A90" t="str">
        <f t="shared" si="48"/>
        <v>S</v>
      </c>
      <c r="B90">
        <f t="shared" si="49"/>
        <v>0</v>
      </c>
      <c r="C90">
        <f t="shared" ca="1" si="50"/>
        <v>1</v>
      </c>
      <c r="D90">
        <f t="shared" ca="1" si="51"/>
        <v>3</v>
      </c>
      <c r="E90">
        <f t="shared" ca="1" si="52"/>
        <v>0</v>
      </c>
      <c r="F90">
        <f t="shared" ca="1" si="53"/>
        <v>0</v>
      </c>
      <c r="G90">
        <f t="shared" ca="1" si="54"/>
        <v>6</v>
      </c>
      <c r="H90">
        <f ca="1">IF(OR($A90="S",$A90=0),0,MATCH(0,OFFSET($B90,1,$A90,ROW($A$1504)-ROW($A90)),0))</f>
        <v>0</v>
      </c>
      <c r="I90">
        <f ca="1">IF(OR($A90="S",$A90=0),0,MATCH(OFFSET($B90,0,$A90)+1,OFFSET($B90,1,$A90,ROW($A$1504)-ROW($A90)),0))</f>
        <v>0</v>
      </c>
      <c r="J90" s="132" t="s">
        <v>29</v>
      </c>
      <c r="K90" s="121" t="str">
        <f t="shared" ca="1" si="55"/>
        <v>1.3.6.</v>
      </c>
      <c r="L90" s="137" t="str">
        <f t="shared" ca="1" si="56"/>
        <v>Cotação</v>
      </c>
      <c r="M90" s="122" t="s">
        <v>80</v>
      </c>
      <c r="N90" s="139" t="s">
        <v>152</v>
      </c>
      <c r="O90" s="137" t="str">
        <f t="shared" ca="1" si="57"/>
        <v>Carro de som com gravação de vinheta</v>
      </c>
      <c r="P90" s="138" t="str">
        <f t="shared" ca="1" si="58"/>
        <v>Horas</v>
      </c>
      <c r="Q90" s="134">
        <v>3</v>
      </c>
      <c r="R90" s="124">
        <f t="shared" ca="1" si="59"/>
        <v>200</v>
      </c>
      <c r="S90" s="136" t="s">
        <v>62</v>
      </c>
      <c r="T90" s="123">
        <f t="shared" ca="1" si="60"/>
        <v>250</v>
      </c>
      <c r="U90" s="126">
        <f t="shared" ca="1" si="61"/>
        <v>750</v>
      </c>
      <c r="V90" s="1"/>
      <c r="W90" s="39" t="str">
        <f ca="1">IF(OR($A90=0,$A90="S",$A90&gt;CFF!$A$9),"",MAX(W$11:OFFSET(W90,-1,0))+1)</f>
        <v/>
      </c>
      <c r="X90" s="4" t="str">
        <f t="shared" si="62"/>
        <v>Serv. Terc.-002</v>
      </c>
      <c r="Y90" s="39">
        <f t="shared" ca="1" si="63"/>
        <v>82</v>
      </c>
      <c r="Z90" s="1"/>
      <c r="AA90" s="133">
        <f>IF($J90=$G$2,ROUND(IF(ISNUMBER(S90),S90,IF(LEFT(S90,2)="DI",HLOOKUP(S90,DADOS!$T$29:$X$30,2,FALSE),0)),4),"")</f>
        <v>0.25</v>
      </c>
      <c r="AB90" s="2"/>
    </row>
    <row r="91" spans="1:28">
      <c r="A91" t="str">
        <f>CHOOSE(1+LOG(1+2*(J91=$C$2)+4*(J91=$D$2)+8*(J91=$E$2)+16*(J91=$F$2)+32*(J91=$G$2),2),0,1,2,3,4,"S")</f>
        <v>S</v>
      </c>
      <c r="B91">
        <f>IF(OR(A91="S",A91=0),0,IF(ISERROR(I91),H91,SMALL(H91:I91,1)))</f>
        <v>0</v>
      </c>
      <c r="C91">
        <f ca="1">IF($A91=1,OFFSET(C91,-1,0)+1,OFFSET(C91,-1,0))</f>
        <v>1</v>
      </c>
      <c r="D91">
        <f ca="1">IF($A91=1,0,IF($A91=2,OFFSET(D91,-1,0)+1,OFFSET(D91,-1,0)))</f>
        <v>3</v>
      </c>
      <c r="E91">
        <f ca="1">IF(AND($A91&lt;=2,$A91&lt;&gt;0),0,IF($A91=3,OFFSET(E91,-1,0)+1,OFFSET(E91,-1,0)))</f>
        <v>0</v>
      </c>
      <c r="F91">
        <f ca="1">IF(AND($A91&lt;=3,$A91&lt;&gt;0),0,IF($A91=4,OFFSET(F91,-1,0)+1,OFFSET(F91,-1,0)))</f>
        <v>0</v>
      </c>
      <c r="G91">
        <f ca="1">IF(AND($A91&lt;=4,$A91&lt;&gt;0),0,IF($A91="S",OFFSET(G91,-1,0)+1,OFFSET(G91,-1,0)))</f>
        <v>7</v>
      </c>
      <c r="H91">
        <f ca="1">IF(OR($A91="S",$A91=0),0,MATCH(0,OFFSET($B91,1,$A91,ROW($A$1504)-ROW($A91)),0))</f>
        <v>0</v>
      </c>
      <c r="I91">
        <f ca="1">IF(OR($A91="S",$A91=0),0,MATCH(OFFSET($B91,0,$A91)+1,OFFSET($B91,1,$A91,ROW($A$1504)-ROW($A91)),0))</f>
        <v>0</v>
      </c>
      <c r="J91" s="132" t="s">
        <v>29</v>
      </c>
      <c r="K91" s="121" t="str">
        <f ca="1">IF($A91=0,"-",CONCATENATE(C91&amp;".",IF(AND($A$5&gt;=2,$A91&gt;=2),D91&amp;".",""),IF(AND($A$5&gt;=3,$A91&gt;=3),E91&amp;".",""),IF(AND($A$5&gt;=4,$A91&gt;=4),F91&amp;".",""),IF($A91="S",G91&amp;".","")))</f>
        <v>1.3.7.</v>
      </c>
      <c r="L91" s="137" t="str">
        <f ca="1">IF(NOT(ISERROR($Y91)),IF($Y91&lt;&gt;FALSE,INDEX(Banco,$Y91,4),""),"")</f>
        <v>Cotação</v>
      </c>
      <c r="M91" s="122" t="s">
        <v>80</v>
      </c>
      <c r="N91" s="139" t="s">
        <v>256</v>
      </c>
      <c r="O91" s="137" t="str">
        <f ca="1">IF(NOT(ISERROR($Y91)),IF($Y91&lt;&gt;FALSE,INDEX(Banco,$Y91,5),""),"")</f>
        <v>Instrutor/Monitor (Educação Fisíca)</v>
      </c>
      <c r="P91" s="138" t="str">
        <f ca="1">IF(NOT(ISERROR($Y91)),IF($Y91&lt;&gt;FALSE,INDEX(Banco,$Y91,6),""),"")</f>
        <v>Horas</v>
      </c>
      <c r="Q91" s="134">
        <v>3</v>
      </c>
      <c r="R91" s="124">
        <f ca="1">IF(NOT(ISERROR($Y91)),IF($Y91&lt;&gt;FALSE,INDEX(Banco,$Y91,7),0),0)</f>
        <v>100</v>
      </c>
      <c r="S91" s="136" t="s">
        <v>62</v>
      </c>
      <c r="T91" s="123">
        <f ca="1">IF($J91=$G$2,ROUND(ROUND($R91,2)*IF($R$9="Preço Unitário (R$)",1,1+$AA91),2),0)</f>
        <v>125</v>
      </c>
      <c r="U91" s="126">
        <f ca="1">IF($A91="S",VTOTAL1,IF($A91=0,0,ROUND(SomaAgrup,2)))</f>
        <v>375</v>
      </c>
      <c r="V91" s="1"/>
      <c r="W91" s="39" t="str">
        <f ca="1">IF(OR($A91=0,$A91="S",$A91&gt;CFF!$A$9),"",MAX(W$11:OFFSET(W91,-1,0))+1)</f>
        <v/>
      </c>
      <c r="X91" s="4" t="str">
        <f>IF(AND($J91=$G$2,$N91&lt;&gt;"",$M91&lt;&gt;""),CONCATENATE($M91,"-",$N91))</f>
        <v>Serv. Terc.-017</v>
      </c>
      <c r="Y91" s="39">
        <f ca="1">IF(X91&lt;&gt;FALSE,MATCH(X91,OFFSET(Banco,0,0,,1),0))</f>
        <v>97</v>
      </c>
      <c r="Z91" s="1"/>
      <c r="AA91" s="133">
        <f>IF($J91=$G$2,ROUND(IF(ISNUMBER(S91),S91,IF(LEFT(S91,2)="DI",HLOOKUP(S91,DADOS!$T$29:$X$30,2,FALSE),0)),4),"")</f>
        <v>0.25</v>
      </c>
      <c r="AB91" s="2"/>
    </row>
    <row r="92" spans="1:28">
      <c r="A92" t="str">
        <f t="shared" ref="A92:A99" si="64">CHOOSE(1+LOG(1+2*(J92=$C$2)+4*(J92=$D$2)+8*(J92=$E$2)+16*(J92=$F$2)+32*(J92=$G$2),2),0,1,2,3,4,"S")</f>
        <v>S</v>
      </c>
      <c r="B92">
        <f t="shared" ref="B92:B99" si="65">IF(OR(A92="S",A92=0),0,IF(ISERROR(I92),H92,SMALL(H92:I92,1)))</f>
        <v>0</v>
      </c>
      <c r="C92">
        <f t="shared" ca="1" si="50"/>
        <v>1</v>
      </c>
      <c r="D92">
        <f t="shared" ca="1" si="51"/>
        <v>3</v>
      </c>
      <c r="E92">
        <f t="shared" ca="1" si="52"/>
        <v>0</v>
      </c>
      <c r="F92">
        <f t="shared" ca="1" si="53"/>
        <v>0</v>
      </c>
      <c r="G92">
        <f t="shared" ca="1" si="54"/>
        <v>8</v>
      </c>
      <c r="H92">
        <f ca="1">IF(OR($A92="S",$A92=0),0,MATCH(0,OFFSET($B92,1,$A92,ROW($A$1504)-ROW($A92)),0))</f>
        <v>0</v>
      </c>
      <c r="I92">
        <f ca="1">IF(OR($A92="S",$A92=0),0,MATCH(OFFSET($B92,0,$A92)+1,OFFSET($B92,1,$A92,ROW($A$1504)-ROW($A92)),0))</f>
        <v>0</v>
      </c>
      <c r="J92" s="132" t="s">
        <v>29</v>
      </c>
      <c r="K92" s="121" t="str">
        <f t="shared" ref="K92:K99" ca="1" si="66">IF($A92=0,"-",CONCATENATE(C92&amp;".",IF(AND($A$5&gt;=2,$A92&gt;=2),D92&amp;".",""),IF(AND($A$5&gt;=3,$A92&gt;=3),E92&amp;".",""),IF(AND($A$5&gt;=4,$A92&gt;=4),F92&amp;".",""),IF($A92="S",G92&amp;".","")))</f>
        <v>1.3.8.</v>
      </c>
      <c r="L92" s="137" t="str">
        <f t="shared" ca="1" si="56"/>
        <v>Cotação</v>
      </c>
      <c r="M92" s="122" t="s">
        <v>80</v>
      </c>
      <c r="N92" s="139" t="s">
        <v>154</v>
      </c>
      <c r="O92" s="137" t="str">
        <f t="shared" ca="1" si="57"/>
        <v>Locação de caixa térmica</v>
      </c>
      <c r="P92" s="138" t="str">
        <f t="shared" ca="1" si="58"/>
        <v>Unidade</v>
      </c>
      <c r="Q92" s="134">
        <v>2</v>
      </c>
      <c r="R92" s="124">
        <f t="shared" ca="1" si="59"/>
        <v>40</v>
      </c>
      <c r="S92" s="136" t="s">
        <v>62</v>
      </c>
      <c r="T92" s="123">
        <f t="shared" ca="1" si="60"/>
        <v>50</v>
      </c>
      <c r="U92" s="126">
        <f t="shared" ca="1" si="61"/>
        <v>100</v>
      </c>
      <c r="V92" s="1"/>
      <c r="W92" s="39" t="str">
        <f ca="1">IF(OR($A92=0,$A92="S",$A92&gt;CFF!$A$9),"",MAX(W$11:OFFSET(W92,-1,0))+1)</f>
        <v/>
      </c>
      <c r="X92" s="4" t="str">
        <f t="shared" si="62"/>
        <v>Serv. Terc.-005</v>
      </c>
      <c r="Y92" s="39">
        <f t="shared" ref="Y92:Y99" ca="1" si="67">IF(X92&lt;&gt;FALSE,MATCH(X92,OFFSET(Banco,0,0,,1),0))</f>
        <v>85</v>
      </c>
      <c r="Z92" s="1"/>
      <c r="AA92" s="133">
        <f>IF($J92=$G$2,ROUND(IF(ISNUMBER(S92),S92,IF(LEFT(S92,2)="DI",HLOOKUP(S92,DADOS!$T$29:$X$30,2,FALSE),0)),4),"")</f>
        <v>0.25</v>
      </c>
      <c r="AB92" s="2"/>
    </row>
    <row r="93" spans="1:28">
      <c r="A93" t="str">
        <f t="shared" si="64"/>
        <v>S</v>
      </c>
      <c r="B93">
        <f t="shared" si="65"/>
        <v>0</v>
      </c>
      <c r="C93">
        <f t="shared" ca="1" si="50"/>
        <v>1</v>
      </c>
      <c r="D93">
        <f t="shared" ca="1" si="51"/>
        <v>3</v>
      </c>
      <c r="E93">
        <f t="shared" ca="1" si="52"/>
        <v>0</v>
      </c>
      <c r="F93">
        <f t="shared" ca="1" si="53"/>
        <v>0</v>
      </c>
      <c r="G93">
        <f t="shared" ca="1" si="54"/>
        <v>9</v>
      </c>
      <c r="H93">
        <f ca="1">IF(OR($A93="S",$A93=0),0,MATCH(0,OFFSET($B93,1,$A93,ROW($A$1504)-ROW($A93)),0))</f>
        <v>0</v>
      </c>
      <c r="I93">
        <f ca="1">IF(OR($A93="S",$A93=0),0,MATCH(OFFSET($B93,0,$A93)+1,OFFSET($B93,1,$A93,ROW($A$1504)-ROW($A93)),0))</f>
        <v>0</v>
      </c>
      <c r="J93" s="132" t="s">
        <v>29</v>
      </c>
      <c r="K93" s="121" t="str">
        <f t="shared" ca="1" si="66"/>
        <v>1.3.9.</v>
      </c>
      <c r="L93" s="137" t="str">
        <f t="shared" ca="1" si="56"/>
        <v>Cotação</v>
      </c>
      <c r="M93" s="122" t="s">
        <v>80</v>
      </c>
      <c r="N93" s="139" t="s">
        <v>157</v>
      </c>
      <c r="O93" s="137" t="str">
        <f t="shared" ca="1" si="57"/>
        <v>Locação de pula-pula com monitor</v>
      </c>
      <c r="P93" s="138" t="str">
        <f t="shared" ca="1" si="58"/>
        <v>Unidade</v>
      </c>
      <c r="Q93" s="134">
        <v>2</v>
      </c>
      <c r="R93" s="124">
        <f t="shared" ca="1" si="59"/>
        <v>220</v>
      </c>
      <c r="S93" s="136" t="s">
        <v>62</v>
      </c>
      <c r="T93" s="123">
        <f t="shared" ca="1" si="60"/>
        <v>275</v>
      </c>
      <c r="U93" s="126">
        <f t="shared" ca="1" si="61"/>
        <v>550</v>
      </c>
      <c r="V93" s="1"/>
      <c r="W93" s="39" t="str">
        <f ca="1">IF(OR($A93=0,$A93="S",$A93&gt;CFF!$A$9),"",MAX(W$11:OFFSET(W93,-1,0))+1)</f>
        <v/>
      </c>
      <c r="X93" s="4" t="str">
        <f t="shared" si="62"/>
        <v>Serv. Terc.-008</v>
      </c>
      <c r="Y93" s="39">
        <f t="shared" ca="1" si="67"/>
        <v>88</v>
      </c>
      <c r="Z93" s="1"/>
      <c r="AA93" s="133">
        <f>IF($J93=$G$2,ROUND(IF(ISNUMBER(S93),S93,IF(LEFT(S93,2)="DI",HLOOKUP(S93,DADOS!$T$29:$X$30,2,FALSE),0)),4),"")</f>
        <v>0.25</v>
      </c>
      <c r="AB93" s="2"/>
    </row>
    <row r="94" spans="1:28">
      <c r="A94" t="str">
        <f t="shared" si="64"/>
        <v>S</v>
      </c>
      <c r="B94">
        <f t="shared" si="65"/>
        <v>0</v>
      </c>
      <c r="C94">
        <f t="shared" ca="1" si="50"/>
        <v>1</v>
      </c>
      <c r="D94">
        <f t="shared" ca="1" si="51"/>
        <v>3</v>
      </c>
      <c r="E94">
        <f t="shared" ca="1" si="52"/>
        <v>0</v>
      </c>
      <c r="F94">
        <f t="shared" ca="1" si="53"/>
        <v>0</v>
      </c>
      <c r="G94">
        <f t="shared" ca="1" si="54"/>
        <v>10</v>
      </c>
      <c r="H94">
        <f ca="1">IF(OR($A94="S",$A94=0),0,MATCH(0,OFFSET($B94,1,$A94,ROW($A$1504)-ROW($A94)),0))</f>
        <v>0</v>
      </c>
      <c r="I94">
        <f ca="1">IF(OR($A94="S",$A94=0),0,MATCH(OFFSET($B94,0,$A94)+1,OFFSET($B94,1,$A94,ROW($A$1504)-ROW($A94)),0))</f>
        <v>0</v>
      </c>
      <c r="J94" s="132" t="s">
        <v>29</v>
      </c>
      <c r="K94" s="121" t="str">
        <f t="shared" ca="1" si="66"/>
        <v>1.3.10.</v>
      </c>
      <c r="L94" s="137" t="str">
        <f t="shared" ca="1" si="56"/>
        <v xml:space="preserve">Cotação </v>
      </c>
      <c r="M94" s="122" t="s">
        <v>80</v>
      </c>
      <c r="N94" s="139" t="s">
        <v>159</v>
      </c>
      <c r="O94" s="137" t="str">
        <f t="shared" ca="1" si="57"/>
        <v>Brindes ( descrição nos orçamentos e PTS)</v>
      </c>
      <c r="P94" s="138" t="str">
        <f t="shared" ca="1" si="58"/>
        <v>Unidade</v>
      </c>
      <c r="Q94" s="134">
        <v>4</v>
      </c>
      <c r="R94" s="124">
        <f t="shared" ca="1" si="59"/>
        <v>120</v>
      </c>
      <c r="S94" s="136" t="s">
        <v>62</v>
      </c>
      <c r="T94" s="123">
        <f t="shared" ca="1" si="60"/>
        <v>150</v>
      </c>
      <c r="U94" s="126">
        <f t="shared" ca="1" si="61"/>
        <v>600</v>
      </c>
      <c r="V94" s="1"/>
      <c r="W94" s="39" t="str">
        <f ca="1">IF(OR($A94=0,$A94="S",$A94&gt;CFF!$A$9),"",MAX(W$11:OFFSET(W94,-1,0))+1)</f>
        <v/>
      </c>
      <c r="X94" s="4" t="str">
        <f t="shared" si="62"/>
        <v>Serv. Terc.-010</v>
      </c>
      <c r="Y94" s="39">
        <f t="shared" ca="1" si="67"/>
        <v>90</v>
      </c>
      <c r="Z94" s="1"/>
      <c r="AA94" s="133">
        <f>IF($J94=$G$2,ROUND(IF(ISNUMBER(S94),S94,IF(LEFT(S94,2)="DI",HLOOKUP(S94,DADOS!$T$29:$X$30,2,FALSE),0)),4),"")</f>
        <v>0.25</v>
      </c>
      <c r="AB94" s="2"/>
    </row>
    <row r="95" spans="1:28">
      <c r="A95" t="str">
        <f t="shared" si="64"/>
        <v>S</v>
      </c>
      <c r="B95">
        <f t="shared" si="65"/>
        <v>0</v>
      </c>
      <c r="C95">
        <f t="shared" ca="1" si="50"/>
        <v>1</v>
      </c>
      <c r="D95">
        <f t="shared" ca="1" si="51"/>
        <v>3</v>
      </c>
      <c r="E95">
        <f t="shared" ca="1" si="52"/>
        <v>0</v>
      </c>
      <c r="F95">
        <f t="shared" ca="1" si="53"/>
        <v>0</v>
      </c>
      <c r="G95">
        <f t="shared" ca="1" si="54"/>
        <v>11</v>
      </c>
      <c r="H95">
        <f ca="1">IF(OR($A95="S",$A95=0),0,MATCH(0,OFFSET($B95,1,$A95,ROW($A$1504)-ROW($A95)),0))</f>
        <v>0</v>
      </c>
      <c r="I95">
        <f ca="1">IF(OR($A95="S",$A95=0),0,MATCH(OFFSET($B95,0,$A95)+1,OFFSET($B95,1,$A95,ROW($A$1504)-ROW($A95)),0))</f>
        <v>0</v>
      </c>
      <c r="J95" s="132" t="s">
        <v>29</v>
      </c>
      <c r="K95" s="121" t="str">
        <f t="shared" ca="1" si="66"/>
        <v>1.3.11.</v>
      </c>
      <c r="L95" s="137" t="str">
        <f t="shared" ca="1" si="56"/>
        <v xml:space="preserve">Cotação </v>
      </c>
      <c r="M95" s="122" t="s">
        <v>80</v>
      </c>
      <c r="N95" s="139" t="s">
        <v>160</v>
      </c>
      <c r="O95" s="137" t="str">
        <f t="shared" ca="1" si="57"/>
        <v>Barra de gelo</v>
      </c>
      <c r="P95" s="138" t="str">
        <f t="shared" ca="1" si="58"/>
        <v>Unidade</v>
      </c>
      <c r="Q95" s="134">
        <v>4</v>
      </c>
      <c r="R95" s="124">
        <f t="shared" ca="1" si="59"/>
        <v>12</v>
      </c>
      <c r="S95" s="136" t="s">
        <v>62</v>
      </c>
      <c r="T95" s="123">
        <f t="shared" ca="1" si="60"/>
        <v>15</v>
      </c>
      <c r="U95" s="126">
        <f t="shared" ca="1" si="61"/>
        <v>60</v>
      </c>
      <c r="V95" s="1"/>
      <c r="W95" s="39" t="str">
        <f ca="1">IF(OR($A95=0,$A95="S",$A95&gt;CFF!$A$9),"",MAX(W$11:OFFSET(W95,-1,0))+1)</f>
        <v/>
      </c>
      <c r="X95" s="4" t="str">
        <f t="shared" si="62"/>
        <v>Serv. Terc.-011</v>
      </c>
      <c r="Y95" s="39">
        <f t="shared" ca="1" si="67"/>
        <v>91</v>
      </c>
      <c r="Z95" s="1"/>
      <c r="AA95" s="133">
        <f>IF($J95=$G$2,ROUND(IF(ISNUMBER(S95),S95,IF(LEFT(S95,2)="DI",HLOOKUP(S95,DADOS!$T$29:$X$30,2,FALSE),0)),4),"")</f>
        <v>0.25</v>
      </c>
      <c r="AB95" s="2"/>
    </row>
    <row r="96" spans="1:28">
      <c r="A96" t="str">
        <f t="shared" si="64"/>
        <v>S</v>
      </c>
      <c r="B96">
        <f t="shared" si="65"/>
        <v>0</v>
      </c>
      <c r="C96">
        <f t="shared" ca="1" si="50"/>
        <v>1</v>
      </c>
      <c r="D96">
        <f t="shared" ca="1" si="51"/>
        <v>3</v>
      </c>
      <c r="E96">
        <f t="shared" ca="1" si="52"/>
        <v>0</v>
      </c>
      <c r="F96">
        <f t="shared" ca="1" si="53"/>
        <v>0</v>
      </c>
      <c r="G96">
        <f t="shared" ca="1" si="54"/>
        <v>12</v>
      </c>
      <c r="H96">
        <f ca="1">IF(OR($A96="S",$A96=0),0,MATCH(0,OFFSET($B96,1,$A96,ROW($A$1504)-ROW($A96)),0))</f>
        <v>0</v>
      </c>
      <c r="I96">
        <f ca="1">IF(OR($A96="S",$A96=0),0,MATCH(OFFSET($B96,0,$A96)+1,OFFSET($B96,1,$A96,ROW($A$1504)-ROW($A96)),0))</f>
        <v>0</v>
      </c>
      <c r="J96" s="132" t="s">
        <v>29</v>
      </c>
      <c r="K96" s="121" t="str">
        <f t="shared" ca="1" si="66"/>
        <v>1.3.12.</v>
      </c>
      <c r="L96" s="137" t="str">
        <f t="shared" ca="1" si="56"/>
        <v>Cotação</v>
      </c>
      <c r="M96" s="122" t="s">
        <v>80</v>
      </c>
      <c r="N96" s="139" t="s">
        <v>150</v>
      </c>
      <c r="O96" s="137" t="str">
        <f t="shared" ca="1" si="57"/>
        <v>Sucos</v>
      </c>
      <c r="P96" s="138" t="str">
        <f t="shared" ca="1" si="58"/>
        <v>Unidade</v>
      </c>
      <c r="Q96" s="134">
        <v>12</v>
      </c>
      <c r="R96" s="124">
        <f t="shared" ca="1" si="59"/>
        <v>6.4</v>
      </c>
      <c r="S96" s="136" t="s">
        <v>62</v>
      </c>
      <c r="T96" s="123">
        <f t="shared" ca="1" si="60"/>
        <v>8</v>
      </c>
      <c r="U96" s="126">
        <f t="shared" ca="1" si="61"/>
        <v>96</v>
      </c>
      <c r="V96" s="1"/>
      <c r="W96" s="39" t="str">
        <f ca="1">IF(OR($A96=0,$A96="S",$A96&gt;CFF!$A$9),"",MAX(W$11:OFFSET(W96,-1,0))+1)</f>
        <v/>
      </c>
      <c r="X96" s="4" t="str">
        <f t="shared" si="62"/>
        <v>Serv. Terc.-013</v>
      </c>
      <c r="Y96" s="39">
        <f t="shared" ca="1" si="67"/>
        <v>93</v>
      </c>
      <c r="Z96" s="1"/>
      <c r="AA96" s="133">
        <f>IF($J96=$G$2,ROUND(IF(ISNUMBER(S96),S96,IF(LEFT(S96,2)="DI",HLOOKUP(S96,DADOS!$T$29:$X$30,2,FALSE),0)),4),"")</f>
        <v>0.25</v>
      </c>
      <c r="AB96" s="2"/>
    </row>
    <row r="97" spans="1:28">
      <c r="A97" t="str">
        <f>CHOOSE(1+LOG(1+2*(J97=$C$2)+4*(J97=$D$2)+8*(J97=$E$2)+16*(J97=$F$2)+32*(J97=$G$2),2),0,1,2,3,4,"S")</f>
        <v>S</v>
      </c>
      <c r="B97">
        <f>IF(OR(A97="S",A97=0),0,IF(ISERROR(I97),H97,SMALL(H97:I97,1)))</f>
        <v>0</v>
      </c>
      <c r="C97">
        <f ca="1">IF($A97=1,OFFSET(C97,-1,0)+1,OFFSET(C97,-1,0))</f>
        <v>1</v>
      </c>
      <c r="D97">
        <f ca="1">IF($A97=1,0,IF($A97=2,OFFSET(D97,-1,0)+1,OFFSET(D97,-1,0)))</f>
        <v>3</v>
      </c>
      <c r="E97">
        <f ca="1">IF(AND($A97&lt;=2,$A97&lt;&gt;0),0,IF($A97=3,OFFSET(E97,-1,0)+1,OFFSET(E97,-1,0)))</f>
        <v>0</v>
      </c>
      <c r="F97">
        <f ca="1">IF(AND($A97&lt;=3,$A97&lt;&gt;0),0,IF($A97=4,OFFSET(F97,-1,0)+1,OFFSET(F97,-1,0)))</f>
        <v>0</v>
      </c>
      <c r="G97">
        <f ca="1">IF(AND($A97&lt;=4,$A97&lt;&gt;0),0,IF($A97="S",OFFSET(G97,-1,0)+1,OFFSET(G97,-1,0)))</f>
        <v>13</v>
      </c>
      <c r="H97">
        <f ca="1">IF(OR($A97="S",$A97=0),0,MATCH(0,OFFSET($B97,1,$A97,ROW($A$1504)-ROW($A97)),0))</f>
        <v>0</v>
      </c>
      <c r="I97">
        <f ca="1">IF(OR($A97="S",$A97=0),0,MATCH(OFFSET($B97,0,$A97)+1,OFFSET($B97,1,$A97,ROW($A$1504)-ROW($A97)),0))</f>
        <v>0</v>
      </c>
      <c r="J97" s="132" t="s">
        <v>29</v>
      </c>
      <c r="K97" s="121" t="str">
        <f ca="1">IF($A97=0,"-",CONCATENATE(C97&amp;".",IF(AND($A$5&gt;=2,$A97&gt;=2),D97&amp;".",""),IF(AND($A$5&gt;=3,$A97&gt;=3),E97&amp;".",""),IF(AND($A$5&gt;=4,$A97&gt;=4),F97&amp;".",""),IF($A97="S",G97&amp;".","")))</f>
        <v>1.3.13.</v>
      </c>
      <c r="L97" s="137" t="str">
        <f ca="1">IF(NOT(ISERROR($Y97)),IF($Y97&lt;&gt;FALSE,INDEX(Banco,$Y97,4),""),"")</f>
        <v>Cotação</v>
      </c>
      <c r="M97" s="122" t="s">
        <v>80</v>
      </c>
      <c r="N97" s="139" t="s">
        <v>171</v>
      </c>
      <c r="O97" s="137" t="str">
        <f ca="1">IF(NOT(ISERROR($Y97)),IF($Y97&lt;&gt;FALSE,INDEX(Banco,$Y97,5),""),"")</f>
        <v xml:space="preserve">Refrigerantes (02 litros) </v>
      </c>
      <c r="P97" s="138" t="str">
        <f ca="1">IF(NOT(ISERROR($Y97)),IF($Y97&lt;&gt;FALSE,INDEX(Banco,$Y97,6),""),"")</f>
        <v>Unidade</v>
      </c>
      <c r="Q97" s="134">
        <v>20</v>
      </c>
      <c r="R97" s="124">
        <f ca="1">IF(NOT(ISERROR($Y97)),IF($Y97&lt;&gt;FALSE,INDEX(Banco,$Y97,7),0),0)</f>
        <v>6</v>
      </c>
      <c r="S97" s="136" t="s">
        <v>62</v>
      </c>
      <c r="T97" s="123">
        <f ca="1">IF($J97=$G$2,ROUND(ROUND($R97,2)*IF($R$9="Preço Unitário (R$)",1,1+$AA97),2),0)</f>
        <v>7.5</v>
      </c>
      <c r="U97" s="126">
        <f ca="1">IF($A97="S",VTOTAL1,IF($A97=0,0,ROUND(SomaAgrup,2)))</f>
        <v>150</v>
      </c>
      <c r="V97" s="1"/>
      <c r="W97" s="39" t="str">
        <f ca="1">IF(OR($A97=0,$A97="S",$A97&gt;CFF!$A$9),"",MAX(W$11:OFFSET(W97,-1,0))+1)</f>
        <v/>
      </c>
      <c r="X97" s="4" t="str">
        <f>IF(AND($J97=$G$2,$N97&lt;&gt;"",$M97&lt;&gt;""),CONCATENATE($M97,"-",$N97))</f>
        <v>Serv. Terc.-027</v>
      </c>
      <c r="Y97" s="39">
        <f ca="1">IF(X97&lt;&gt;FALSE,MATCH(X97,OFFSET(Banco,0,0,,1),0))</f>
        <v>107</v>
      </c>
      <c r="Z97" s="1"/>
      <c r="AA97" s="133">
        <f>IF($J97=$G$2,ROUND(IF(ISNUMBER(S97),S97,IF(LEFT(S97,2)="DI",HLOOKUP(S97,DADOS!$T$29:$X$30,2,FALSE),0)),4),"")</f>
        <v>0.25</v>
      </c>
      <c r="AB97" s="2"/>
    </row>
    <row r="98" spans="1:28">
      <c r="A98" t="str">
        <f t="shared" si="64"/>
        <v>S</v>
      </c>
      <c r="B98">
        <f t="shared" si="65"/>
        <v>0</v>
      </c>
      <c r="C98">
        <f t="shared" ca="1" si="50"/>
        <v>1</v>
      </c>
      <c r="D98">
        <f t="shared" ca="1" si="51"/>
        <v>3</v>
      </c>
      <c r="E98">
        <f t="shared" ca="1" si="52"/>
        <v>0</v>
      </c>
      <c r="F98">
        <f t="shared" ca="1" si="53"/>
        <v>0</v>
      </c>
      <c r="G98">
        <f t="shared" ca="1" si="54"/>
        <v>14</v>
      </c>
      <c r="H98">
        <f ca="1">IF(OR($A98="S",$A98=0),0,MATCH(0,OFFSET($B98,1,$A98,ROW($A$1504)-ROW($A98)),0))</f>
        <v>0</v>
      </c>
      <c r="I98">
        <f ca="1">IF(OR($A98="S",$A98=0),0,MATCH(OFFSET($B98,0,$A98)+1,OFFSET($B98,1,$A98,ROW($A$1504)-ROW($A98)),0))</f>
        <v>0</v>
      </c>
      <c r="J98" s="132" t="s">
        <v>29</v>
      </c>
      <c r="K98" s="121" t="str">
        <f t="shared" ca="1" si="66"/>
        <v>1.3.14.</v>
      </c>
      <c r="L98" s="137" t="str">
        <f t="shared" ca="1" si="56"/>
        <v>Cotação</v>
      </c>
      <c r="M98" s="122" t="s">
        <v>80</v>
      </c>
      <c r="N98" s="139" t="s">
        <v>162</v>
      </c>
      <c r="O98" s="137" t="str">
        <f t="shared" ca="1" si="57"/>
        <v>Coffee break (salgados)</v>
      </c>
      <c r="P98" s="138" t="str">
        <f t="shared" ca="1" si="58"/>
        <v>Centro</v>
      </c>
      <c r="Q98" s="134">
        <v>15</v>
      </c>
      <c r="R98" s="124">
        <f t="shared" ca="1" si="59"/>
        <v>65</v>
      </c>
      <c r="S98" s="136" t="s">
        <v>62</v>
      </c>
      <c r="T98" s="123">
        <f t="shared" ca="1" si="60"/>
        <v>81.25</v>
      </c>
      <c r="U98" s="126">
        <f t="shared" ca="1" si="61"/>
        <v>1218.75</v>
      </c>
      <c r="V98" s="1"/>
      <c r="W98" s="39" t="str">
        <f ca="1">IF(OR($A98=0,$A98="S",$A98&gt;CFF!$A$9),"",MAX(W$11:OFFSET(W98,-1,0))+1)</f>
        <v/>
      </c>
      <c r="X98" s="4" t="str">
        <f t="shared" si="62"/>
        <v>Serv. Terc.-015</v>
      </c>
      <c r="Y98" s="39">
        <f t="shared" ca="1" si="67"/>
        <v>95</v>
      </c>
      <c r="Z98" s="1"/>
      <c r="AA98" s="133">
        <f>IF($J98=$G$2,ROUND(IF(ISNUMBER(S98),S98,IF(LEFT(S98,2)="DI",HLOOKUP(S98,DADOS!$T$29:$X$30,2,FALSE),0)),4),"")</f>
        <v>0.25</v>
      </c>
      <c r="AB98" s="2"/>
    </row>
    <row r="99" spans="1:28">
      <c r="A99" t="str">
        <f t="shared" si="64"/>
        <v>S</v>
      </c>
      <c r="B99">
        <f t="shared" si="65"/>
        <v>0</v>
      </c>
      <c r="C99">
        <f t="shared" ca="1" si="50"/>
        <v>1</v>
      </c>
      <c r="D99">
        <f t="shared" ca="1" si="51"/>
        <v>3</v>
      </c>
      <c r="E99">
        <f t="shared" ca="1" si="52"/>
        <v>0</v>
      </c>
      <c r="F99">
        <f t="shared" ca="1" si="53"/>
        <v>0</v>
      </c>
      <c r="G99">
        <f t="shared" ca="1" si="54"/>
        <v>15</v>
      </c>
      <c r="H99">
        <f ca="1">IF(OR($A99="S",$A99=0),0,MATCH(0,OFFSET($B99,1,$A99,ROW($A$1504)-ROW($A99)),0))</f>
        <v>0</v>
      </c>
      <c r="I99">
        <f ca="1">IF(OR($A99="S",$A99=0),0,MATCH(OFFSET($B99,0,$A99)+1,OFFSET($B99,1,$A99,ROW($A$1504)-ROW($A99)),0))</f>
        <v>0</v>
      </c>
      <c r="J99" s="132" t="s">
        <v>29</v>
      </c>
      <c r="K99" s="121" t="str">
        <f t="shared" ca="1" si="66"/>
        <v>1.3.15.</v>
      </c>
      <c r="L99" s="137" t="str">
        <f t="shared" ca="1" si="56"/>
        <v>Cotação</v>
      </c>
      <c r="M99" s="122" t="s">
        <v>79</v>
      </c>
      <c r="N99" s="139" t="s">
        <v>153</v>
      </c>
      <c r="O99" s="137" t="str">
        <f t="shared" ca="1" si="57"/>
        <v>Lápis de cor</v>
      </c>
      <c r="P99" s="138" t="str">
        <f t="shared" ca="1" si="58"/>
        <v>Caixa</v>
      </c>
      <c r="Q99" s="134">
        <v>10</v>
      </c>
      <c r="R99" s="124">
        <f t="shared" ca="1" si="59"/>
        <v>13.45</v>
      </c>
      <c r="S99" s="136" t="s">
        <v>62</v>
      </c>
      <c r="T99" s="123">
        <f t="shared" ca="1" si="60"/>
        <v>16.809999999999999</v>
      </c>
      <c r="U99" s="126">
        <f t="shared" ca="1" si="61"/>
        <v>168.1</v>
      </c>
      <c r="V99" s="1"/>
      <c r="W99" s="39" t="str">
        <f ca="1">IF(OR($A99=0,$A99="S",$A99&gt;CFF!$A$9),"",MAX(W$11:OFFSET(W99,-1,0))+1)</f>
        <v/>
      </c>
      <c r="X99" s="4" t="str">
        <f t="shared" si="62"/>
        <v>Rec. Materiais-004</v>
      </c>
      <c r="Y99" s="39">
        <f t="shared" ca="1" si="67"/>
        <v>13</v>
      </c>
      <c r="Z99" s="1"/>
      <c r="AA99" s="133">
        <f>IF($J99=$G$2,ROUND(IF(ISNUMBER(S99),S99,IF(LEFT(S99,2)="DI",HLOOKUP(S99,DADOS!$T$29:$X$30,2,FALSE),0)),4),"")</f>
        <v>0.25</v>
      </c>
      <c r="AB99" s="2"/>
    </row>
    <row r="100" spans="1:28">
      <c r="A100" t="str">
        <f t="shared" ref="A100:A105" si="68">CHOOSE(1+LOG(1+2*(J100=$C$2)+4*(J100=$D$2)+8*(J100=$E$2)+16*(J100=$F$2)+32*(J100=$G$2),2),0,1,2,3,4,"S")</f>
        <v>S</v>
      </c>
      <c r="B100">
        <f t="shared" ref="B100:B105" si="69">IF(OR(A100="S",A100=0),0,IF(ISERROR(I100),H100,SMALL(H100:I100,1)))</f>
        <v>0</v>
      </c>
      <c r="C100">
        <f ca="1">IF($A100=1,OFFSET(C100,-1,0)+1,OFFSET(C100,-1,0))</f>
        <v>1</v>
      </c>
      <c r="D100">
        <f ca="1">IF($A100=1,0,IF($A100=2,OFFSET(D100,-1,0)+1,OFFSET(D100,-1,0)))</f>
        <v>3</v>
      </c>
      <c r="E100">
        <f ca="1">IF(AND($A100&lt;=2,$A100&lt;&gt;0),0,IF($A100=3,OFFSET(E100,-1,0)+1,OFFSET(E100,-1,0)))</f>
        <v>0</v>
      </c>
      <c r="F100">
        <f ca="1">IF(AND($A100&lt;=3,$A100&lt;&gt;0),0,IF($A100=4,OFFSET(F100,-1,0)+1,OFFSET(F100,-1,0)))</f>
        <v>0</v>
      </c>
      <c r="G100">
        <f ca="1">IF(AND($A100&lt;=4,$A100&lt;&gt;0),0,IF($A100="S",OFFSET(G100,-1,0)+1,OFFSET(G100,-1,0)))</f>
        <v>16</v>
      </c>
      <c r="H100">
        <f ca="1">IF(OR($A100="S",$A100=0),0,MATCH(0,OFFSET($B100,1,$A100,ROW($A$1504)-ROW($A100)),0))</f>
        <v>0</v>
      </c>
      <c r="I100">
        <f ca="1">IF(OR($A100="S",$A100=0),0,MATCH(OFFSET($B100,0,$A100)+1,OFFSET($B100,1,$A100,ROW($A$1504)-ROW($A100)),0))</f>
        <v>0</v>
      </c>
      <c r="J100" s="132" t="s">
        <v>29</v>
      </c>
      <c r="K100" s="121" t="str">
        <f t="shared" ref="K100:K105" ca="1" si="70">IF($A100=0,"-",CONCATENATE(C100&amp;".",IF(AND($A$5&gt;=2,$A100&gt;=2),D100&amp;".",""),IF(AND($A$5&gt;=3,$A100&gt;=3),E100&amp;".",""),IF(AND($A$5&gt;=4,$A100&gt;=4),F100&amp;".",""),IF($A100="S",G100&amp;".","")))</f>
        <v>1.3.16.</v>
      </c>
      <c r="L100" s="137" t="str">
        <f ca="1">IF(NOT(ISERROR($Y100)),IF($Y100&lt;&gt;FALSE,INDEX(Banco,$Y100,4),""),"")</f>
        <v>Cotação</v>
      </c>
      <c r="M100" s="122" t="s">
        <v>79</v>
      </c>
      <c r="N100" s="139" t="s">
        <v>157</v>
      </c>
      <c r="O100" s="137" t="str">
        <f ca="1">IF(NOT(ISERROR($Y100)),IF($Y100&lt;&gt;FALSE,INDEX(Banco,$Y100,5),""),"")</f>
        <v>Massa de modelar</v>
      </c>
      <c r="P100" s="138" t="str">
        <f ca="1">IF(NOT(ISERROR($Y100)),IF($Y100&lt;&gt;FALSE,INDEX(Banco,$Y100,6),""),"")</f>
        <v>Unidade</v>
      </c>
      <c r="Q100" s="134">
        <v>20</v>
      </c>
      <c r="R100" s="124">
        <f ca="1">IF(NOT(ISERROR($Y100)),IF($Y100&lt;&gt;FALSE,INDEX(Banco,$Y100,7),0),0)</f>
        <v>5.2</v>
      </c>
      <c r="S100" s="136" t="s">
        <v>62</v>
      </c>
      <c r="T100" s="123">
        <f ca="1">IF($J100=$G$2,ROUND(ROUND($R100,2)*IF($R$9="Preço Unitário (R$)",1,1+$AA100),2),0)</f>
        <v>6.5</v>
      </c>
      <c r="U100" s="126">
        <f ca="1">IF($A100="S",VTOTAL1,IF($A100=0,0,ROUND(SomaAgrup,2)))</f>
        <v>130</v>
      </c>
      <c r="V100" s="1"/>
      <c r="W100" s="39" t="str">
        <f ca="1">IF(OR($A100=0,$A100="S",$A100&gt;CFF!$A$9),"",MAX(W$11:OFFSET(W100,-1,0))+1)</f>
        <v/>
      </c>
      <c r="X100" s="4" t="str">
        <f>IF(AND($J100=$G$2,$N100&lt;&gt;"",$M100&lt;&gt;""),CONCATENATE($M100,"-",$N100))</f>
        <v>Rec. Materiais-008</v>
      </c>
      <c r="Y100" s="39">
        <f t="shared" ref="Y100:Y105" ca="1" si="71">IF(X100&lt;&gt;FALSE,MATCH(X100,OFFSET(Banco,0,0,,1),0))</f>
        <v>17</v>
      </c>
      <c r="Z100" s="1"/>
      <c r="AA100" s="133">
        <f>IF($J100=$G$2,ROUND(IF(ISNUMBER(S100),S100,IF(LEFT(S100,2)="DI",HLOOKUP(S100,DADOS!$T$29:$X$30,2,FALSE),0)),4),"")</f>
        <v>0.25</v>
      </c>
      <c r="AB100" s="2"/>
    </row>
    <row r="101" spans="1:28">
      <c r="A101" t="str">
        <f t="shared" si="68"/>
        <v>S</v>
      </c>
      <c r="B101">
        <f t="shared" si="69"/>
        <v>0</v>
      </c>
      <c r="C101">
        <f t="shared" ca="1" si="50"/>
        <v>1</v>
      </c>
      <c r="D101">
        <f t="shared" ca="1" si="51"/>
        <v>3</v>
      </c>
      <c r="E101">
        <f t="shared" ca="1" si="52"/>
        <v>0</v>
      </c>
      <c r="F101">
        <f t="shared" ca="1" si="53"/>
        <v>0</v>
      </c>
      <c r="G101">
        <f t="shared" ca="1" si="54"/>
        <v>17</v>
      </c>
      <c r="H101">
        <f ca="1">IF(OR($A101="S",$A101=0),0,MATCH(0,OFFSET($B101,1,$A101,ROW($A$1504)-ROW($A101)),0))</f>
        <v>0</v>
      </c>
      <c r="I101">
        <f ca="1">IF(OR($A101="S",$A101=0),0,MATCH(OFFSET($B101,0,$A101)+1,OFFSET($B101,1,$A101,ROW($A$1504)-ROW($A101)),0))</f>
        <v>0</v>
      </c>
      <c r="J101" s="132" t="s">
        <v>29</v>
      </c>
      <c r="K101" s="121" t="str">
        <f t="shared" ca="1" si="70"/>
        <v>1.3.17.</v>
      </c>
      <c r="L101" s="137" t="str">
        <f t="shared" ca="1" si="56"/>
        <v>Cotação</v>
      </c>
      <c r="M101" s="122" t="s">
        <v>79</v>
      </c>
      <c r="N101" s="139" t="s">
        <v>200</v>
      </c>
      <c r="O101" s="137" t="str">
        <f t="shared" ca="1" si="57"/>
        <v>Crachá</v>
      </c>
      <c r="P101" s="138" t="str">
        <f t="shared" ca="1" si="58"/>
        <v>Unidade</v>
      </c>
      <c r="Q101" s="134">
        <v>5</v>
      </c>
      <c r="R101" s="124">
        <f t="shared" ca="1" si="59"/>
        <v>3</v>
      </c>
      <c r="S101" s="136" t="s">
        <v>62</v>
      </c>
      <c r="T101" s="123">
        <f t="shared" ca="1" si="60"/>
        <v>3.75</v>
      </c>
      <c r="U101" s="126">
        <f t="shared" ca="1" si="61"/>
        <v>18.75</v>
      </c>
      <c r="V101" s="1"/>
      <c r="W101" s="39" t="str">
        <f ca="1">IF(OR($A101=0,$A101="S",$A101&gt;CFF!$A$9),"",MAX(W$11:OFFSET(W101,-1,0))+1)</f>
        <v/>
      </c>
      <c r="X101" s="4" t="str">
        <f t="shared" si="62"/>
        <v>Rec. Materiais-029</v>
      </c>
      <c r="Y101" s="39">
        <f t="shared" ca="1" si="71"/>
        <v>38</v>
      </c>
      <c r="Z101" s="1"/>
      <c r="AA101" s="133">
        <f>IF($J101=$G$2,ROUND(IF(ISNUMBER(S101),S101,IF(LEFT(S101,2)="DI",HLOOKUP(S101,DADOS!$T$29:$X$30,2,FALSE),0)),4),"")</f>
        <v>0.25</v>
      </c>
      <c r="AB101" s="2"/>
    </row>
    <row r="102" spans="1:28">
      <c r="A102" t="str">
        <f t="shared" si="68"/>
        <v>S</v>
      </c>
      <c r="B102">
        <f t="shared" si="69"/>
        <v>0</v>
      </c>
      <c r="C102">
        <f t="shared" ca="1" si="50"/>
        <v>1</v>
      </c>
      <c r="D102">
        <f t="shared" ca="1" si="51"/>
        <v>3</v>
      </c>
      <c r="E102">
        <f t="shared" ca="1" si="52"/>
        <v>0</v>
      </c>
      <c r="F102">
        <f t="shared" ca="1" si="53"/>
        <v>0</v>
      </c>
      <c r="G102">
        <f t="shared" ca="1" si="54"/>
        <v>18</v>
      </c>
      <c r="H102">
        <f ca="1">IF(OR($A102="S",$A102=0),0,MATCH(0,OFFSET($B102,1,$A102,ROW($A$1504)-ROW($A102)),0))</f>
        <v>0</v>
      </c>
      <c r="I102">
        <f ca="1">IF(OR($A102="S",$A102=0),0,MATCH(OFFSET($B102,0,$A102)+1,OFFSET($B102,1,$A102,ROW($A$1504)-ROW($A102)),0))</f>
        <v>0</v>
      </c>
      <c r="J102" s="132" t="s">
        <v>29</v>
      </c>
      <c r="K102" s="121" t="str">
        <f t="shared" ca="1" si="70"/>
        <v>1.3.18.</v>
      </c>
      <c r="L102" s="137" t="str">
        <f t="shared" ca="1" si="56"/>
        <v>Cotação</v>
      </c>
      <c r="M102" s="122" t="s">
        <v>79</v>
      </c>
      <c r="N102" s="139" t="s">
        <v>154</v>
      </c>
      <c r="O102" s="137" t="str">
        <f t="shared" ca="1" si="57"/>
        <v>Giz de cerra</v>
      </c>
      <c r="P102" s="138" t="str">
        <f t="shared" ca="1" si="58"/>
        <v>Caixa</v>
      </c>
      <c r="Q102" s="134">
        <v>15</v>
      </c>
      <c r="R102" s="124">
        <f t="shared" ca="1" si="59"/>
        <v>7.1</v>
      </c>
      <c r="S102" s="136" t="s">
        <v>62</v>
      </c>
      <c r="T102" s="123">
        <f t="shared" ca="1" si="60"/>
        <v>8.8800000000000008</v>
      </c>
      <c r="U102" s="126">
        <f t="shared" ca="1" si="61"/>
        <v>133.19999999999999</v>
      </c>
      <c r="V102" s="1"/>
      <c r="W102" s="39" t="str">
        <f ca="1">IF(OR($A102=0,$A102="S",$A102&gt;CFF!$A$9),"",MAX(W$11:OFFSET(W102,-1,0))+1)</f>
        <v/>
      </c>
      <c r="X102" s="4" t="str">
        <f t="shared" si="62"/>
        <v>Rec. Materiais-005</v>
      </c>
      <c r="Y102" s="39">
        <f t="shared" ca="1" si="71"/>
        <v>14</v>
      </c>
      <c r="Z102" s="1"/>
      <c r="AA102" s="133">
        <f>IF($J102=$G$2,ROUND(IF(ISNUMBER(S102),S102,IF(LEFT(S102,2)="DI",HLOOKUP(S102,DADOS!$T$29:$X$30,2,FALSE),0)),4),"")</f>
        <v>0.25</v>
      </c>
      <c r="AB102" s="2"/>
    </row>
    <row r="103" spans="1:28">
      <c r="A103" t="str">
        <f t="shared" si="68"/>
        <v>S</v>
      </c>
      <c r="B103">
        <f t="shared" si="69"/>
        <v>0</v>
      </c>
      <c r="C103">
        <f t="shared" ca="1" si="50"/>
        <v>1</v>
      </c>
      <c r="D103">
        <f t="shared" ca="1" si="51"/>
        <v>3</v>
      </c>
      <c r="E103">
        <f t="shared" ca="1" si="52"/>
        <v>0</v>
      </c>
      <c r="F103">
        <f t="shared" ca="1" si="53"/>
        <v>0</v>
      </c>
      <c r="G103">
        <f t="shared" ca="1" si="54"/>
        <v>19</v>
      </c>
      <c r="H103">
        <f ca="1">IF(OR($A103="S",$A103=0),0,MATCH(0,OFFSET($B103,1,$A103,ROW($A$1504)-ROW($A103)),0))</f>
        <v>0</v>
      </c>
      <c r="I103">
        <f ca="1">IF(OR($A103="S",$A103=0),0,MATCH(OFFSET($B103,0,$A103)+1,OFFSET($B103,1,$A103,ROW($A$1504)-ROW($A103)),0))</f>
        <v>0</v>
      </c>
      <c r="J103" s="132" t="s">
        <v>29</v>
      </c>
      <c r="K103" s="121" t="str">
        <f t="shared" ca="1" si="70"/>
        <v>1.3.19.</v>
      </c>
      <c r="L103" s="137" t="str">
        <f t="shared" ca="1" si="56"/>
        <v>Cotação</v>
      </c>
      <c r="M103" s="122" t="s">
        <v>79</v>
      </c>
      <c r="N103" s="139" t="s">
        <v>156</v>
      </c>
      <c r="O103" s="137" t="str">
        <f t="shared" ca="1" si="57"/>
        <v>Pintura facial</v>
      </c>
      <c r="P103" s="138" t="str">
        <f t="shared" ca="1" si="58"/>
        <v>Unidade</v>
      </c>
      <c r="Q103" s="134">
        <v>5</v>
      </c>
      <c r="R103" s="124">
        <f t="shared" ca="1" si="59"/>
        <v>60</v>
      </c>
      <c r="S103" s="136" t="s">
        <v>62</v>
      </c>
      <c r="T103" s="123">
        <f t="shared" ca="1" si="60"/>
        <v>75</v>
      </c>
      <c r="U103" s="126">
        <f t="shared" ca="1" si="61"/>
        <v>375</v>
      </c>
      <c r="V103" s="1"/>
      <c r="W103" s="39" t="str">
        <f ca="1">IF(OR($A103=0,$A103="S",$A103&gt;CFF!$A$9),"",MAX(W$11:OFFSET(W103,-1,0))+1)</f>
        <v/>
      </c>
      <c r="X103" s="4" t="str">
        <f t="shared" si="62"/>
        <v>Rec. Materiais-007</v>
      </c>
      <c r="Y103" s="39">
        <f t="shared" ca="1" si="71"/>
        <v>16</v>
      </c>
      <c r="Z103" s="1"/>
      <c r="AA103" s="133">
        <f>IF($J103=$G$2,ROUND(IF(ISNUMBER(S103),S103,IF(LEFT(S103,2)="DI",HLOOKUP(S103,DADOS!$T$29:$X$30,2,FALSE),0)),4),"")</f>
        <v>0.25</v>
      </c>
      <c r="AB103" s="2"/>
    </row>
    <row r="104" spans="1:28">
      <c r="A104" t="str">
        <f t="shared" si="68"/>
        <v>S</v>
      </c>
      <c r="B104">
        <f t="shared" si="69"/>
        <v>0</v>
      </c>
      <c r="C104">
        <f t="shared" ca="1" si="50"/>
        <v>1</v>
      </c>
      <c r="D104">
        <f t="shared" ca="1" si="51"/>
        <v>3</v>
      </c>
      <c r="E104">
        <f t="shared" ca="1" si="52"/>
        <v>0</v>
      </c>
      <c r="F104">
        <f t="shared" ca="1" si="53"/>
        <v>0</v>
      </c>
      <c r="G104">
        <f t="shared" ca="1" si="54"/>
        <v>20</v>
      </c>
      <c r="H104">
        <f ca="1">IF(OR($A104="S",$A104=0),0,MATCH(0,OFFSET($B104,1,$A104,ROW($A$1504)-ROW($A104)),0))</f>
        <v>0</v>
      </c>
      <c r="I104">
        <f ca="1">IF(OR($A104="S",$A104=0),0,MATCH(OFFSET($B104,0,$A104)+1,OFFSET($B104,1,$A104,ROW($A$1504)-ROW($A104)),0))</f>
        <v>0</v>
      </c>
      <c r="J104" s="132" t="s">
        <v>29</v>
      </c>
      <c r="K104" s="121" t="str">
        <f t="shared" ca="1" si="70"/>
        <v>1.3.20.</v>
      </c>
      <c r="L104" s="137" t="str">
        <f t="shared" ca="1" si="56"/>
        <v>Cotação</v>
      </c>
      <c r="M104" s="122" t="s">
        <v>79</v>
      </c>
      <c r="N104" s="139" t="s">
        <v>158</v>
      </c>
      <c r="O104" s="137" t="str">
        <f t="shared" ca="1" si="57"/>
        <v>Pasta AZ</v>
      </c>
      <c r="P104" s="138" t="str">
        <f t="shared" ca="1" si="58"/>
        <v>Unidade</v>
      </c>
      <c r="Q104" s="134">
        <v>2</v>
      </c>
      <c r="R104" s="124">
        <f t="shared" ca="1" si="59"/>
        <v>12</v>
      </c>
      <c r="S104" s="136" t="s">
        <v>62</v>
      </c>
      <c r="T104" s="123">
        <f t="shared" ca="1" si="60"/>
        <v>15</v>
      </c>
      <c r="U104" s="126">
        <f t="shared" ca="1" si="61"/>
        <v>30</v>
      </c>
      <c r="V104" s="1"/>
      <c r="W104" s="39" t="str">
        <f ca="1">IF(OR($A104=0,$A104="S",$A104&gt;CFF!$A$9),"",MAX(W$11:OFFSET(W104,-1,0))+1)</f>
        <v/>
      </c>
      <c r="X104" s="4" t="str">
        <f t="shared" si="62"/>
        <v>Rec. Materiais-009</v>
      </c>
      <c r="Y104" s="39">
        <f t="shared" ca="1" si="71"/>
        <v>18</v>
      </c>
      <c r="Z104" s="1"/>
      <c r="AA104" s="133">
        <f>IF($J104=$G$2,ROUND(IF(ISNUMBER(S104),S104,IF(LEFT(S104,2)="DI",HLOOKUP(S104,DADOS!$T$29:$X$30,2,FALSE),0)),4),"")</f>
        <v>0.25</v>
      </c>
      <c r="AB104" s="2"/>
    </row>
    <row r="105" spans="1:28">
      <c r="A105" t="str">
        <f t="shared" si="68"/>
        <v>S</v>
      </c>
      <c r="B105">
        <f t="shared" si="69"/>
        <v>0</v>
      </c>
      <c r="C105">
        <f ca="1">IF($A105=1,OFFSET(C105,-1,0)+1,OFFSET(C105,-1,0))</f>
        <v>1</v>
      </c>
      <c r="D105">
        <f ca="1">IF($A105=1,0,IF($A105=2,OFFSET(D105,-1,0)+1,OFFSET(D105,-1,0)))</f>
        <v>3</v>
      </c>
      <c r="E105">
        <f ca="1">IF(AND($A105&lt;=2,$A105&lt;&gt;0),0,IF($A105=3,OFFSET(E105,-1,0)+1,OFFSET(E105,-1,0)))</f>
        <v>0</v>
      </c>
      <c r="F105">
        <f ca="1">IF(AND($A105&lt;=3,$A105&lt;&gt;0),0,IF($A105=4,OFFSET(F105,-1,0)+1,OFFSET(F105,-1,0)))</f>
        <v>0</v>
      </c>
      <c r="G105">
        <f ca="1">IF(AND($A105&lt;=4,$A105&lt;&gt;0),0,IF($A105="S",OFFSET(G105,-1,0)+1,OFFSET(G105,-1,0)))</f>
        <v>21</v>
      </c>
      <c r="H105">
        <f ca="1">IF(OR($A105="S",$A105=0),0,MATCH(0,OFFSET($B105,1,$A105,ROW($A$1504)-ROW($A105)),0))</f>
        <v>0</v>
      </c>
      <c r="I105">
        <f ca="1">IF(OR($A105="S",$A105=0),0,MATCH(OFFSET($B105,0,$A105)+1,OFFSET($B105,1,$A105,ROW($A$1504)-ROW($A105)),0))</f>
        <v>0</v>
      </c>
      <c r="J105" s="132" t="s">
        <v>29</v>
      </c>
      <c r="K105" s="121" t="str">
        <f t="shared" ca="1" si="70"/>
        <v>1.3.21.</v>
      </c>
      <c r="L105" s="137" t="str">
        <f ca="1">IF(NOT(ISERROR($Y105)),IF($Y105&lt;&gt;FALSE,INDEX(Banco,$Y105,4),""),"")</f>
        <v>Cotação</v>
      </c>
      <c r="M105" s="122" t="s">
        <v>79</v>
      </c>
      <c r="N105" s="139" t="s">
        <v>166</v>
      </c>
      <c r="O105" s="137" t="str">
        <f ca="1">IF(NOT(ISERROR($Y105)),IF($Y105&lt;&gt;FALSE,INDEX(Banco,$Y105,5),""),"")</f>
        <v>Balão redondo</v>
      </c>
      <c r="P105" s="138" t="str">
        <f ca="1">IF(NOT(ISERROR($Y105)),IF($Y105&lt;&gt;FALSE,INDEX(Banco,$Y105,6),""),"")</f>
        <v>Unidade</v>
      </c>
      <c r="Q105" s="134">
        <v>30</v>
      </c>
      <c r="R105" s="124">
        <f ca="1">IF(NOT(ISERROR($Y105)),IF($Y105&lt;&gt;FALSE,INDEX(Banco,$Y105,7),0),0)</f>
        <v>9</v>
      </c>
      <c r="S105" s="136" t="s">
        <v>62</v>
      </c>
      <c r="T105" s="123">
        <f ca="1">IF($J105=$G$2,ROUND(ROUND($R105,2)*IF($R$9="Preço Unitário (R$)",1,1+$AA105),2),0)</f>
        <v>11.25</v>
      </c>
      <c r="U105" s="126">
        <f ca="1">IF($A105="S",VTOTAL1,IF($A105=0,0,ROUND(SomaAgrup,2)))</f>
        <v>337.5</v>
      </c>
      <c r="V105" s="1"/>
      <c r="W105" s="39" t="str">
        <f ca="1">IF(OR($A105=0,$A105="S",$A105&gt;CFF!$A$9),"",MAX(W$11:OFFSET(W105,-1,0))+1)</f>
        <v/>
      </c>
      <c r="X105" s="4" t="str">
        <f>IF(AND($J105=$G$2,$N105&lt;&gt;"",$M105&lt;&gt;""),CONCATENATE($M105,"-",$N105))</f>
        <v>Rec. Materiais-022</v>
      </c>
      <c r="Y105" s="39">
        <f t="shared" ca="1" si="71"/>
        <v>31</v>
      </c>
      <c r="Z105" s="1"/>
      <c r="AA105" s="133">
        <f>IF($J105=$G$2,ROUND(IF(ISNUMBER(S105),S105,IF(LEFT(S105,2)="DI",HLOOKUP(S105,DADOS!$T$29:$X$30,2,FALSE),0)),4),"")</f>
        <v>0.25</v>
      </c>
      <c r="AB105" s="2"/>
    </row>
    <row r="106" spans="1:28" ht="30" customHeight="1">
      <c r="A106" t="str">
        <f t="shared" ref="A106:A112" si="72">CHOOSE(1+LOG(1+2*(J106=$C$2)+4*(J106=$D$2)+8*(J106=$E$2)+16*(J106=$F$2)+32*(J106=$G$2),2),0,1,2,3,4,"S")</f>
        <v>S</v>
      </c>
      <c r="B106">
        <f t="shared" ref="B106:B112" si="73">IF(OR(A106="S",A106=0),0,IF(ISERROR(I106),H106,SMALL(H106:I106,1)))</f>
        <v>0</v>
      </c>
      <c r="C106">
        <f t="shared" ca="1" si="50"/>
        <v>1</v>
      </c>
      <c r="D106">
        <f t="shared" ca="1" si="51"/>
        <v>3</v>
      </c>
      <c r="E106">
        <f t="shared" ca="1" si="52"/>
        <v>0</v>
      </c>
      <c r="F106">
        <f t="shared" ca="1" si="53"/>
        <v>0</v>
      </c>
      <c r="G106">
        <f t="shared" ca="1" si="54"/>
        <v>22</v>
      </c>
      <c r="H106">
        <f ca="1">IF(OR($A106="S",$A106=0),0,MATCH(0,OFFSET($B106,1,$A106,ROW($A$1504)-ROW($A106)),0))</f>
        <v>0</v>
      </c>
      <c r="I106">
        <f ca="1">IF(OR($A106="S",$A106=0),0,MATCH(OFFSET($B106,0,$A106)+1,OFFSET($B106,1,$A106,ROW($A$1504)-ROW($A106)),0))</f>
        <v>0</v>
      </c>
      <c r="J106" s="132" t="s">
        <v>29</v>
      </c>
      <c r="K106" s="121" t="str">
        <f t="shared" ref="K106:K112" ca="1" si="74">IF($A106=0,"-",CONCATENATE(C106&amp;".",IF(AND($A$5&gt;=2,$A106&gt;=2),D106&amp;".",""),IF(AND($A$5&gt;=3,$A106&gt;=3),E106&amp;".",""),IF(AND($A$5&gt;=4,$A106&gt;=4),F106&amp;".",""),IF($A106="S",G106&amp;".","")))</f>
        <v>1.3.22.</v>
      </c>
      <c r="L106" s="137" t="str">
        <f t="shared" ca="1" si="56"/>
        <v>Cotação</v>
      </c>
      <c r="M106" s="122" t="s">
        <v>79</v>
      </c>
      <c r="N106" s="139" t="s">
        <v>167</v>
      </c>
      <c r="O106" s="137" t="str">
        <f t="shared" ca="1" si="57"/>
        <v>Brinquedos pedagogicos (jogos de damas, bozó, dominó de percepção e de associação de idéias, quebra-cabeça progressivo, mapa do mundo, bola, bambolé</v>
      </c>
      <c r="P106" s="138" t="str">
        <f t="shared" ca="1" si="58"/>
        <v>Unidade</v>
      </c>
      <c r="Q106" s="134">
        <v>1</v>
      </c>
      <c r="R106" s="124">
        <f t="shared" ca="1" si="59"/>
        <v>600</v>
      </c>
      <c r="S106" s="136" t="s">
        <v>62</v>
      </c>
      <c r="T106" s="123">
        <f t="shared" ca="1" si="60"/>
        <v>750</v>
      </c>
      <c r="U106" s="126">
        <f t="shared" ca="1" si="61"/>
        <v>750</v>
      </c>
      <c r="V106" s="1"/>
      <c r="W106" s="39" t="str">
        <f ca="1">IF(OR($A106=0,$A106="S",$A106&gt;CFF!$A$9),"",MAX(W$11:OFFSET(W106,-1,0))+1)</f>
        <v/>
      </c>
      <c r="X106" s="4" t="str">
        <f t="shared" si="62"/>
        <v>Rec. Materiais-024</v>
      </c>
      <c r="Y106" s="39">
        <f t="shared" ref="Y106:Y112" ca="1" si="75">IF(X106&lt;&gt;FALSE,MATCH(X106,OFFSET(Banco,0,0,,1),0))</f>
        <v>33</v>
      </c>
      <c r="Z106" s="1"/>
      <c r="AA106" s="133">
        <f>IF($J106=$G$2,ROUND(IF(ISNUMBER(S106),S106,IF(LEFT(S106,2)="DI",HLOOKUP(S106,DADOS!$T$29:$X$30,2,FALSE),0)),4),"")</f>
        <v>0.25</v>
      </c>
      <c r="AB106" s="2"/>
    </row>
    <row r="107" spans="1:28">
      <c r="A107" t="str">
        <f t="shared" si="72"/>
        <v>S</v>
      </c>
      <c r="B107">
        <f t="shared" si="73"/>
        <v>0</v>
      </c>
      <c r="C107">
        <f t="shared" ca="1" si="50"/>
        <v>1</v>
      </c>
      <c r="D107">
        <f t="shared" ca="1" si="51"/>
        <v>3</v>
      </c>
      <c r="E107">
        <f t="shared" ca="1" si="52"/>
        <v>0</v>
      </c>
      <c r="F107">
        <f t="shared" ca="1" si="53"/>
        <v>0</v>
      </c>
      <c r="G107">
        <f t="shared" ca="1" si="54"/>
        <v>23</v>
      </c>
      <c r="H107">
        <f ca="1">IF(OR($A107="S",$A107=0),0,MATCH(0,OFFSET($B107,1,$A107,ROW($A$1504)-ROW($A107)),0))</f>
        <v>0</v>
      </c>
      <c r="I107">
        <f ca="1">IF(OR($A107="S",$A107=0),0,MATCH(OFFSET($B107,0,$A107)+1,OFFSET($B107,1,$A107,ROW($A$1504)-ROW($A107)),0))</f>
        <v>0</v>
      </c>
      <c r="J107" s="132" t="s">
        <v>29</v>
      </c>
      <c r="K107" s="121" t="str">
        <f t="shared" ca="1" si="74"/>
        <v>1.3.23.</v>
      </c>
      <c r="L107" s="137" t="str">
        <f t="shared" ca="1" si="56"/>
        <v>Cotação</v>
      </c>
      <c r="M107" s="122" t="s">
        <v>79</v>
      </c>
      <c r="N107" s="139" t="s">
        <v>168</v>
      </c>
      <c r="O107" s="137" t="str">
        <f t="shared" ca="1" si="57"/>
        <v>Fita adesiva</v>
      </c>
      <c r="P107" s="138" t="str">
        <f t="shared" ca="1" si="58"/>
        <v>Unidade</v>
      </c>
      <c r="Q107" s="134">
        <v>1</v>
      </c>
      <c r="R107" s="124">
        <f t="shared" ca="1" si="59"/>
        <v>6.18</v>
      </c>
      <c r="S107" s="136" t="s">
        <v>62</v>
      </c>
      <c r="T107" s="123">
        <f t="shared" ca="1" si="60"/>
        <v>7.73</v>
      </c>
      <c r="U107" s="126">
        <f t="shared" ca="1" si="61"/>
        <v>7.73</v>
      </c>
      <c r="V107" s="1"/>
      <c r="W107" s="39" t="str">
        <f ca="1">IF(OR($A107=0,$A107="S",$A107&gt;CFF!$A$9),"",MAX(W$11:OFFSET(W107,-1,0))+1)</f>
        <v/>
      </c>
      <c r="X107" s="4" t="str">
        <f t="shared" si="62"/>
        <v>Rec. Materiais-018</v>
      </c>
      <c r="Y107" s="39">
        <f t="shared" ca="1" si="75"/>
        <v>27</v>
      </c>
      <c r="Z107" s="1"/>
      <c r="AA107" s="133">
        <f>IF($J107=$G$2,ROUND(IF(ISNUMBER(S107),S107,IF(LEFT(S107,2)="DI",HLOOKUP(S107,DADOS!$T$29:$X$30,2,FALSE),0)),4),"")</f>
        <v>0.25</v>
      </c>
      <c r="AB107" s="2"/>
    </row>
    <row r="108" spans="1:28">
      <c r="A108" t="str">
        <f t="shared" si="72"/>
        <v>S</v>
      </c>
      <c r="B108">
        <f t="shared" si="73"/>
        <v>0</v>
      </c>
      <c r="C108">
        <f t="shared" ca="1" si="50"/>
        <v>1</v>
      </c>
      <c r="D108">
        <f t="shared" ca="1" si="51"/>
        <v>3</v>
      </c>
      <c r="E108">
        <f t="shared" ca="1" si="52"/>
        <v>0</v>
      </c>
      <c r="F108">
        <f t="shared" ca="1" si="53"/>
        <v>0</v>
      </c>
      <c r="G108">
        <f t="shared" ca="1" si="54"/>
        <v>24</v>
      </c>
      <c r="H108">
        <f ca="1">IF(OR($A108="S",$A108=0),0,MATCH(0,OFFSET($B108,1,$A108,ROW($A$1504)-ROW($A108)),0))</f>
        <v>0</v>
      </c>
      <c r="I108">
        <f ca="1">IF(OR($A108="S",$A108=0),0,MATCH(OFFSET($B108,0,$A108)+1,OFFSET($B108,1,$A108,ROW($A$1504)-ROW($A108)),0))</f>
        <v>0</v>
      </c>
      <c r="J108" s="132" t="s">
        <v>29</v>
      </c>
      <c r="K108" s="121" t="str">
        <f t="shared" ca="1" si="74"/>
        <v>1.3.24.</v>
      </c>
      <c r="L108" s="137" t="str">
        <f t="shared" ca="1" si="56"/>
        <v>Cotação</v>
      </c>
      <c r="M108" s="122" t="s">
        <v>79</v>
      </c>
      <c r="N108" s="139" t="s">
        <v>227</v>
      </c>
      <c r="O108" s="137" t="str">
        <f t="shared" ca="1" si="57"/>
        <v>Fita zebrada para isolar área</v>
      </c>
      <c r="P108" s="138" t="str">
        <f t="shared" ca="1" si="58"/>
        <v>Unidade</v>
      </c>
      <c r="Q108" s="134">
        <v>1</v>
      </c>
      <c r="R108" s="124">
        <f t="shared" ca="1" si="59"/>
        <v>19.39</v>
      </c>
      <c r="S108" s="136" t="s">
        <v>62</v>
      </c>
      <c r="T108" s="123">
        <f t="shared" ca="1" si="60"/>
        <v>24.24</v>
      </c>
      <c r="U108" s="126">
        <f t="shared" ca="1" si="61"/>
        <v>24.24</v>
      </c>
      <c r="V108" s="1"/>
      <c r="W108" s="39" t="str">
        <f ca="1">IF(OR($A108=0,$A108="S",$A108&gt;CFF!$A$9),"",MAX(W$11:OFFSET(W108,-1,0))+1)</f>
        <v/>
      </c>
      <c r="X108" s="4" t="str">
        <f t="shared" si="62"/>
        <v>Rec. Materiais-030</v>
      </c>
      <c r="Y108" s="39">
        <f t="shared" ca="1" si="75"/>
        <v>39</v>
      </c>
      <c r="Z108" s="1"/>
      <c r="AA108" s="133">
        <f>IF($J108=$G$2,ROUND(IF(ISNUMBER(S108),S108,IF(LEFT(S108,2)="DI",HLOOKUP(S108,DADOS!$T$29:$X$30,2,FALSE),0)),4),"")</f>
        <v>0.25</v>
      </c>
      <c r="AB108" s="2"/>
    </row>
    <row r="109" spans="1:28">
      <c r="A109" t="str">
        <f t="shared" si="72"/>
        <v>S</v>
      </c>
      <c r="B109">
        <f t="shared" si="73"/>
        <v>0</v>
      </c>
      <c r="C109">
        <f t="shared" ca="1" si="50"/>
        <v>1</v>
      </c>
      <c r="D109">
        <f t="shared" ca="1" si="51"/>
        <v>3</v>
      </c>
      <c r="E109">
        <f t="shared" ca="1" si="52"/>
        <v>0</v>
      </c>
      <c r="F109">
        <f t="shared" ca="1" si="53"/>
        <v>0</v>
      </c>
      <c r="G109">
        <f t="shared" ca="1" si="54"/>
        <v>25</v>
      </c>
      <c r="H109">
        <f ca="1">IF(OR($A109="S",$A109=0),0,MATCH(0,OFFSET($B109,1,$A109,ROW($A$1504)-ROW($A109)),0))</f>
        <v>0</v>
      </c>
      <c r="I109">
        <f ca="1">IF(OR($A109="S",$A109=0),0,MATCH(OFFSET($B109,0,$A109)+1,OFFSET($B109,1,$A109,ROW($A$1504)-ROW($A109)),0))</f>
        <v>0</v>
      </c>
      <c r="J109" s="132" t="s">
        <v>29</v>
      </c>
      <c r="K109" s="121" t="str">
        <f t="shared" ca="1" si="74"/>
        <v>1.3.25.</v>
      </c>
      <c r="L109" s="137" t="str">
        <f t="shared" ca="1" si="56"/>
        <v>Cotação</v>
      </c>
      <c r="M109" s="122" t="s">
        <v>79</v>
      </c>
      <c r="N109" s="139" t="s">
        <v>165</v>
      </c>
      <c r="O109" s="137" t="str">
        <f t="shared" ca="1" si="57"/>
        <v>Papel de presente</v>
      </c>
      <c r="P109" s="138" t="str">
        <f t="shared" ca="1" si="58"/>
        <v>Folhas</v>
      </c>
      <c r="Q109" s="134">
        <v>8</v>
      </c>
      <c r="R109" s="124">
        <f t="shared" ca="1" si="59"/>
        <v>1.5</v>
      </c>
      <c r="S109" s="136" t="s">
        <v>62</v>
      </c>
      <c r="T109" s="123">
        <f t="shared" ca="1" si="60"/>
        <v>1.88</v>
      </c>
      <c r="U109" s="126">
        <f t="shared" ca="1" si="61"/>
        <v>15.04</v>
      </c>
      <c r="V109" s="1"/>
      <c r="W109" s="39" t="str">
        <f ca="1">IF(OR($A109=0,$A109="S",$A109&gt;CFF!$A$9),"",MAX(W$11:OFFSET(W109,-1,0))+1)</f>
        <v/>
      </c>
      <c r="X109" s="4" t="str">
        <f t="shared" si="62"/>
        <v>Rec. Materiais-021</v>
      </c>
      <c r="Y109" s="39">
        <f t="shared" ca="1" si="75"/>
        <v>30</v>
      </c>
      <c r="Z109" s="1"/>
      <c r="AA109" s="133">
        <f>IF($J109=$G$2,ROUND(IF(ISNUMBER(S109),S109,IF(LEFT(S109,2)="DI",HLOOKUP(S109,DADOS!$T$29:$X$30,2,FALSE),0)),4),"")</f>
        <v>0.25</v>
      </c>
      <c r="AB109" s="2"/>
    </row>
    <row r="110" spans="1:28">
      <c r="A110" t="str">
        <f t="shared" si="72"/>
        <v>S</v>
      </c>
      <c r="B110">
        <f t="shared" si="73"/>
        <v>0</v>
      </c>
      <c r="C110">
        <f t="shared" ca="1" si="50"/>
        <v>1</v>
      </c>
      <c r="D110">
        <f t="shared" ca="1" si="51"/>
        <v>3</v>
      </c>
      <c r="E110">
        <f t="shared" ca="1" si="52"/>
        <v>0</v>
      </c>
      <c r="F110">
        <f t="shared" ca="1" si="53"/>
        <v>0</v>
      </c>
      <c r="G110">
        <f t="shared" ca="1" si="54"/>
        <v>26</v>
      </c>
      <c r="H110">
        <f ca="1">IF(OR($A110="S",$A110=0),0,MATCH(0,OFFSET($B110,1,$A110,ROW($A$1504)-ROW($A110)),0))</f>
        <v>0</v>
      </c>
      <c r="I110">
        <f ca="1">IF(OR($A110="S",$A110=0),0,MATCH(OFFSET($B110,0,$A110)+1,OFFSET($B110,1,$A110,ROW($A$1504)-ROW($A110)),0))</f>
        <v>0</v>
      </c>
      <c r="J110" s="132" t="s">
        <v>29</v>
      </c>
      <c r="K110" s="121" t="str">
        <f t="shared" ca="1" si="74"/>
        <v>1.3.26.</v>
      </c>
      <c r="L110" s="137" t="str">
        <f t="shared" ca="1" si="56"/>
        <v>Cotação</v>
      </c>
      <c r="M110" s="122" t="s">
        <v>79</v>
      </c>
      <c r="N110" s="139" t="s">
        <v>163</v>
      </c>
      <c r="O110" s="137" t="str">
        <f t="shared" ca="1" si="57"/>
        <v>Guloseimas (balas e pirulito)</v>
      </c>
      <c r="P110" s="138" t="str">
        <f t="shared" ca="1" si="58"/>
        <v>Pacote</v>
      </c>
      <c r="Q110" s="134">
        <v>4</v>
      </c>
      <c r="R110" s="124">
        <f t="shared" ca="1" si="59"/>
        <v>12</v>
      </c>
      <c r="S110" s="136" t="s">
        <v>62</v>
      </c>
      <c r="T110" s="123">
        <f t="shared" ca="1" si="60"/>
        <v>15</v>
      </c>
      <c r="U110" s="126">
        <f t="shared" ca="1" si="61"/>
        <v>60</v>
      </c>
      <c r="V110" s="1"/>
      <c r="W110" s="39" t="str">
        <f ca="1">IF(OR($A110=0,$A110="S",$A110&gt;CFF!$A$9),"",MAX(W$11:OFFSET(W110,-1,0))+1)</f>
        <v/>
      </c>
      <c r="X110" s="4" t="str">
        <f t="shared" si="62"/>
        <v>Rec. Materiais-020</v>
      </c>
      <c r="Y110" s="39">
        <f t="shared" ca="1" si="75"/>
        <v>29</v>
      </c>
      <c r="Z110" s="1"/>
      <c r="AA110" s="133">
        <f>IF($J110=$G$2,ROUND(IF(ISNUMBER(S110),S110,IF(LEFT(S110,2)="DI",HLOOKUP(S110,DADOS!$T$29:$X$30,2,FALSE),0)),4),"")</f>
        <v>0.25</v>
      </c>
      <c r="AB110" s="2"/>
    </row>
    <row r="111" spans="1:28">
      <c r="A111" t="str">
        <f t="shared" si="72"/>
        <v>S</v>
      </c>
      <c r="B111">
        <f t="shared" si="73"/>
        <v>0</v>
      </c>
      <c r="C111">
        <f t="shared" ca="1" si="50"/>
        <v>1</v>
      </c>
      <c r="D111">
        <f t="shared" ca="1" si="51"/>
        <v>3</v>
      </c>
      <c r="E111">
        <f t="shared" ca="1" si="52"/>
        <v>0</v>
      </c>
      <c r="F111">
        <f t="shared" ca="1" si="53"/>
        <v>0</v>
      </c>
      <c r="G111">
        <f t="shared" ca="1" si="54"/>
        <v>27</v>
      </c>
      <c r="H111">
        <f ca="1">IF(OR($A111="S",$A111=0),0,MATCH(0,OFFSET($B111,1,$A111,ROW($A$1504)-ROW($A111)),0))</f>
        <v>0</v>
      </c>
      <c r="I111">
        <f ca="1">IF(OR($A111="S",$A111=0),0,MATCH(OFFSET($B111,0,$A111)+1,OFFSET($B111,1,$A111,ROW($A$1504)-ROW($A111)),0))</f>
        <v>0</v>
      </c>
      <c r="J111" s="132" t="s">
        <v>29</v>
      </c>
      <c r="K111" s="121" t="str">
        <f t="shared" ca="1" si="74"/>
        <v>1.3.27.</v>
      </c>
      <c r="L111" s="137" t="str">
        <f t="shared" ca="1" si="56"/>
        <v>Cotação</v>
      </c>
      <c r="M111" s="122" t="s">
        <v>79</v>
      </c>
      <c r="N111" s="139" t="s">
        <v>169</v>
      </c>
      <c r="O111" s="137" t="str">
        <f t="shared" ca="1" si="57"/>
        <v>Apontador</v>
      </c>
      <c r="P111" s="138" t="str">
        <f t="shared" ca="1" si="58"/>
        <v>Unidade</v>
      </c>
      <c r="Q111" s="134">
        <v>5</v>
      </c>
      <c r="R111" s="124">
        <f t="shared" ca="1" si="59"/>
        <v>5.2</v>
      </c>
      <c r="S111" s="136" t="s">
        <v>62</v>
      </c>
      <c r="T111" s="123">
        <f t="shared" ca="1" si="60"/>
        <v>6.5</v>
      </c>
      <c r="U111" s="126">
        <f t="shared" ca="1" si="61"/>
        <v>32.5</v>
      </c>
      <c r="V111" s="1"/>
      <c r="W111" s="39" t="str">
        <f ca="1">IF(OR($A111=0,$A111="S",$A111&gt;CFF!$A$9),"",MAX(W$11:OFFSET(W111,-1,0))+1)</f>
        <v/>
      </c>
      <c r="X111" s="4" t="str">
        <f t="shared" si="62"/>
        <v>Rec. Materiais-025</v>
      </c>
      <c r="Y111" s="39">
        <f t="shared" ca="1" si="75"/>
        <v>34</v>
      </c>
      <c r="Z111" s="1"/>
      <c r="AA111" s="133">
        <f>IF($J111=$G$2,ROUND(IF(ISNUMBER(S111),S111,IF(LEFT(S111,2)="DI",HLOOKUP(S111,DADOS!$T$29:$X$30,2,FALSE),0)),4),"")</f>
        <v>0.25</v>
      </c>
      <c r="AB111" s="2"/>
    </row>
    <row r="112" spans="1:28">
      <c r="A112" t="str">
        <f t="shared" si="72"/>
        <v>S</v>
      </c>
      <c r="B112">
        <f t="shared" si="73"/>
        <v>0</v>
      </c>
      <c r="C112">
        <f t="shared" ref="C112:C131" ca="1" si="76">IF($A112=1,OFFSET(C112,-1,0)+1,OFFSET(C112,-1,0))</f>
        <v>1</v>
      </c>
      <c r="D112">
        <f t="shared" ref="D112:D131" ca="1" si="77">IF($A112=1,0,IF($A112=2,OFFSET(D112,-1,0)+1,OFFSET(D112,-1,0)))</f>
        <v>3</v>
      </c>
      <c r="E112">
        <f t="shared" ref="E112:E131" ca="1" si="78">IF(AND($A112&lt;=2,$A112&lt;&gt;0),0,IF($A112=3,OFFSET(E112,-1,0)+1,OFFSET(E112,-1,0)))</f>
        <v>0</v>
      </c>
      <c r="F112">
        <f t="shared" ref="F112:F131" ca="1" si="79">IF(AND($A112&lt;=3,$A112&lt;&gt;0),0,IF($A112=4,OFFSET(F112,-1,0)+1,OFFSET(F112,-1,0)))</f>
        <v>0</v>
      </c>
      <c r="G112">
        <f t="shared" ref="G112:G131" ca="1" si="80">IF(AND($A112&lt;=4,$A112&lt;&gt;0),0,IF($A112="S",OFFSET(G112,-1,0)+1,OFFSET(G112,-1,0)))</f>
        <v>28</v>
      </c>
      <c r="H112">
        <f ca="1">IF(OR($A112="S",$A112=0),0,MATCH(0,OFFSET($B112,1,$A112,ROW($A$1504)-ROW($A112)),0))</f>
        <v>0</v>
      </c>
      <c r="I112">
        <f ca="1">IF(OR($A112="S",$A112=0),0,MATCH(OFFSET($B112,0,$A112)+1,OFFSET($B112,1,$A112,ROW($A$1504)-ROW($A112)),0))</f>
        <v>0</v>
      </c>
      <c r="J112" s="132" t="s">
        <v>29</v>
      </c>
      <c r="K112" s="121" t="str">
        <f t="shared" ca="1" si="74"/>
        <v>1.3.28.</v>
      </c>
      <c r="L112" s="137" t="str">
        <f t="shared" ref="L112:L131" ca="1" si="81">IF(NOT(ISERROR($Y112)),IF($Y112&lt;&gt;FALSE,INDEX(Banco,$Y112,4),""),"")</f>
        <v>Cotação</v>
      </c>
      <c r="M112" s="122" t="s">
        <v>79</v>
      </c>
      <c r="N112" s="139" t="s">
        <v>170</v>
      </c>
      <c r="O112" s="137" t="str">
        <f t="shared" ca="1" si="57"/>
        <v>Saco de lixo (100 litros)</v>
      </c>
      <c r="P112" s="138" t="str">
        <f t="shared" ref="P112:P131" ca="1" si="82">IF(NOT(ISERROR($Y112)),IF($Y112&lt;&gt;FALSE,INDEX(Banco,$Y112,6),""),"")</f>
        <v>Pacote</v>
      </c>
      <c r="Q112" s="134">
        <v>2</v>
      </c>
      <c r="R112" s="124">
        <f t="shared" ref="R112:R131" ca="1" si="83">IF(NOT(ISERROR($Y112)),IF($Y112&lt;&gt;FALSE,INDEX(Banco,$Y112,7),0),0)</f>
        <v>15</v>
      </c>
      <c r="S112" s="136" t="s">
        <v>62</v>
      </c>
      <c r="T112" s="123">
        <f t="shared" ref="T112:T131" ca="1" si="84">IF($J112=$G$2,ROUND(ROUND($R112,2)*IF($R$9="Preço Unitário (R$)",1,1+$AA112),2),0)</f>
        <v>18.75</v>
      </c>
      <c r="U112" s="126">
        <f t="shared" ref="U112:U131" ca="1" si="85">IF($A112="S",VTOTAL1,IF($A112=0,0,ROUND(SomaAgrup,2)))</f>
        <v>37.5</v>
      </c>
      <c r="V112" s="1"/>
      <c r="W112" s="39" t="str">
        <f ca="1">IF(OR($A112=0,$A112="S",$A112&gt;CFF!$A$9),"",MAX(W$11:OFFSET(W112,-1,0))+1)</f>
        <v/>
      </c>
      <c r="X112" s="4" t="str">
        <f t="shared" ref="X112:X131" si="86">IF(AND($J112=$G$2,$N112&lt;&gt;"",$M112&lt;&gt;""),CONCATENATE($M112,"-",$N112))</f>
        <v>Rec. Materiais-026</v>
      </c>
      <c r="Y112" s="39">
        <f t="shared" ca="1" si="75"/>
        <v>35</v>
      </c>
      <c r="Z112" s="1"/>
      <c r="AA112" s="133">
        <f>IF($J112=$G$2,ROUND(IF(ISNUMBER(S112),S112,IF(LEFT(S112,2)="DI",HLOOKUP(S112,DADOS!$T$29:$X$30,2,FALSE),0)),4),"")</f>
        <v>0.25</v>
      </c>
      <c r="AB112" s="2"/>
    </row>
    <row r="113" spans="1:28">
      <c r="A113">
        <f t="shared" ref="A113:A131" si="87">CHOOSE(1+LOG(1+2*(J113=$C$2)+4*(J113=$D$2)+8*(J113=$E$2)+16*(J113=$F$2)+32*(J113=$G$2),2),0,1,2,3,4,"S")</f>
        <v>1</v>
      </c>
      <c r="B113">
        <f t="shared" ref="B113:B131" ca="1" si="88">IF(OR(A113="S",A113=0),0,IF(ISERROR(I113),H113,SMALL(H113:I113,1)))</f>
        <v>89</v>
      </c>
      <c r="C113">
        <f t="shared" ca="1" si="76"/>
        <v>2</v>
      </c>
      <c r="D113">
        <f t="shared" ca="1" si="77"/>
        <v>0</v>
      </c>
      <c r="E113">
        <f t="shared" ca="1" si="78"/>
        <v>0</v>
      </c>
      <c r="F113">
        <f t="shared" ca="1" si="79"/>
        <v>0</v>
      </c>
      <c r="G113">
        <f t="shared" ca="1" si="80"/>
        <v>0</v>
      </c>
      <c r="H113">
        <f ca="1">IF(OR($A113="S",$A113=0),0,MATCH(0,OFFSET($B113,1,$A113,ROW($A$1504)-ROW($A113)),0))</f>
        <v>1391</v>
      </c>
      <c r="I113">
        <f ca="1">IF(OR($A113="S",$A113=0),0,MATCH(OFFSET($B113,0,$A113)+1,OFFSET($B113,1,$A113,ROW($A$1504)-ROW($A113)),0))</f>
        <v>89</v>
      </c>
      <c r="J113" s="132" t="s">
        <v>67</v>
      </c>
      <c r="K113" s="121" t="str">
        <f t="shared" ref="K113:K131" ca="1" si="89">IF($A113=0,"-",CONCATENATE(C113&amp;".",IF(AND($A$5&gt;=2,$A113&gt;=2),D113&amp;".",""),IF(AND($A$5&gt;=3,$A113&gt;=3),E113&amp;".",""),IF(AND($A$5&gt;=4,$A113&gt;=4),F113&amp;".",""),IF($A113="S",G113&amp;".","")))</f>
        <v>2.</v>
      </c>
      <c r="L113" s="137" t="str">
        <f t="shared" ca="1" si="81"/>
        <v/>
      </c>
      <c r="M113" s="122"/>
      <c r="N113" s="139"/>
      <c r="O113" s="137" t="s">
        <v>263</v>
      </c>
      <c r="P113" s="138" t="str">
        <f t="shared" ca="1" si="82"/>
        <v/>
      </c>
      <c r="Q113" s="134"/>
      <c r="R113" s="124">
        <f t="shared" ca="1" si="83"/>
        <v>0</v>
      </c>
      <c r="S113" s="136" t="s">
        <v>62</v>
      </c>
      <c r="T113" s="123">
        <f t="shared" si="84"/>
        <v>0</v>
      </c>
      <c r="U113" s="126">
        <f t="shared" ca="1" si="85"/>
        <v>39171.64</v>
      </c>
      <c r="V113" s="1"/>
      <c r="W113" s="39">
        <f ca="1">IF(OR($A113=0,$A113="S",$A113&gt;CFF!$A$9),"",MAX(W$11:OFFSET(W113,-1,0))+1)</f>
        <v>5</v>
      </c>
      <c r="X113" s="4" t="b">
        <f t="shared" si="86"/>
        <v>0</v>
      </c>
      <c r="Y113" s="39" t="b">
        <f t="shared" ref="Y113:Y131" ca="1" si="90">IF(X113&lt;&gt;FALSE,MATCH(X113,OFFSET(Banco,0,0,,1),0))</f>
        <v>0</v>
      </c>
      <c r="Z113" s="1"/>
      <c r="AA113" s="133" t="str">
        <f>IF($J113=$G$2,ROUND(IF(ISNUMBER(S113),S113,IF(LEFT(S113,2)="DI",HLOOKUP(S113,DADOS!$T$29:$X$30,2,FALSE),0)),4),"")</f>
        <v/>
      </c>
      <c r="AB113" s="2"/>
    </row>
    <row r="114" spans="1:28" ht="12.75" customHeight="1">
      <c r="A114">
        <f t="shared" si="87"/>
        <v>2</v>
      </c>
      <c r="B114">
        <f t="shared" ca="1" si="88"/>
        <v>24</v>
      </c>
      <c r="C114">
        <f t="shared" ca="1" si="76"/>
        <v>2</v>
      </c>
      <c r="D114">
        <f t="shared" ca="1" si="77"/>
        <v>1</v>
      </c>
      <c r="E114">
        <f t="shared" ca="1" si="78"/>
        <v>0</v>
      </c>
      <c r="F114">
        <f t="shared" ca="1" si="79"/>
        <v>0</v>
      </c>
      <c r="G114">
        <f t="shared" ca="1" si="80"/>
        <v>0</v>
      </c>
      <c r="H114">
        <f ca="1">IF(OR($A114="S",$A114=0),0,MATCH(0,OFFSET($B114,1,$A114,ROW($A$1504)-ROW($A114)),0))</f>
        <v>88</v>
      </c>
      <c r="I114">
        <f ca="1">IF(OR($A114="S",$A114=0),0,MATCH(OFFSET($B114,0,$A114)+1,OFFSET($B114,1,$A114,ROW($A$1504)-ROW($A114)),0))</f>
        <v>24</v>
      </c>
      <c r="J114" s="132" t="s">
        <v>68</v>
      </c>
      <c r="K114" s="121" t="str">
        <f t="shared" ca="1" si="89"/>
        <v>2.1.</v>
      </c>
      <c r="L114" s="137" t="str">
        <f t="shared" ca="1" si="81"/>
        <v/>
      </c>
      <c r="M114" s="122"/>
      <c r="N114" s="139"/>
      <c r="O114" s="137" t="s">
        <v>268</v>
      </c>
      <c r="P114" s="138" t="str">
        <f t="shared" ca="1" si="82"/>
        <v/>
      </c>
      <c r="Q114" s="134"/>
      <c r="R114" s="124">
        <f t="shared" ca="1" si="83"/>
        <v>0</v>
      </c>
      <c r="S114" s="136" t="s">
        <v>62</v>
      </c>
      <c r="T114" s="123">
        <f t="shared" si="84"/>
        <v>0</v>
      </c>
      <c r="U114" s="126">
        <f t="shared" ca="1" si="85"/>
        <v>11360.31</v>
      </c>
      <c r="V114" s="1"/>
      <c r="W114" s="39">
        <f ca="1">IF(OR($A114=0,$A114="S",$A114&gt;CFF!$A$9),"",MAX(W$11:OFFSET(W114,-1,0))+1)</f>
        <v>6</v>
      </c>
      <c r="X114" s="4" t="b">
        <f t="shared" si="86"/>
        <v>0</v>
      </c>
      <c r="Y114" s="39" t="b">
        <f t="shared" ca="1" si="90"/>
        <v>0</v>
      </c>
      <c r="Z114" s="1"/>
      <c r="AA114" s="133" t="str">
        <f>IF($J114=$G$2,ROUND(IF(ISNUMBER(S114),S114,IF(LEFT(S114,2)="DI",HLOOKUP(S114,DADOS!$T$29:$X$30,2,FALSE),0)),4),"")</f>
        <v/>
      </c>
      <c r="AB114" s="2"/>
    </row>
    <row r="115" spans="1:28">
      <c r="A115" t="str">
        <f t="shared" si="87"/>
        <v>S</v>
      </c>
      <c r="B115">
        <f t="shared" si="88"/>
        <v>0</v>
      </c>
      <c r="C115">
        <f t="shared" ca="1" si="76"/>
        <v>2</v>
      </c>
      <c r="D115">
        <f t="shared" ca="1" si="77"/>
        <v>1</v>
      </c>
      <c r="E115">
        <f t="shared" ca="1" si="78"/>
        <v>0</v>
      </c>
      <c r="F115">
        <f t="shared" ca="1" si="79"/>
        <v>0</v>
      </c>
      <c r="G115">
        <f t="shared" ca="1" si="80"/>
        <v>1</v>
      </c>
      <c r="H115">
        <f ca="1">IF(OR($A115="S",$A115=0),0,MATCH(0,OFFSET($B115,1,$A115,ROW($A$1504)-ROW($A115)),0))</f>
        <v>0</v>
      </c>
      <c r="I115">
        <f ca="1">IF(OR($A115="S",$A115=0),0,MATCH(OFFSET($B115,0,$A115)+1,OFFSET($B115,1,$A115,ROW($A$1504)-ROW($A115)),0))</f>
        <v>0</v>
      </c>
      <c r="J115" s="132" t="s">
        <v>29</v>
      </c>
      <c r="K115" s="121" t="str">
        <f t="shared" ca="1" si="89"/>
        <v>2.1.1.</v>
      </c>
      <c r="L115" s="137" t="str">
        <f t="shared" ca="1" si="81"/>
        <v>CRESS</v>
      </c>
      <c r="M115" s="122" t="s">
        <v>78</v>
      </c>
      <c r="N115" s="139" t="s">
        <v>149</v>
      </c>
      <c r="O115" s="137" t="str">
        <f t="shared" ref="O115:O132" ca="1" si="91">IF(NOT(ISERROR($Y115)),IF($Y115&lt;&gt;FALSE,INDEX(Banco,$Y115,5),""),"")</f>
        <v>Responsável Técnica</v>
      </c>
      <c r="P115" s="138" t="str">
        <f t="shared" ca="1" si="82"/>
        <v>Horas</v>
      </c>
      <c r="Q115" s="134">
        <v>11</v>
      </c>
      <c r="R115" s="124">
        <f t="shared" ca="1" si="83"/>
        <v>150.28</v>
      </c>
      <c r="S115" s="136" t="s">
        <v>62</v>
      </c>
      <c r="T115" s="123">
        <f t="shared" ca="1" si="84"/>
        <v>187.85</v>
      </c>
      <c r="U115" s="126">
        <f t="shared" ca="1" si="85"/>
        <v>2066.35</v>
      </c>
      <c r="V115" s="1"/>
      <c r="W115" s="39" t="str">
        <f ca="1">IF(OR($A115=0,$A115="S",$A115&gt;CFF!$A$9),"",MAX(W$11:OFFSET(W115,-1,0))+1)</f>
        <v/>
      </c>
      <c r="X115" s="4" t="str">
        <f t="shared" si="86"/>
        <v>Rec. Humanos-001</v>
      </c>
      <c r="Y115" s="39">
        <f t="shared" ca="1" si="90"/>
        <v>3</v>
      </c>
      <c r="Z115" s="1"/>
      <c r="AA115" s="133">
        <f>IF($J115=$G$2,ROUND(IF(ISNUMBER(S115),S115,IF(LEFT(S115,2)="DI",HLOOKUP(S115,DADOS!$T$29:$X$30,2,FALSE),0)),4),"")</f>
        <v>0.25</v>
      </c>
      <c r="AB115" s="2"/>
    </row>
    <row r="116" spans="1:28">
      <c r="A116" t="str">
        <f t="shared" si="87"/>
        <v>S</v>
      </c>
      <c r="B116">
        <f t="shared" si="88"/>
        <v>0</v>
      </c>
      <c r="C116">
        <f t="shared" ca="1" si="76"/>
        <v>2</v>
      </c>
      <c r="D116">
        <f t="shared" ca="1" si="77"/>
        <v>1</v>
      </c>
      <c r="E116">
        <f t="shared" ca="1" si="78"/>
        <v>0</v>
      </c>
      <c r="F116">
        <f t="shared" ca="1" si="79"/>
        <v>0</v>
      </c>
      <c r="G116">
        <f t="shared" ca="1" si="80"/>
        <v>2</v>
      </c>
      <c r="H116">
        <f ca="1">IF(OR($A116="S",$A116=0),0,MATCH(0,OFFSET($B116,1,$A116,ROW($A$1504)-ROW($A116)),0))</f>
        <v>0</v>
      </c>
      <c r="I116">
        <f ca="1">IF(OR($A116="S",$A116=0),0,MATCH(OFFSET($B116,0,$A116)+1,OFFSET($B116,1,$A116,ROW($A$1504)-ROW($A116)),0))</f>
        <v>0</v>
      </c>
      <c r="J116" s="132" t="s">
        <v>29</v>
      </c>
      <c r="K116" s="121" t="str">
        <f t="shared" ca="1" si="89"/>
        <v>2.1.2.</v>
      </c>
      <c r="L116" s="137" t="str">
        <f t="shared" ca="1" si="81"/>
        <v>CRESS</v>
      </c>
      <c r="M116" s="122" t="s">
        <v>78</v>
      </c>
      <c r="N116" s="139" t="s">
        <v>152</v>
      </c>
      <c r="O116" s="137" t="str">
        <f t="shared" ca="1" si="91"/>
        <v>Assistente Social</v>
      </c>
      <c r="P116" s="138" t="str">
        <f t="shared" ca="1" si="82"/>
        <v>Horas</v>
      </c>
      <c r="Q116" s="134">
        <v>7</v>
      </c>
      <c r="R116" s="124">
        <f t="shared" ca="1" si="83"/>
        <v>133.81</v>
      </c>
      <c r="S116" s="136" t="s">
        <v>62</v>
      </c>
      <c r="T116" s="123">
        <f t="shared" ca="1" si="84"/>
        <v>167.26</v>
      </c>
      <c r="U116" s="126">
        <f t="shared" ca="1" si="85"/>
        <v>1170.82</v>
      </c>
      <c r="V116" s="1"/>
      <c r="W116" s="39" t="str">
        <f ca="1">IF(OR($A116=0,$A116="S",$A116&gt;CFF!$A$9),"",MAX(W$11:OFFSET(W116,-1,0))+1)</f>
        <v/>
      </c>
      <c r="X116" s="4" t="str">
        <f t="shared" si="86"/>
        <v>Rec. Humanos-002</v>
      </c>
      <c r="Y116" s="39">
        <f t="shared" ca="1" si="90"/>
        <v>4</v>
      </c>
      <c r="Z116" s="1"/>
      <c r="AA116" s="133">
        <f>IF($J116=$G$2,ROUND(IF(ISNUMBER(S116),S116,IF(LEFT(S116,2)="DI",HLOOKUP(S116,DADOS!$T$29:$X$30,2,FALSE),0)),4),"")</f>
        <v>0.25</v>
      </c>
      <c r="AB116" s="2"/>
    </row>
    <row r="117" spans="1:28">
      <c r="A117" t="str">
        <f t="shared" si="87"/>
        <v>S</v>
      </c>
      <c r="B117">
        <f t="shared" si="88"/>
        <v>0</v>
      </c>
      <c r="C117">
        <f t="shared" ca="1" si="76"/>
        <v>2</v>
      </c>
      <c r="D117">
        <f t="shared" ca="1" si="77"/>
        <v>1</v>
      </c>
      <c r="E117">
        <f t="shared" ca="1" si="78"/>
        <v>0</v>
      </c>
      <c r="F117">
        <f t="shared" ca="1" si="79"/>
        <v>0</v>
      </c>
      <c r="G117">
        <f t="shared" ca="1" si="80"/>
        <v>3</v>
      </c>
      <c r="H117">
        <f ca="1">IF(OR($A117="S",$A117=0),0,MATCH(0,OFFSET($B117,1,$A117,ROW($A$1504)-ROW($A117)),0))</f>
        <v>0</v>
      </c>
      <c r="I117">
        <f ca="1">IF(OR($A117="S",$A117=0),0,MATCH(OFFSET($B117,0,$A117)+1,OFFSET($B117,1,$A117,ROW($A$1504)-ROW($A117)),0))</f>
        <v>0</v>
      </c>
      <c r="J117" s="132" t="s">
        <v>29</v>
      </c>
      <c r="K117" s="121" t="str">
        <f t="shared" ca="1" si="89"/>
        <v>2.1.3.</v>
      </c>
      <c r="L117" s="137" t="str">
        <f t="shared" ca="1" si="81"/>
        <v>Cotação</v>
      </c>
      <c r="M117" s="122" t="s">
        <v>78</v>
      </c>
      <c r="N117" s="139" t="s">
        <v>151</v>
      </c>
      <c r="O117" s="137" t="str">
        <f t="shared" ca="1" si="91"/>
        <v xml:space="preserve">Administrador (Técnico de Apoio) </v>
      </c>
      <c r="P117" s="138" t="str">
        <f t="shared" ca="1" si="82"/>
        <v>Horas</v>
      </c>
      <c r="Q117" s="134">
        <v>4</v>
      </c>
      <c r="R117" s="124">
        <f t="shared" ca="1" si="83"/>
        <v>103.65</v>
      </c>
      <c r="S117" s="136" t="s">
        <v>62</v>
      </c>
      <c r="T117" s="123">
        <f t="shared" ca="1" si="84"/>
        <v>129.56</v>
      </c>
      <c r="U117" s="126">
        <f t="shared" ca="1" si="85"/>
        <v>518.24</v>
      </c>
      <c r="V117" s="1"/>
      <c r="W117" s="39" t="str">
        <f ca="1">IF(OR($A117=0,$A117="S",$A117&gt;CFF!$A$9),"",MAX(W$11:OFFSET(W117,-1,0))+1)</f>
        <v/>
      </c>
      <c r="X117" s="4" t="str">
        <f t="shared" si="86"/>
        <v>Rec. Humanos-003</v>
      </c>
      <c r="Y117" s="39">
        <f t="shared" ca="1" si="90"/>
        <v>5</v>
      </c>
      <c r="Z117" s="1"/>
      <c r="AA117" s="133">
        <f>IF($J117=$G$2,ROUND(IF(ISNUMBER(S117),S117,IF(LEFT(S117,2)="DI",HLOOKUP(S117,DADOS!$T$29:$X$30,2,FALSE),0)),4),"")</f>
        <v>0.25</v>
      </c>
      <c r="AB117" s="2"/>
    </row>
    <row r="118" spans="1:28">
      <c r="A118" t="str">
        <f t="shared" si="87"/>
        <v>S</v>
      </c>
      <c r="B118">
        <f t="shared" si="88"/>
        <v>0</v>
      </c>
      <c r="C118">
        <f t="shared" ca="1" si="76"/>
        <v>2</v>
      </c>
      <c r="D118">
        <f t="shared" ca="1" si="77"/>
        <v>1</v>
      </c>
      <c r="E118">
        <f t="shared" ca="1" si="78"/>
        <v>0</v>
      </c>
      <c r="F118">
        <f t="shared" ca="1" si="79"/>
        <v>0</v>
      </c>
      <c r="G118">
        <f t="shared" ca="1" si="80"/>
        <v>4</v>
      </c>
      <c r="H118">
        <f ca="1">IF(OR($A118="S",$A118=0),0,MATCH(0,OFFSET($B118,1,$A118,ROW($A$1504)-ROW($A118)),0))</f>
        <v>0</v>
      </c>
      <c r="I118">
        <f ca="1">IF(OR($A118="S",$A118=0),0,MATCH(OFFSET($B118,0,$A118)+1,OFFSET($B118,1,$A118,ROW($A$1504)-ROW($A118)),0))</f>
        <v>0</v>
      </c>
      <c r="J118" s="132" t="s">
        <v>29</v>
      </c>
      <c r="K118" s="121" t="str">
        <f t="shared" ca="1" si="89"/>
        <v>2.1.4.</v>
      </c>
      <c r="L118" s="137" t="str">
        <f t="shared" ca="1" si="81"/>
        <v>SINE</v>
      </c>
      <c r="M118" s="122" t="s">
        <v>78</v>
      </c>
      <c r="N118" s="139" t="s">
        <v>153</v>
      </c>
      <c r="O118" s="137" t="str">
        <f t="shared" ca="1" si="91"/>
        <v>Estagiários</v>
      </c>
      <c r="P118" s="138" t="str">
        <f t="shared" ca="1" si="82"/>
        <v>Horas</v>
      </c>
      <c r="Q118" s="134">
        <v>22</v>
      </c>
      <c r="R118" s="124">
        <f t="shared" ca="1" si="83"/>
        <v>9.7899999999999991</v>
      </c>
      <c r="S118" s="136" t="s">
        <v>62</v>
      </c>
      <c r="T118" s="123">
        <f t="shared" ca="1" si="84"/>
        <v>12.24</v>
      </c>
      <c r="U118" s="126">
        <f t="shared" ca="1" si="85"/>
        <v>269.27999999999997</v>
      </c>
      <c r="V118" s="1"/>
      <c r="W118" s="39" t="str">
        <f ca="1">IF(OR($A118=0,$A118="S",$A118&gt;CFF!$A$9),"",MAX(W$11:OFFSET(W118,-1,0))+1)</f>
        <v/>
      </c>
      <c r="X118" s="4" t="str">
        <f t="shared" si="86"/>
        <v>Rec. Humanos-004</v>
      </c>
      <c r="Y118" s="39">
        <f t="shared" ca="1" si="90"/>
        <v>6</v>
      </c>
      <c r="Z118" s="1"/>
      <c r="AA118" s="133">
        <f>IF($J118=$G$2,ROUND(IF(ISNUMBER(S118),S118,IF(LEFT(S118,2)="DI",HLOOKUP(S118,DADOS!$T$29:$X$30,2,FALSE),0)),4),"")</f>
        <v>0.25</v>
      </c>
      <c r="AB118" s="2"/>
    </row>
    <row r="119" spans="1:28">
      <c r="A119" t="str">
        <f t="shared" si="87"/>
        <v>S</v>
      </c>
      <c r="B119">
        <f t="shared" si="88"/>
        <v>0</v>
      </c>
      <c r="C119">
        <f t="shared" ca="1" si="76"/>
        <v>2</v>
      </c>
      <c r="D119">
        <f t="shared" ca="1" si="77"/>
        <v>1</v>
      </c>
      <c r="E119">
        <f t="shared" ca="1" si="78"/>
        <v>0</v>
      </c>
      <c r="F119">
        <f t="shared" ca="1" si="79"/>
        <v>0</v>
      </c>
      <c r="G119">
        <f t="shared" ca="1" si="80"/>
        <v>5</v>
      </c>
      <c r="H119">
        <f ca="1">IF(OR($A119="S",$A119=0),0,MATCH(0,OFFSET($B119,1,$A119,ROW($A$1504)-ROW($A119)),0))</f>
        <v>0</v>
      </c>
      <c r="I119">
        <f ca="1">IF(OR($A119="S",$A119=0),0,MATCH(OFFSET($B119,0,$A119)+1,OFFSET($B119,1,$A119,ROW($A$1504)-ROW($A119)),0))</f>
        <v>0</v>
      </c>
      <c r="J119" s="132" t="s">
        <v>29</v>
      </c>
      <c r="K119" s="121" t="str">
        <f t="shared" ca="1" si="89"/>
        <v>2.1.5.</v>
      </c>
      <c r="L119" s="137" t="str">
        <f t="shared" ca="1" si="81"/>
        <v>Cotação</v>
      </c>
      <c r="M119" s="122" t="s">
        <v>80</v>
      </c>
      <c r="N119" s="139" t="s">
        <v>149</v>
      </c>
      <c r="O119" s="137" t="str">
        <f t="shared" ca="1" si="91"/>
        <v>Fotocópias</v>
      </c>
      <c r="P119" s="138" t="str">
        <f t="shared" ca="1" si="82"/>
        <v>Unidade</v>
      </c>
      <c r="Q119" s="134">
        <v>210</v>
      </c>
      <c r="R119" s="124">
        <f t="shared" ca="1" si="83"/>
        <v>0.3</v>
      </c>
      <c r="S119" s="136" t="s">
        <v>62</v>
      </c>
      <c r="T119" s="123">
        <f t="shared" ca="1" si="84"/>
        <v>0.38</v>
      </c>
      <c r="U119" s="126">
        <f t="shared" ca="1" si="85"/>
        <v>79.8</v>
      </c>
      <c r="V119" s="1"/>
      <c r="W119" s="39" t="str">
        <f ca="1">IF(OR($A119=0,$A119="S",$A119&gt;CFF!$A$9),"",MAX(W$11:OFFSET(W119,-1,0))+1)</f>
        <v/>
      </c>
      <c r="X119" s="4" t="str">
        <f t="shared" si="86"/>
        <v>Serv. Terc.-001</v>
      </c>
      <c r="Y119" s="39">
        <f t="shared" ca="1" si="90"/>
        <v>81</v>
      </c>
      <c r="Z119" s="1"/>
      <c r="AA119" s="133">
        <f>IF($J119=$G$2,ROUND(IF(ISNUMBER(S119),S119,IF(LEFT(S119,2)="DI",HLOOKUP(S119,DADOS!$T$29:$X$30,2,FALSE),0)),4),"")</f>
        <v>0.25</v>
      </c>
      <c r="AB119" s="2"/>
    </row>
    <row r="120" spans="1:28">
      <c r="A120" t="str">
        <f t="shared" si="87"/>
        <v>S</v>
      </c>
      <c r="B120">
        <f t="shared" si="88"/>
        <v>0</v>
      </c>
      <c r="C120">
        <f t="shared" ca="1" si="76"/>
        <v>2</v>
      </c>
      <c r="D120">
        <f t="shared" ca="1" si="77"/>
        <v>1</v>
      </c>
      <c r="E120">
        <f t="shared" ca="1" si="78"/>
        <v>0</v>
      </c>
      <c r="F120">
        <f t="shared" ca="1" si="79"/>
        <v>0</v>
      </c>
      <c r="G120">
        <f t="shared" ca="1" si="80"/>
        <v>6</v>
      </c>
      <c r="H120">
        <f ca="1">IF(OR($A120="S",$A120=0),0,MATCH(0,OFFSET($B120,1,$A120,ROW($A$1504)-ROW($A120)),0))</f>
        <v>0</v>
      </c>
      <c r="I120">
        <f ca="1">IF(OR($A120="S",$A120=0),0,MATCH(OFFSET($B120,0,$A120)+1,OFFSET($B120,1,$A120,ROW($A$1504)-ROW($A120)),0))</f>
        <v>0</v>
      </c>
      <c r="J120" s="132" t="s">
        <v>29</v>
      </c>
      <c r="K120" s="121" t="str">
        <f t="shared" ca="1" si="89"/>
        <v>2.1.6.</v>
      </c>
      <c r="L120" s="137" t="str">
        <f t="shared" ca="1" si="81"/>
        <v>Cotação</v>
      </c>
      <c r="M120" s="122" t="s">
        <v>80</v>
      </c>
      <c r="N120" s="139" t="s">
        <v>152</v>
      </c>
      <c r="O120" s="137" t="str">
        <f t="shared" ca="1" si="91"/>
        <v>Carro de som com gravação de vinheta</v>
      </c>
      <c r="P120" s="138" t="str">
        <f t="shared" ca="1" si="82"/>
        <v>Horas</v>
      </c>
      <c r="Q120" s="134">
        <v>3</v>
      </c>
      <c r="R120" s="124">
        <f t="shared" ca="1" si="83"/>
        <v>200</v>
      </c>
      <c r="S120" s="136" t="s">
        <v>62</v>
      </c>
      <c r="T120" s="123">
        <f t="shared" ca="1" si="84"/>
        <v>250</v>
      </c>
      <c r="U120" s="126">
        <f t="shared" ca="1" si="85"/>
        <v>750</v>
      </c>
      <c r="V120" s="1"/>
      <c r="W120" s="39" t="str">
        <f ca="1">IF(OR($A120=0,$A120="S",$A120&gt;CFF!$A$9),"",MAX(W$11:OFFSET(W120,-1,0))+1)</f>
        <v/>
      </c>
      <c r="X120" s="4" t="str">
        <f t="shared" si="86"/>
        <v>Serv. Terc.-002</v>
      </c>
      <c r="Y120" s="39">
        <f t="shared" ca="1" si="90"/>
        <v>82</v>
      </c>
      <c r="Z120" s="1"/>
      <c r="AA120" s="133">
        <f>IF($J120=$G$2,ROUND(IF(ISNUMBER(S120),S120,IF(LEFT(S120,2)="DI",HLOOKUP(S120,DADOS!$T$29:$X$30,2,FALSE),0)),4),"")</f>
        <v>0.25</v>
      </c>
      <c r="AB120" s="2"/>
    </row>
    <row r="121" spans="1:28">
      <c r="A121" t="str">
        <f t="shared" si="87"/>
        <v>S</v>
      </c>
      <c r="B121">
        <f t="shared" si="88"/>
        <v>0</v>
      </c>
      <c r="C121">
        <f t="shared" ca="1" si="76"/>
        <v>2</v>
      </c>
      <c r="D121">
        <f t="shared" ca="1" si="77"/>
        <v>1</v>
      </c>
      <c r="E121">
        <f t="shared" ca="1" si="78"/>
        <v>0</v>
      </c>
      <c r="F121">
        <f t="shared" ca="1" si="79"/>
        <v>0</v>
      </c>
      <c r="G121">
        <f t="shared" ca="1" si="80"/>
        <v>7</v>
      </c>
      <c r="H121">
        <f ca="1">IF(OR($A121="S",$A121=0),0,MATCH(0,OFFSET($B121,1,$A121,ROW($A$1504)-ROW($A121)),0))</f>
        <v>0</v>
      </c>
      <c r="I121">
        <f ca="1">IF(OR($A121="S",$A121=0),0,MATCH(OFFSET($B121,0,$A121)+1,OFFSET($B121,1,$A121,ROW($A$1504)-ROW($A121)),0))</f>
        <v>0</v>
      </c>
      <c r="J121" s="132" t="s">
        <v>29</v>
      </c>
      <c r="K121" s="121" t="str">
        <f t="shared" ca="1" si="89"/>
        <v>2.1.7.</v>
      </c>
      <c r="L121" s="137" t="str">
        <f t="shared" ca="1" si="81"/>
        <v>Cotação</v>
      </c>
      <c r="M121" s="122" t="s">
        <v>80</v>
      </c>
      <c r="N121" s="139" t="s">
        <v>256</v>
      </c>
      <c r="O121" s="137" t="str">
        <f ca="1">IF(NOT(ISERROR($Y121)),IF($Y121&lt;&gt;FALSE,INDEX(Banco,$Y121,5),""),"")</f>
        <v>Instrutor/Monitor (Educação Fisíca)</v>
      </c>
      <c r="P121" s="138" t="str">
        <f t="shared" ca="1" si="82"/>
        <v>Horas</v>
      </c>
      <c r="Q121" s="134">
        <v>3</v>
      </c>
      <c r="R121" s="124">
        <f t="shared" ca="1" si="83"/>
        <v>100</v>
      </c>
      <c r="S121" s="136" t="s">
        <v>62</v>
      </c>
      <c r="T121" s="123">
        <f t="shared" ca="1" si="84"/>
        <v>125</v>
      </c>
      <c r="U121" s="126">
        <f t="shared" ca="1" si="85"/>
        <v>375</v>
      </c>
      <c r="V121" s="1"/>
      <c r="W121" s="39" t="str">
        <f ca="1">IF(OR($A121=0,$A121="S",$A121&gt;CFF!$A$9),"",MAX(W$11:OFFSET(W121,-1,0))+1)</f>
        <v/>
      </c>
      <c r="X121" s="4" t="str">
        <f t="shared" si="86"/>
        <v>Serv. Terc.-017</v>
      </c>
      <c r="Y121" s="39">
        <f t="shared" ca="1" si="90"/>
        <v>97</v>
      </c>
      <c r="Z121" s="1"/>
      <c r="AA121" s="133">
        <f>IF($J121=$G$2,ROUND(IF(ISNUMBER(S121),S121,IF(LEFT(S121,2)="DI",HLOOKUP(S121,DADOS!$T$29:$X$30,2,FALSE),0)),4),"")</f>
        <v>0.25</v>
      </c>
      <c r="AB121" s="2"/>
    </row>
    <row r="122" spans="1:28">
      <c r="A122" t="str">
        <f t="shared" si="87"/>
        <v>S</v>
      </c>
      <c r="B122">
        <f t="shared" si="88"/>
        <v>0</v>
      </c>
      <c r="C122">
        <f t="shared" ca="1" si="76"/>
        <v>2</v>
      </c>
      <c r="D122">
        <f t="shared" ca="1" si="77"/>
        <v>1</v>
      </c>
      <c r="E122">
        <f t="shared" ca="1" si="78"/>
        <v>0</v>
      </c>
      <c r="F122">
        <f t="shared" ca="1" si="79"/>
        <v>0</v>
      </c>
      <c r="G122">
        <f t="shared" ca="1" si="80"/>
        <v>8</v>
      </c>
      <c r="H122">
        <f ca="1">IF(OR($A122="S",$A122=0),0,MATCH(0,OFFSET($B122,1,$A122,ROW($A$1504)-ROW($A122)),0))</f>
        <v>0</v>
      </c>
      <c r="I122">
        <f ca="1">IF(OR($A122="S",$A122=0),0,MATCH(OFFSET($B122,0,$A122)+1,OFFSET($B122,1,$A122,ROW($A$1504)-ROW($A122)),0))</f>
        <v>0</v>
      </c>
      <c r="J122" s="132" t="s">
        <v>29</v>
      </c>
      <c r="K122" s="121" t="str">
        <f t="shared" ca="1" si="89"/>
        <v>2.1.8.</v>
      </c>
      <c r="L122" s="137" t="str">
        <f t="shared" ca="1" si="81"/>
        <v>Cotação</v>
      </c>
      <c r="M122" s="122" t="s">
        <v>80</v>
      </c>
      <c r="N122" s="139" t="s">
        <v>151</v>
      </c>
      <c r="O122" s="137" t="str">
        <f t="shared" ca="1" si="91"/>
        <v>Locação de mesas</v>
      </c>
      <c r="P122" s="138" t="str">
        <f t="shared" ca="1" si="82"/>
        <v>Unidade</v>
      </c>
      <c r="Q122" s="134">
        <v>20</v>
      </c>
      <c r="R122" s="124">
        <f t="shared" ca="1" si="83"/>
        <v>3</v>
      </c>
      <c r="S122" s="136" t="s">
        <v>62</v>
      </c>
      <c r="T122" s="123">
        <f t="shared" ca="1" si="84"/>
        <v>3.75</v>
      </c>
      <c r="U122" s="126">
        <f t="shared" ca="1" si="85"/>
        <v>75</v>
      </c>
      <c r="V122" s="1"/>
      <c r="W122" s="39" t="str">
        <f ca="1">IF(OR($A122=0,$A122="S",$A122&gt;CFF!$A$9),"",MAX(W$11:OFFSET(W122,-1,0))+1)</f>
        <v/>
      </c>
      <c r="X122" s="4" t="str">
        <f t="shared" si="86"/>
        <v>Serv. Terc.-003</v>
      </c>
      <c r="Y122" s="39">
        <f t="shared" ca="1" si="90"/>
        <v>83</v>
      </c>
      <c r="Z122" s="1"/>
      <c r="AA122" s="133">
        <f>IF($J122=$G$2,ROUND(IF(ISNUMBER(S122),S122,IF(LEFT(S122,2)="DI",HLOOKUP(S122,DADOS!$T$29:$X$30,2,FALSE),0)),4),"")</f>
        <v>0.25</v>
      </c>
      <c r="AB122" s="2"/>
    </row>
    <row r="123" spans="1:28">
      <c r="A123" t="str">
        <f t="shared" si="87"/>
        <v>S</v>
      </c>
      <c r="B123">
        <f t="shared" si="88"/>
        <v>0</v>
      </c>
      <c r="C123">
        <f t="shared" ca="1" si="76"/>
        <v>2</v>
      </c>
      <c r="D123">
        <f t="shared" ca="1" si="77"/>
        <v>1</v>
      </c>
      <c r="E123">
        <f t="shared" ca="1" si="78"/>
        <v>0</v>
      </c>
      <c r="F123">
        <f t="shared" ca="1" si="79"/>
        <v>0</v>
      </c>
      <c r="G123">
        <f t="shared" ca="1" si="80"/>
        <v>9</v>
      </c>
      <c r="H123">
        <f ca="1">IF(OR($A123="S",$A123=0),0,MATCH(0,OFFSET($B123,1,$A123,ROW($A$1504)-ROW($A123)),0))</f>
        <v>0</v>
      </c>
      <c r="I123">
        <f ca="1">IF(OR($A123="S",$A123=0),0,MATCH(OFFSET($B123,0,$A123)+1,OFFSET($B123,1,$A123,ROW($A$1504)-ROW($A123)),0))</f>
        <v>0</v>
      </c>
      <c r="J123" s="132" t="s">
        <v>29</v>
      </c>
      <c r="K123" s="121" t="str">
        <f t="shared" ca="1" si="89"/>
        <v>2.1.9.</v>
      </c>
      <c r="L123" s="137" t="str">
        <f t="shared" ca="1" si="81"/>
        <v>Cotação</v>
      </c>
      <c r="M123" s="122" t="s">
        <v>80</v>
      </c>
      <c r="N123" s="139" t="s">
        <v>153</v>
      </c>
      <c r="O123" s="137" t="str">
        <f t="shared" ca="1" si="91"/>
        <v>Locação de cadeiras</v>
      </c>
      <c r="P123" s="138" t="str">
        <f t="shared" ca="1" si="82"/>
        <v>Unidade</v>
      </c>
      <c r="Q123" s="134">
        <v>400</v>
      </c>
      <c r="R123" s="124">
        <f t="shared" ca="1" si="83"/>
        <v>2</v>
      </c>
      <c r="S123" s="136" t="s">
        <v>62</v>
      </c>
      <c r="T123" s="123">
        <f t="shared" ca="1" si="84"/>
        <v>2.5</v>
      </c>
      <c r="U123" s="126">
        <f t="shared" ca="1" si="85"/>
        <v>1000</v>
      </c>
      <c r="V123" s="1"/>
      <c r="W123" s="39" t="str">
        <f ca="1">IF(OR($A123=0,$A123="S",$A123&gt;CFF!$A$9),"",MAX(W$11:OFFSET(W123,-1,0))+1)</f>
        <v/>
      </c>
      <c r="X123" s="4" t="str">
        <f t="shared" si="86"/>
        <v>Serv. Terc.-004</v>
      </c>
      <c r="Y123" s="39">
        <f t="shared" ca="1" si="90"/>
        <v>84</v>
      </c>
      <c r="Z123" s="1"/>
      <c r="AA123" s="133">
        <f>IF($J123=$G$2,ROUND(IF(ISNUMBER(S123),S123,IF(LEFT(S123,2)="DI",HLOOKUP(S123,DADOS!$T$29:$X$30,2,FALSE),0)),4),"")</f>
        <v>0.25</v>
      </c>
      <c r="AB123" s="2"/>
    </row>
    <row r="124" spans="1:28">
      <c r="A124" t="str">
        <f t="shared" si="87"/>
        <v>S</v>
      </c>
      <c r="B124">
        <f t="shared" si="88"/>
        <v>0</v>
      </c>
      <c r="C124">
        <f t="shared" ca="1" si="76"/>
        <v>2</v>
      </c>
      <c r="D124">
        <f t="shared" ca="1" si="77"/>
        <v>1</v>
      </c>
      <c r="E124">
        <f t="shared" ca="1" si="78"/>
        <v>0</v>
      </c>
      <c r="F124">
        <f t="shared" ca="1" si="79"/>
        <v>0</v>
      </c>
      <c r="G124">
        <f t="shared" ca="1" si="80"/>
        <v>10</v>
      </c>
      <c r="H124">
        <f ca="1">IF(OR($A124="S",$A124=0),0,MATCH(0,OFFSET($B124,1,$A124,ROW($A$1504)-ROW($A124)),0))</f>
        <v>0</v>
      </c>
      <c r="I124">
        <f ca="1">IF(OR($A124="S",$A124=0),0,MATCH(OFFSET($B124,0,$A124)+1,OFFSET($B124,1,$A124,ROW($A$1504)-ROW($A124)),0))</f>
        <v>0</v>
      </c>
      <c r="J124" s="132" t="s">
        <v>29</v>
      </c>
      <c r="K124" s="121" t="str">
        <f t="shared" ca="1" si="89"/>
        <v>2.1.10.</v>
      </c>
      <c r="L124" s="137" t="str">
        <f t="shared" ca="1" si="81"/>
        <v>Cotação</v>
      </c>
      <c r="M124" s="122" t="s">
        <v>80</v>
      </c>
      <c r="N124" s="139" t="s">
        <v>154</v>
      </c>
      <c r="O124" s="137" t="str">
        <f t="shared" ca="1" si="91"/>
        <v>Locação de caixa térmica</v>
      </c>
      <c r="P124" s="138" t="str">
        <f t="shared" ca="1" si="82"/>
        <v>Unidade</v>
      </c>
      <c r="Q124" s="134">
        <v>2</v>
      </c>
      <c r="R124" s="124">
        <f t="shared" ca="1" si="83"/>
        <v>40</v>
      </c>
      <c r="S124" s="136" t="s">
        <v>62</v>
      </c>
      <c r="T124" s="123">
        <f t="shared" ca="1" si="84"/>
        <v>50</v>
      </c>
      <c r="U124" s="126">
        <f t="shared" ca="1" si="85"/>
        <v>100</v>
      </c>
      <c r="V124" s="1"/>
      <c r="W124" s="39" t="str">
        <f ca="1">IF(OR($A124=0,$A124="S",$A124&gt;CFF!$A$9),"",MAX(W$11:OFFSET(W124,-1,0))+1)</f>
        <v/>
      </c>
      <c r="X124" s="4" t="str">
        <f t="shared" si="86"/>
        <v>Serv. Terc.-005</v>
      </c>
      <c r="Y124" s="39">
        <f t="shared" ca="1" si="90"/>
        <v>85</v>
      </c>
      <c r="Z124" s="1"/>
      <c r="AA124" s="133">
        <f>IF($J124=$G$2,ROUND(IF(ISNUMBER(S124),S124,IF(LEFT(S124,2)="DI",HLOOKUP(S124,DADOS!$T$29:$X$30,2,FALSE),0)),4),"")</f>
        <v>0.25</v>
      </c>
      <c r="AB124" s="2"/>
    </row>
    <row r="125" spans="1:28">
      <c r="A125" t="str">
        <f t="shared" si="87"/>
        <v>S</v>
      </c>
      <c r="B125">
        <f t="shared" si="88"/>
        <v>0</v>
      </c>
      <c r="C125">
        <f t="shared" ca="1" si="76"/>
        <v>2</v>
      </c>
      <c r="D125">
        <f t="shared" ca="1" si="77"/>
        <v>1</v>
      </c>
      <c r="E125">
        <f t="shared" ca="1" si="78"/>
        <v>0</v>
      </c>
      <c r="F125">
        <f t="shared" ca="1" si="79"/>
        <v>0</v>
      </c>
      <c r="G125">
        <f t="shared" ca="1" si="80"/>
        <v>11</v>
      </c>
      <c r="H125">
        <f ca="1">IF(OR($A125="S",$A125=0),0,MATCH(0,OFFSET($B125,1,$A125,ROW($A$1504)-ROW($A125)),0))</f>
        <v>0</v>
      </c>
      <c r="I125">
        <f ca="1">IF(OR($A125="S",$A125=0),0,MATCH(OFFSET($B125,0,$A125)+1,OFFSET($B125,1,$A125,ROW($A$1504)-ROW($A125)),0))</f>
        <v>0</v>
      </c>
      <c r="J125" s="132" t="s">
        <v>29</v>
      </c>
      <c r="K125" s="121" t="str">
        <f t="shared" ca="1" si="89"/>
        <v>2.1.11.</v>
      </c>
      <c r="L125" s="137" t="str">
        <f t="shared" ca="1" si="81"/>
        <v>Cotação</v>
      </c>
      <c r="M125" s="122" t="s">
        <v>80</v>
      </c>
      <c r="N125" s="139" t="s">
        <v>155</v>
      </c>
      <c r="O125" s="137" t="str">
        <f t="shared" ca="1" si="91"/>
        <v>Locação de tendas</v>
      </c>
      <c r="P125" s="138" t="str">
        <f t="shared" ca="1" si="82"/>
        <v>Unidade</v>
      </c>
      <c r="Q125" s="134">
        <v>3</v>
      </c>
      <c r="R125" s="124">
        <f t="shared" ca="1" si="83"/>
        <v>250</v>
      </c>
      <c r="S125" s="136" t="s">
        <v>62</v>
      </c>
      <c r="T125" s="123">
        <f t="shared" ca="1" si="84"/>
        <v>312.5</v>
      </c>
      <c r="U125" s="126">
        <f t="shared" ca="1" si="85"/>
        <v>937.5</v>
      </c>
      <c r="V125" s="1"/>
      <c r="W125" s="39" t="str">
        <f ca="1">IF(OR($A125=0,$A125="S",$A125&gt;CFF!$A$9),"",MAX(W$11:OFFSET(W125,-1,0))+1)</f>
        <v/>
      </c>
      <c r="X125" s="4" t="str">
        <f t="shared" si="86"/>
        <v>Serv. Terc.-006</v>
      </c>
      <c r="Y125" s="39">
        <f t="shared" ca="1" si="90"/>
        <v>86</v>
      </c>
      <c r="Z125" s="1"/>
      <c r="AA125" s="133">
        <f>IF($J125=$G$2,ROUND(IF(ISNUMBER(S125),S125,IF(LEFT(S125,2)="DI",HLOOKUP(S125,DADOS!$T$29:$X$30,2,FALSE),0)),4),"")</f>
        <v>0.25</v>
      </c>
      <c r="AB125" s="2"/>
    </row>
    <row r="126" spans="1:28">
      <c r="A126" t="str">
        <f t="shared" si="87"/>
        <v>S</v>
      </c>
      <c r="B126">
        <f t="shared" si="88"/>
        <v>0</v>
      </c>
      <c r="C126">
        <f t="shared" ca="1" si="76"/>
        <v>2</v>
      </c>
      <c r="D126">
        <f t="shared" ca="1" si="77"/>
        <v>1</v>
      </c>
      <c r="E126">
        <f t="shared" ca="1" si="78"/>
        <v>0</v>
      </c>
      <c r="F126">
        <f t="shared" ca="1" si="79"/>
        <v>0</v>
      </c>
      <c r="G126">
        <f t="shared" ca="1" si="80"/>
        <v>12</v>
      </c>
      <c r="H126">
        <f ca="1">IF(OR($A126="S",$A126=0),0,MATCH(0,OFFSET($B126,1,$A126,ROW($A$1504)-ROW($A126)),0))</f>
        <v>0</v>
      </c>
      <c r="I126">
        <f ca="1">IF(OR($A126="S",$A126=0),0,MATCH(OFFSET($B126,0,$A126)+1,OFFSET($B126,1,$A126,ROW($A$1504)-ROW($A126)),0))</f>
        <v>0</v>
      </c>
      <c r="J126" s="132" t="s">
        <v>29</v>
      </c>
      <c r="K126" s="121" t="str">
        <f t="shared" ca="1" si="89"/>
        <v>2.1.12.</v>
      </c>
      <c r="L126" s="137" t="str">
        <f t="shared" ca="1" si="81"/>
        <v>Cotação</v>
      </c>
      <c r="M126" s="122" t="s">
        <v>80</v>
      </c>
      <c r="N126" s="139" t="s">
        <v>157</v>
      </c>
      <c r="O126" s="137" t="str">
        <f t="shared" ca="1" si="91"/>
        <v>Locação de pula-pula com monitor</v>
      </c>
      <c r="P126" s="138" t="str">
        <f t="shared" ca="1" si="82"/>
        <v>Unidade</v>
      </c>
      <c r="Q126" s="134">
        <v>2</v>
      </c>
      <c r="R126" s="124">
        <f t="shared" ca="1" si="83"/>
        <v>220</v>
      </c>
      <c r="S126" s="136" t="s">
        <v>62</v>
      </c>
      <c r="T126" s="123">
        <f t="shared" ca="1" si="84"/>
        <v>275</v>
      </c>
      <c r="U126" s="126">
        <f t="shared" ca="1" si="85"/>
        <v>550</v>
      </c>
      <c r="V126" s="1"/>
      <c r="W126" s="39" t="str">
        <f ca="1">IF(OR($A126=0,$A126="S",$A126&gt;CFF!$A$9),"",MAX(W$11:OFFSET(W126,-1,0))+1)</f>
        <v/>
      </c>
      <c r="X126" s="4" t="str">
        <f t="shared" si="86"/>
        <v>Serv. Terc.-008</v>
      </c>
      <c r="Y126" s="39">
        <f t="shared" ca="1" si="90"/>
        <v>88</v>
      </c>
      <c r="Z126" s="1"/>
      <c r="AA126" s="133">
        <f>IF($J126=$G$2,ROUND(IF(ISNUMBER(S126),S126,IF(LEFT(S126,2)="DI",HLOOKUP(S126,DADOS!$T$29:$X$30,2,FALSE),0)),4),"")</f>
        <v>0.25</v>
      </c>
      <c r="AB126" s="2"/>
    </row>
    <row r="127" spans="1:28">
      <c r="A127" t="str">
        <f t="shared" si="87"/>
        <v>S</v>
      </c>
      <c r="B127">
        <f t="shared" si="88"/>
        <v>0</v>
      </c>
      <c r="C127">
        <f t="shared" ca="1" si="76"/>
        <v>2</v>
      </c>
      <c r="D127">
        <f t="shared" ca="1" si="77"/>
        <v>1</v>
      </c>
      <c r="E127">
        <f t="shared" ca="1" si="78"/>
        <v>0</v>
      </c>
      <c r="F127">
        <f t="shared" ca="1" si="79"/>
        <v>0</v>
      </c>
      <c r="G127">
        <f t="shared" ca="1" si="80"/>
        <v>13</v>
      </c>
      <c r="H127">
        <f ca="1">IF(OR($A127="S",$A127=0),0,MATCH(0,OFFSET($B127,1,$A127,ROW($A$1504)-ROW($A127)),0))</f>
        <v>0</v>
      </c>
      <c r="I127">
        <f ca="1">IF(OR($A127="S",$A127=0),0,MATCH(OFFSET($B127,0,$A127)+1,OFFSET($B127,1,$A127,ROW($A$1504)-ROW($A127)),0))</f>
        <v>0</v>
      </c>
      <c r="J127" s="132" t="s">
        <v>29</v>
      </c>
      <c r="K127" s="121" t="str">
        <f t="shared" ca="1" si="89"/>
        <v>2.1.13.</v>
      </c>
      <c r="L127" s="137" t="str">
        <f t="shared" ca="1" si="81"/>
        <v>Cotação</v>
      </c>
      <c r="M127" s="122" t="s">
        <v>80</v>
      </c>
      <c r="N127" s="139" t="s">
        <v>161</v>
      </c>
      <c r="O127" s="137" t="str">
        <f ca="1">IF(NOT(ISERROR($Y127)),IF($Y127&lt;&gt;FALSE,INDEX(Banco,$Y127,5),""),"")</f>
        <v>Água (garrafão de 20 litros)</v>
      </c>
      <c r="P127" s="138" t="str">
        <f t="shared" ca="1" si="82"/>
        <v>Unidade</v>
      </c>
      <c r="Q127" s="134">
        <v>2</v>
      </c>
      <c r="R127" s="124">
        <f t="shared" ca="1" si="83"/>
        <v>10</v>
      </c>
      <c r="S127" s="136" t="s">
        <v>62</v>
      </c>
      <c r="T127" s="123">
        <f t="shared" ca="1" si="84"/>
        <v>12.5</v>
      </c>
      <c r="U127" s="126">
        <f t="shared" ca="1" si="85"/>
        <v>25</v>
      </c>
      <c r="V127" s="1"/>
      <c r="W127" s="39" t="str">
        <f ca="1">IF(OR($A127=0,$A127="S",$A127&gt;CFF!$A$9),"",MAX(W$11:OFFSET(W127,-1,0))+1)</f>
        <v/>
      </c>
      <c r="X127" s="4" t="str">
        <f t="shared" si="86"/>
        <v>Serv. Terc.-012</v>
      </c>
      <c r="Y127" s="39">
        <f t="shared" ca="1" si="90"/>
        <v>92</v>
      </c>
      <c r="Z127" s="1"/>
      <c r="AA127" s="133">
        <f>IF($J127=$G$2,ROUND(IF(ISNUMBER(S127),S127,IF(LEFT(S127,2)="DI",HLOOKUP(S127,DADOS!$T$29:$X$30,2,FALSE),0)),4),"")</f>
        <v>0.25</v>
      </c>
      <c r="AB127" s="2"/>
    </row>
    <row r="128" spans="1:28">
      <c r="A128" t="str">
        <f t="shared" si="87"/>
        <v>S</v>
      </c>
      <c r="B128">
        <f t="shared" si="88"/>
        <v>0</v>
      </c>
      <c r="C128">
        <f t="shared" ca="1" si="76"/>
        <v>2</v>
      </c>
      <c r="D128">
        <f t="shared" ca="1" si="77"/>
        <v>1</v>
      </c>
      <c r="E128">
        <f t="shared" ca="1" si="78"/>
        <v>0</v>
      </c>
      <c r="F128">
        <f t="shared" ca="1" si="79"/>
        <v>0</v>
      </c>
      <c r="G128">
        <f t="shared" ca="1" si="80"/>
        <v>14</v>
      </c>
      <c r="H128">
        <f ca="1">IF(OR($A128="S",$A128=0),0,MATCH(0,OFFSET($B128,1,$A128,ROW($A$1504)-ROW($A128)),0))</f>
        <v>0</v>
      </c>
      <c r="I128">
        <f ca="1">IF(OR($A128="S",$A128=0),0,MATCH(OFFSET($B128,0,$A128)+1,OFFSET($B128,1,$A128,ROW($A$1504)-ROW($A128)),0))</f>
        <v>0</v>
      </c>
      <c r="J128" s="132" t="s">
        <v>29</v>
      </c>
      <c r="K128" s="121" t="str">
        <f t="shared" ca="1" si="89"/>
        <v>2.1.14.</v>
      </c>
      <c r="L128" s="137" t="str">
        <f t="shared" ca="1" si="81"/>
        <v xml:space="preserve">Cotação </v>
      </c>
      <c r="M128" s="122" t="s">
        <v>80</v>
      </c>
      <c r="N128" s="139" t="s">
        <v>160</v>
      </c>
      <c r="O128" s="137" t="str">
        <f ca="1">IF(NOT(ISERROR($Y128)),IF($Y128&lt;&gt;FALSE,INDEX(Banco,$Y128,5),""),"")</f>
        <v>Barra de gelo</v>
      </c>
      <c r="P128" s="138" t="str">
        <f t="shared" ca="1" si="82"/>
        <v>Unidade</v>
      </c>
      <c r="Q128" s="134">
        <v>4</v>
      </c>
      <c r="R128" s="124">
        <f t="shared" ca="1" si="83"/>
        <v>12</v>
      </c>
      <c r="S128" s="136" t="s">
        <v>62</v>
      </c>
      <c r="T128" s="123">
        <f t="shared" ca="1" si="84"/>
        <v>15</v>
      </c>
      <c r="U128" s="126">
        <f t="shared" ca="1" si="85"/>
        <v>60</v>
      </c>
      <c r="V128" s="1"/>
      <c r="W128" s="39" t="str">
        <f ca="1">IF(OR($A128=0,$A128="S",$A128&gt;CFF!$A$9),"",MAX(W$11:OFFSET(W128,-1,0))+1)</f>
        <v/>
      </c>
      <c r="X128" s="4" t="str">
        <f t="shared" si="86"/>
        <v>Serv. Terc.-011</v>
      </c>
      <c r="Y128" s="39">
        <f t="shared" ca="1" si="90"/>
        <v>91</v>
      </c>
      <c r="Z128" s="1"/>
      <c r="AA128" s="133">
        <f>IF($J128=$G$2,ROUND(IF(ISNUMBER(S128),S128,IF(LEFT(S128,2)="DI",HLOOKUP(S128,DADOS!$T$29:$X$30,2,FALSE),0)),4),"")</f>
        <v>0.25</v>
      </c>
      <c r="AB128" s="2"/>
    </row>
    <row r="129" spans="1:28">
      <c r="A129" t="str">
        <f t="shared" si="87"/>
        <v>S</v>
      </c>
      <c r="B129">
        <f t="shared" si="88"/>
        <v>0</v>
      </c>
      <c r="C129">
        <f t="shared" ca="1" si="76"/>
        <v>2</v>
      </c>
      <c r="D129">
        <f t="shared" ca="1" si="77"/>
        <v>1</v>
      </c>
      <c r="E129">
        <f t="shared" ca="1" si="78"/>
        <v>0</v>
      </c>
      <c r="F129">
        <f t="shared" ca="1" si="79"/>
        <v>0</v>
      </c>
      <c r="G129">
        <f t="shared" ca="1" si="80"/>
        <v>15</v>
      </c>
      <c r="H129">
        <f ca="1">IF(OR($A129="S",$A129=0),0,MATCH(0,OFFSET($B129,1,$A129,ROW($A$1504)-ROW($A129)),0))</f>
        <v>0</v>
      </c>
      <c r="I129">
        <f ca="1">IF(OR($A129="S",$A129=0),0,MATCH(OFFSET($B129,0,$A129)+1,OFFSET($B129,1,$A129,ROW($A$1504)-ROW($A129)),0))</f>
        <v>0</v>
      </c>
      <c r="J129" s="132" t="s">
        <v>29</v>
      </c>
      <c r="K129" s="121" t="str">
        <f t="shared" ca="1" si="89"/>
        <v>2.1.15.</v>
      </c>
      <c r="L129" s="137" t="str">
        <f t="shared" ca="1" si="81"/>
        <v>Cotação</v>
      </c>
      <c r="M129" s="122" t="s">
        <v>80</v>
      </c>
      <c r="N129" s="139" t="s">
        <v>150</v>
      </c>
      <c r="O129" s="137" t="str">
        <f ca="1">IF(NOT(ISERROR($Y129)),IF($Y129&lt;&gt;FALSE,INDEX(Banco,$Y129,5),""),"")</f>
        <v>Sucos</v>
      </c>
      <c r="P129" s="138" t="str">
        <f t="shared" ca="1" si="82"/>
        <v>Unidade</v>
      </c>
      <c r="Q129" s="134">
        <v>12</v>
      </c>
      <c r="R129" s="124">
        <f t="shared" ca="1" si="83"/>
        <v>6.4</v>
      </c>
      <c r="S129" s="136" t="s">
        <v>62</v>
      </c>
      <c r="T129" s="123">
        <f t="shared" ca="1" si="84"/>
        <v>8</v>
      </c>
      <c r="U129" s="126">
        <f t="shared" ca="1" si="85"/>
        <v>96</v>
      </c>
      <c r="V129" s="1"/>
      <c r="W129" s="39" t="str">
        <f ca="1">IF(OR($A129=0,$A129="S",$A129&gt;CFF!$A$9),"",MAX(W$11:OFFSET(W129,-1,0))+1)</f>
        <v/>
      </c>
      <c r="X129" s="4" t="str">
        <f t="shared" si="86"/>
        <v>Serv. Terc.-013</v>
      </c>
      <c r="Y129" s="39">
        <f t="shared" ca="1" si="90"/>
        <v>93</v>
      </c>
      <c r="Z129" s="1"/>
      <c r="AA129" s="133">
        <f>IF($J129=$G$2,ROUND(IF(ISNUMBER(S129),S129,IF(LEFT(S129,2)="DI",HLOOKUP(S129,DADOS!$T$29:$X$30,2,FALSE),0)),4),"")</f>
        <v>0.25</v>
      </c>
      <c r="AB129" s="2"/>
    </row>
    <row r="130" spans="1:28">
      <c r="A130" t="str">
        <f t="shared" si="87"/>
        <v>S</v>
      </c>
      <c r="B130">
        <f t="shared" si="88"/>
        <v>0</v>
      </c>
      <c r="C130">
        <f t="shared" ca="1" si="76"/>
        <v>2</v>
      </c>
      <c r="D130">
        <f t="shared" ca="1" si="77"/>
        <v>1</v>
      </c>
      <c r="E130">
        <f t="shared" ca="1" si="78"/>
        <v>0</v>
      </c>
      <c r="F130">
        <f t="shared" ca="1" si="79"/>
        <v>0</v>
      </c>
      <c r="G130">
        <f t="shared" ca="1" si="80"/>
        <v>16</v>
      </c>
      <c r="H130">
        <f ca="1">IF(OR($A130="S",$A130=0),0,MATCH(0,OFFSET($B130,1,$A130,ROW($A$1504)-ROW($A130)),0))</f>
        <v>0</v>
      </c>
      <c r="I130">
        <f ca="1">IF(OR($A130="S",$A130=0),0,MATCH(OFFSET($B130,0,$A130)+1,OFFSET($B130,1,$A130,ROW($A$1504)-ROW($A130)),0))</f>
        <v>0</v>
      </c>
      <c r="J130" s="132" t="s">
        <v>29</v>
      </c>
      <c r="K130" s="121" t="str">
        <f t="shared" ca="1" si="89"/>
        <v>2.1.16.</v>
      </c>
      <c r="L130" s="137" t="str">
        <f t="shared" ca="1" si="81"/>
        <v>Cotação</v>
      </c>
      <c r="M130" s="122" t="s">
        <v>80</v>
      </c>
      <c r="N130" s="139" t="s">
        <v>171</v>
      </c>
      <c r="O130" s="137" t="str">
        <f ca="1">IF(NOT(ISERROR($Y130)),IF($Y130&lt;&gt;FALSE,INDEX(Banco,$Y130,5),""),"")</f>
        <v xml:space="preserve">Refrigerantes (02 litros) </v>
      </c>
      <c r="P130" s="138" t="str">
        <f t="shared" ca="1" si="82"/>
        <v>Unidade</v>
      </c>
      <c r="Q130" s="134">
        <v>20</v>
      </c>
      <c r="R130" s="124">
        <f t="shared" ca="1" si="83"/>
        <v>6</v>
      </c>
      <c r="S130" s="136" t="s">
        <v>62</v>
      </c>
      <c r="T130" s="123">
        <f t="shared" ca="1" si="84"/>
        <v>7.5</v>
      </c>
      <c r="U130" s="126">
        <f t="shared" ca="1" si="85"/>
        <v>150</v>
      </c>
      <c r="V130" s="1"/>
      <c r="W130" s="39" t="str">
        <f ca="1">IF(OR($A130=0,$A130="S",$A130&gt;CFF!$A$9),"",MAX(W$11:OFFSET(W130,-1,0))+1)</f>
        <v/>
      </c>
      <c r="X130" s="4" t="str">
        <f t="shared" si="86"/>
        <v>Serv. Terc.-027</v>
      </c>
      <c r="Y130" s="39">
        <f t="shared" ca="1" si="90"/>
        <v>107</v>
      </c>
      <c r="Z130" s="1"/>
      <c r="AA130" s="133">
        <f>IF($J130=$G$2,ROUND(IF(ISNUMBER(S130),S130,IF(LEFT(S130,2)="DI",HLOOKUP(S130,DADOS!$T$29:$X$30,2,FALSE),0)),4),"")</f>
        <v>0.25</v>
      </c>
      <c r="AB130" s="2"/>
    </row>
    <row r="131" spans="1:28">
      <c r="A131" t="str">
        <f t="shared" si="87"/>
        <v>S</v>
      </c>
      <c r="B131">
        <f t="shared" si="88"/>
        <v>0</v>
      </c>
      <c r="C131">
        <f t="shared" ca="1" si="76"/>
        <v>2</v>
      </c>
      <c r="D131">
        <f t="shared" ca="1" si="77"/>
        <v>1</v>
      </c>
      <c r="E131">
        <f t="shared" ca="1" si="78"/>
        <v>0</v>
      </c>
      <c r="F131">
        <f t="shared" ca="1" si="79"/>
        <v>0</v>
      </c>
      <c r="G131">
        <f t="shared" ca="1" si="80"/>
        <v>17</v>
      </c>
      <c r="H131">
        <f ca="1">IF(OR($A131="S",$A131=0),0,MATCH(0,OFFSET($B131,1,$A131,ROW($A$1504)-ROW($A131)),0))</f>
        <v>0</v>
      </c>
      <c r="I131">
        <f ca="1">IF(OR($A131="S",$A131=0),0,MATCH(OFFSET($B131,0,$A131)+1,OFFSET($B131,1,$A131,ROW($A$1504)-ROW($A131)),0))</f>
        <v>0</v>
      </c>
      <c r="J131" s="132" t="s">
        <v>29</v>
      </c>
      <c r="K131" s="121" t="str">
        <f t="shared" ca="1" si="89"/>
        <v>2.1.17.</v>
      </c>
      <c r="L131" s="137" t="str">
        <f t="shared" ca="1" si="81"/>
        <v xml:space="preserve">Cotação </v>
      </c>
      <c r="M131" s="122" t="s">
        <v>80</v>
      </c>
      <c r="N131" s="139" t="s">
        <v>159</v>
      </c>
      <c r="O131" s="137" t="str">
        <f t="shared" ca="1" si="91"/>
        <v>Brindes ( descrição nos orçamentos e PTS)</v>
      </c>
      <c r="P131" s="138" t="str">
        <f t="shared" ca="1" si="82"/>
        <v>Unidade</v>
      </c>
      <c r="Q131" s="134">
        <v>8</v>
      </c>
      <c r="R131" s="124">
        <f t="shared" ca="1" si="83"/>
        <v>120</v>
      </c>
      <c r="S131" s="136" t="s">
        <v>62</v>
      </c>
      <c r="T131" s="123">
        <f t="shared" ca="1" si="84"/>
        <v>150</v>
      </c>
      <c r="U131" s="126">
        <f t="shared" ca="1" si="85"/>
        <v>1200</v>
      </c>
      <c r="V131" s="1"/>
      <c r="W131" s="39" t="str">
        <f ca="1">IF(OR($A131=0,$A131="S",$A131&gt;CFF!$A$9),"",MAX(W$11:OFFSET(W131,-1,0))+1)</f>
        <v/>
      </c>
      <c r="X131" s="4" t="str">
        <f t="shared" si="86"/>
        <v>Serv. Terc.-010</v>
      </c>
      <c r="Y131" s="39">
        <f t="shared" ca="1" si="90"/>
        <v>90</v>
      </c>
      <c r="Z131" s="1"/>
      <c r="AA131" s="133">
        <f>IF($J131=$G$2,ROUND(IF(ISNUMBER(S131),S131,IF(LEFT(S131,2)="DI",HLOOKUP(S131,DADOS!$T$29:$X$30,2,FALSE),0)),4),"")</f>
        <v>0.25</v>
      </c>
      <c r="AB131" s="2"/>
    </row>
    <row r="132" spans="1:28">
      <c r="A132" t="str">
        <f t="shared" ref="A132:A137" si="92">CHOOSE(1+LOG(1+2*(J132=$C$2)+4*(J132=$D$2)+8*(J132=$E$2)+16*(J132=$F$2)+32*(J132=$G$2),2),0,1,2,3,4,"S")</f>
        <v>S</v>
      </c>
      <c r="B132">
        <f t="shared" ref="B132:B137" si="93">IF(OR(A132="S",A132=0),0,IF(ISERROR(I132),H132,SMALL(H132:I132,1)))</f>
        <v>0</v>
      </c>
      <c r="C132">
        <f t="shared" ref="C132:C137" ca="1" si="94">IF($A132=1,OFFSET(C132,-1,0)+1,OFFSET(C132,-1,0))</f>
        <v>2</v>
      </c>
      <c r="D132">
        <f t="shared" ref="D132:D137" ca="1" si="95">IF($A132=1,0,IF($A132=2,OFFSET(D132,-1,0)+1,OFFSET(D132,-1,0)))</f>
        <v>1</v>
      </c>
      <c r="E132">
        <f t="shared" ref="E132:E137" ca="1" si="96">IF(AND($A132&lt;=2,$A132&lt;&gt;0),0,IF($A132=3,OFFSET(E132,-1,0)+1,OFFSET(E132,-1,0)))</f>
        <v>0</v>
      </c>
      <c r="F132">
        <f t="shared" ref="F132:F137" ca="1" si="97">IF(AND($A132&lt;=3,$A132&lt;&gt;0),0,IF($A132=4,OFFSET(F132,-1,0)+1,OFFSET(F132,-1,0)))</f>
        <v>0</v>
      </c>
      <c r="G132">
        <f t="shared" ref="G132:G137" ca="1" si="98">IF(AND($A132&lt;=4,$A132&lt;&gt;0),0,IF($A132="S",OFFSET(G132,-1,0)+1,OFFSET(G132,-1,0)))</f>
        <v>18</v>
      </c>
      <c r="H132">
        <f ca="1">IF(OR($A132="S",$A132=0),0,MATCH(0,OFFSET($B132,1,$A132,ROW($A$1504)-ROW($A132)),0))</f>
        <v>0</v>
      </c>
      <c r="I132">
        <f ca="1">IF(OR($A132="S",$A132=0),0,MATCH(OFFSET($B132,0,$A132)+1,OFFSET($B132,1,$A132,ROW($A$1504)-ROW($A132)),0))</f>
        <v>0</v>
      </c>
      <c r="J132" s="132" t="s">
        <v>29</v>
      </c>
      <c r="K132" s="121" t="str">
        <f t="shared" ref="K132:K137" ca="1" si="99">IF($A132=0,"-",CONCATENATE(C132&amp;".",IF(AND($A$5&gt;=2,$A132&gt;=2),D132&amp;".",""),IF(AND($A$5&gt;=3,$A132&gt;=3),E132&amp;".",""),IF(AND($A$5&gt;=4,$A132&gt;=4),F132&amp;".",""),IF($A132="S",G132&amp;".","")))</f>
        <v>2.1.18.</v>
      </c>
      <c r="L132" s="137" t="str">
        <f t="shared" ref="L132:L137" ca="1" si="100">IF(NOT(ISERROR($Y132)),IF($Y132&lt;&gt;FALSE,INDEX(Banco,$Y132,4),""),"")</f>
        <v>Cotação</v>
      </c>
      <c r="M132" s="122" t="s">
        <v>80</v>
      </c>
      <c r="N132" s="139" t="s">
        <v>162</v>
      </c>
      <c r="O132" s="137" t="str">
        <f t="shared" ca="1" si="91"/>
        <v>Coffee break (salgados)</v>
      </c>
      <c r="P132" s="138" t="str">
        <f t="shared" ref="P132:P137" ca="1" si="101">IF(NOT(ISERROR($Y132)),IF($Y132&lt;&gt;FALSE,INDEX(Banco,$Y132,6),""),"")</f>
        <v>Centro</v>
      </c>
      <c r="Q132" s="134">
        <v>15</v>
      </c>
      <c r="R132" s="124">
        <f t="shared" ref="R132:R137" ca="1" si="102">IF(NOT(ISERROR($Y132)),IF($Y132&lt;&gt;FALSE,INDEX(Banco,$Y132,7),0),0)</f>
        <v>65</v>
      </c>
      <c r="S132" s="136" t="s">
        <v>62</v>
      </c>
      <c r="T132" s="123">
        <f t="shared" ref="T132:T137" ca="1" si="103">IF($J132=$G$2,ROUND(ROUND($R132,2)*IF($R$9="Preço Unitário (R$)",1,1+$AA132),2),0)</f>
        <v>81.25</v>
      </c>
      <c r="U132" s="126">
        <f t="shared" ref="U132:U137" ca="1" si="104">IF($A132="S",VTOTAL1,IF($A132=0,0,ROUND(SomaAgrup,2)))</f>
        <v>1218.75</v>
      </c>
      <c r="V132" s="1"/>
      <c r="W132" s="39" t="str">
        <f ca="1">IF(OR($A132=0,$A132="S",$A132&gt;CFF!$A$9),"",MAX(W$11:OFFSET(W132,-1,0))+1)</f>
        <v/>
      </c>
      <c r="X132" s="4" t="str">
        <f t="shared" ref="X132:X137" si="105">IF(AND($J132=$G$2,$N132&lt;&gt;"",$M132&lt;&gt;""),CONCATENATE($M132,"-",$N132))</f>
        <v>Serv. Terc.-015</v>
      </c>
      <c r="Y132" s="39">
        <f t="shared" ref="Y132:Y137" ca="1" si="106">IF(X132&lt;&gt;FALSE,MATCH(X132,OFFSET(Banco,0,0,,1),0))</f>
        <v>95</v>
      </c>
      <c r="Z132" s="1"/>
      <c r="AA132" s="133">
        <f>IF($J132=$G$2,ROUND(IF(ISNUMBER(S132),S132,IF(LEFT(S132,2)="DI",HLOOKUP(S132,DADOS!$T$29:$X$30,2,FALSE),0)),4),"")</f>
        <v>0.25</v>
      </c>
      <c r="AB132" s="2"/>
    </row>
    <row r="133" spans="1:28">
      <c r="A133" t="str">
        <f>CHOOSE(1+LOG(1+2*(J133=$C$2)+4*(J133=$D$2)+8*(J133=$E$2)+16*(J133=$F$2)+32*(J133=$G$2),2),0,1,2,3,4,"S")</f>
        <v>S</v>
      </c>
      <c r="B133">
        <f>IF(OR(A133="S",A133=0),0,IF(ISERROR(I133),H133,SMALL(H133:I133,1)))</f>
        <v>0</v>
      </c>
      <c r="C133">
        <f ca="1">IF($A133=1,OFFSET(C133,-1,0)+1,OFFSET(C133,-1,0))</f>
        <v>2</v>
      </c>
      <c r="D133">
        <f ca="1">IF($A133=1,0,IF($A133=2,OFFSET(D133,-1,0)+1,OFFSET(D133,-1,0)))</f>
        <v>1</v>
      </c>
      <c r="E133">
        <f ca="1">IF(AND($A133&lt;=2,$A133&lt;&gt;0),0,IF($A133=3,OFFSET(E133,-1,0)+1,OFFSET(E133,-1,0)))</f>
        <v>0</v>
      </c>
      <c r="F133">
        <f ca="1">IF(AND($A133&lt;=3,$A133&lt;&gt;0),0,IF($A133=4,OFFSET(F133,-1,0)+1,OFFSET(F133,-1,0)))</f>
        <v>0</v>
      </c>
      <c r="G133">
        <f ca="1">IF(AND($A133&lt;=4,$A133&lt;&gt;0),0,IF($A133="S",OFFSET(G133,-1,0)+1,OFFSET(G133,-1,0)))</f>
        <v>19</v>
      </c>
      <c r="H133">
        <f ca="1">IF(OR($A133="S",$A133=0),0,MATCH(0,OFFSET($B133,1,$A133,ROW($A$1504)-ROW($A133)),0))</f>
        <v>0</v>
      </c>
      <c r="I133">
        <f ca="1">IF(OR($A133="S",$A133=0),0,MATCH(OFFSET($B133,0,$A133)+1,OFFSET($B133,1,$A133,ROW($A$1504)-ROW($A133)),0))</f>
        <v>0</v>
      </c>
      <c r="J133" s="132" t="s">
        <v>29</v>
      </c>
      <c r="K133" s="121" t="str">
        <f ca="1">IF($A133=0,"-",CONCATENATE(C133&amp;".",IF(AND($A$5&gt;=2,$A133&gt;=2),D133&amp;".",""),IF(AND($A$5&gt;=3,$A133&gt;=3),E133&amp;".",""),IF(AND($A$5&gt;=4,$A133&gt;=4),F133&amp;".",""),IF($A133="S",G133&amp;".","")))</f>
        <v>2.1.19.</v>
      </c>
      <c r="L133" s="137" t="str">
        <f ca="1">IF(NOT(ISERROR($Y133)),IF($Y133&lt;&gt;FALSE,INDEX(Banco,$Y133,4),""),"")</f>
        <v>Cotação</v>
      </c>
      <c r="M133" s="122" t="s">
        <v>79</v>
      </c>
      <c r="N133" s="139" t="s">
        <v>164</v>
      </c>
      <c r="O133" s="137" t="str">
        <f ca="1">IF(NOT(ISERROR($Y133)),IF($Y133&lt;&gt;FALSE,INDEX(Banco,$Y133,5),""),"")</f>
        <v>Copos descartáveis (2500 unidades)</v>
      </c>
      <c r="P133" s="138" t="str">
        <f ca="1">IF(NOT(ISERROR($Y133)),IF($Y133&lt;&gt;FALSE,INDEX(Banco,$Y133,6),""),"")</f>
        <v>Caixa</v>
      </c>
      <c r="Q133" s="134">
        <v>1</v>
      </c>
      <c r="R133" s="124">
        <f ca="1">IF(NOT(ISERROR($Y133)),IF($Y133&lt;&gt;FALSE,INDEX(Banco,$Y133,7),0),0)</f>
        <v>77.400000000000006</v>
      </c>
      <c r="S133" s="136" t="s">
        <v>62</v>
      </c>
      <c r="T133" s="123">
        <f ca="1">IF($J133=$G$2,ROUND(ROUND($R133,2)*IF($R$9="Preço Unitário (R$)",1,1+$AA133),2),0)</f>
        <v>96.75</v>
      </c>
      <c r="U133" s="126">
        <f ca="1">IF($A133="S",VTOTAL1,IF($A133=0,0,ROUND(SomaAgrup,2)))</f>
        <v>96.75</v>
      </c>
      <c r="V133" s="1"/>
      <c r="W133" s="39" t="str">
        <f ca="1">IF(OR($A133=0,$A133="S",$A133&gt;CFF!$A$9),"",MAX(W$11:OFFSET(W133,-1,0))+1)</f>
        <v/>
      </c>
      <c r="X133" s="4" t="str">
        <f>IF(AND($J133=$G$2,$N133&lt;&gt;"",$M133&lt;&gt;""),CONCATENATE($M133,"-",$N133))</f>
        <v>Rec. Materiais-019</v>
      </c>
      <c r="Y133" s="39">
        <f ca="1">IF(X133&lt;&gt;FALSE,MATCH(X133,OFFSET(Banco,0,0,,1),0))</f>
        <v>28</v>
      </c>
      <c r="Z133" s="1"/>
      <c r="AA133" s="133">
        <f>IF($J133=$G$2,ROUND(IF(ISNUMBER(S133),S133,IF(LEFT(S133,2)="DI",HLOOKUP(S133,DADOS!$T$29:$X$30,2,FALSE),0)),4),"")</f>
        <v>0.25</v>
      </c>
      <c r="AB133" s="2"/>
    </row>
    <row r="134" spans="1:28">
      <c r="A134" t="str">
        <f>CHOOSE(1+LOG(1+2*(J134=$C$2)+4*(J134=$D$2)+8*(J134=$E$2)+16*(J134=$F$2)+32*(J134=$G$2),2),0,1,2,3,4,"S")</f>
        <v>S</v>
      </c>
      <c r="B134">
        <f>IF(OR(A134="S",A134=0),0,IF(ISERROR(I134),H134,SMALL(H134:I134,1)))</f>
        <v>0</v>
      </c>
      <c r="C134">
        <f ca="1">IF($A134=1,OFFSET(C134,-1,0)+1,OFFSET(C134,-1,0))</f>
        <v>2</v>
      </c>
      <c r="D134">
        <f ca="1">IF($A134=1,0,IF($A134=2,OFFSET(D134,-1,0)+1,OFFSET(D134,-1,0)))</f>
        <v>1</v>
      </c>
      <c r="E134">
        <f ca="1">IF(AND($A134&lt;=2,$A134&lt;&gt;0),0,IF($A134=3,OFFSET(E134,-1,0)+1,OFFSET(E134,-1,0)))</f>
        <v>0</v>
      </c>
      <c r="F134">
        <f ca="1">IF(AND($A134&lt;=3,$A134&lt;&gt;0),0,IF($A134=4,OFFSET(F134,-1,0)+1,OFFSET(F134,-1,0)))</f>
        <v>0</v>
      </c>
      <c r="G134">
        <f ca="1">IF(AND($A134&lt;=4,$A134&lt;&gt;0),0,IF($A134="S",OFFSET(G134,-1,0)+1,OFFSET(G134,-1,0)))</f>
        <v>20</v>
      </c>
      <c r="H134">
        <f ca="1">IF(OR($A134="S",$A134=0),0,MATCH(0,OFFSET($B134,1,$A134,ROW($A$1504)-ROW($A134)),0))</f>
        <v>0</v>
      </c>
      <c r="I134">
        <f ca="1">IF(OR($A134="S",$A134=0),0,MATCH(OFFSET($B134,0,$A134)+1,OFFSET($B134,1,$A134,ROW($A$1504)-ROW($A134)),0))</f>
        <v>0</v>
      </c>
      <c r="J134" s="132" t="s">
        <v>29</v>
      </c>
      <c r="K134" s="121" t="str">
        <f ca="1">IF($A134=0,"-",CONCATENATE(C134&amp;".",IF(AND($A$5&gt;=2,$A134&gt;=2),D134&amp;".",""),IF(AND($A$5&gt;=3,$A134&gt;=3),E134&amp;".",""),IF(AND($A$5&gt;=4,$A134&gt;=4),F134&amp;".",""),IF($A134="S",G134&amp;".","")))</f>
        <v>2.1.20.</v>
      </c>
      <c r="L134" s="137" t="str">
        <f ca="1">IF(NOT(ISERROR($Y134)),IF($Y134&lt;&gt;FALSE,INDEX(Banco,$Y134,4),""),"")</f>
        <v xml:space="preserve">SINAPI </v>
      </c>
      <c r="M134" s="122" t="s">
        <v>80</v>
      </c>
      <c r="N134" s="139" t="s">
        <v>314</v>
      </c>
      <c r="O134" s="137" t="str">
        <f ca="1">IF(NOT(ISERROR($Y134)),IF($Y134&lt;&gt;FALSE,INDEX(Banco,$Y134,5),""),"")</f>
        <v xml:space="preserve">Arquiteto </v>
      </c>
      <c r="P134" s="138" t="str">
        <f ca="1">IF(NOT(ISERROR($Y134)),IF($Y134&lt;&gt;FALSE,INDEX(Banco,$Y134,6),""),"")</f>
        <v>Horas</v>
      </c>
      <c r="Q134" s="134">
        <v>4</v>
      </c>
      <c r="R134" s="124">
        <f ca="1">IF(NOT(ISERROR($Y134)),IF($Y134&lt;&gt;FALSE,INDEX(Banco,$Y134,7),0),0)</f>
        <v>86.85</v>
      </c>
      <c r="S134" s="136" t="s">
        <v>62</v>
      </c>
      <c r="T134" s="123">
        <f ca="1">IF($J134=$G$2,ROUND(ROUND($R134,2)*IF($R$9="Preço Unitário (R$)",1,1+$AA134),2),0)</f>
        <v>108.56</v>
      </c>
      <c r="U134" s="126">
        <f ca="1">IF($A134="S",VTOTAL1,IF($A134=0,0,ROUND(SomaAgrup,2)))</f>
        <v>434.24</v>
      </c>
      <c r="V134" s="1"/>
      <c r="W134" s="39" t="str">
        <f ca="1">IF(OR($A134=0,$A134="S",$A134&gt;CFF!$A$9),"",MAX(W$11:OFFSET(W134,-1,0))+1)</f>
        <v/>
      </c>
      <c r="X134" s="4" t="str">
        <f>IF(AND($J134=$G$2,$N134&lt;&gt;"",$M134&lt;&gt;""),CONCATENATE($M134,"-",$N134))</f>
        <v>Serv. Terc.-041</v>
      </c>
      <c r="Y134" s="39">
        <f ca="1">IF(X134&lt;&gt;FALSE,MATCH(X134,OFFSET(Banco,0,0,,1),0))</f>
        <v>121</v>
      </c>
      <c r="Z134" s="1"/>
      <c r="AA134" s="133">
        <f>IF($J134=$G$2,ROUND(IF(ISNUMBER(S134),S134,IF(LEFT(S134,2)="DI",HLOOKUP(S134,DADOS!$T$29:$X$30,2,FALSE),0)),4),"")</f>
        <v>0.25</v>
      </c>
      <c r="AB134" s="2"/>
    </row>
    <row r="135" spans="1:28">
      <c r="A135" t="str">
        <f t="shared" si="92"/>
        <v>S</v>
      </c>
      <c r="B135">
        <f t="shared" si="93"/>
        <v>0</v>
      </c>
      <c r="C135">
        <f t="shared" ca="1" si="94"/>
        <v>2</v>
      </c>
      <c r="D135">
        <f t="shared" ca="1" si="95"/>
        <v>1</v>
      </c>
      <c r="E135">
        <f t="shared" ca="1" si="96"/>
        <v>0</v>
      </c>
      <c r="F135">
        <f t="shared" ca="1" si="97"/>
        <v>0</v>
      </c>
      <c r="G135">
        <f t="shared" ca="1" si="98"/>
        <v>21</v>
      </c>
      <c r="H135">
        <f ca="1">IF(OR($A135="S",$A135=0),0,MATCH(0,OFFSET($B135,1,$A135,ROW($A$1504)-ROW($A135)),0))</f>
        <v>0</v>
      </c>
      <c r="I135">
        <f ca="1">IF(OR($A135="S",$A135=0),0,MATCH(OFFSET($B135,0,$A135)+1,OFFSET($B135,1,$A135,ROW($A$1504)-ROW($A135)),0))</f>
        <v>0</v>
      </c>
      <c r="J135" s="132" t="s">
        <v>29</v>
      </c>
      <c r="K135" s="121" t="str">
        <f t="shared" ca="1" si="99"/>
        <v>2.1.21.</v>
      </c>
      <c r="L135" s="137" t="str">
        <f t="shared" ca="1" si="100"/>
        <v>Cotação</v>
      </c>
      <c r="M135" s="122" t="s">
        <v>79</v>
      </c>
      <c r="N135" s="139" t="s">
        <v>163</v>
      </c>
      <c r="O135" s="137" t="str">
        <f ca="1">IF(NOT(ISERROR($Y135)),IF($Y135&lt;&gt;FALSE,INDEX(Banco,$Y135,5),""),"")</f>
        <v>Guloseimas (balas e pirulito)</v>
      </c>
      <c r="P135" s="138" t="str">
        <f t="shared" ca="1" si="101"/>
        <v>Pacote</v>
      </c>
      <c r="Q135" s="134">
        <v>8</v>
      </c>
      <c r="R135" s="124">
        <f t="shared" ca="1" si="102"/>
        <v>12</v>
      </c>
      <c r="S135" s="136" t="s">
        <v>62</v>
      </c>
      <c r="T135" s="123">
        <f t="shared" ca="1" si="103"/>
        <v>15</v>
      </c>
      <c r="U135" s="126">
        <f t="shared" ca="1" si="104"/>
        <v>120</v>
      </c>
      <c r="V135" s="1"/>
      <c r="W135" s="39" t="str">
        <f ca="1">IF(OR($A135=0,$A135="S",$A135&gt;CFF!$A$9),"",MAX(W$11:OFFSET(W135,-1,0))+1)</f>
        <v/>
      </c>
      <c r="X135" s="4" t="str">
        <f t="shared" si="105"/>
        <v>Rec. Materiais-020</v>
      </c>
      <c r="Y135" s="39">
        <f t="shared" ca="1" si="106"/>
        <v>29</v>
      </c>
      <c r="Z135" s="1"/>
      <c r="AA135" s="133">
        <f>IF($J135=$G$2,ROUND(IF(ISNUMBER(S135),S135,IF(LEFT(S135,2)="DI",HLOOKUP(S135,DADOS!$T$29:$X$30,2,FALSE),0)),4),"")</f>
        <v>0.25</v>
      </c>
      <c r="AB135" s="2"/>
    </row>
    <row r="136" spans="1:28">
      <c r="A136" t="str">
        <f t="shared" si="92"/>
        <v>S</v>
      </c>
      <c r="B136">
        <f t="shared" si="93"/>
        <v>0</v>
      </c>
      <c r="C136">
        <f t="shared" ca="1" si="94"/>
        <v>2</v>
      </c>
      <c r="D136">
        <f t="shared" ca="1" si="95"/>
        <v>1</v>
      </c>
      <c r="E136">
        <f t="shared" ca="1" si="96"/>
        <v>0</v>
      </c>
      <c r="F136">
        <f t="shared" ca="1" si="97"/>
        <v>0</v>
      </c>
      <c r="G136">
        <f t="shared" ca="1" si="98"/>
        <v>22</v>
      </c>
      <c r="H136">
        <f ca="1">IF(OR($A136="S",$A136=0),0,MATCH(0,OFFSET($B136,1,$A136,ROW($A$1504)-ROW($A136)),0))</f>
        <v>0</v>
      </c>
      <c r="I136">
        <f ca="1">IF(OR($A136="S",$A136=0),0,MATCH(OFFSET($B136,0,$A136)+1,OFFSET($B136,1,$A136,ROW($A$1504)-ROW($A136)),0))</f>
        <v>0</v>
      </c>
      <c r="J136" s="132" t="s">
        <v>29</v>
      </c>
      <c r="K136" s="121" t="str">
        <f t="shared" ca="1" si="99"/>
        <v>2.1.22.</v>
      </c>
      <c r="L136" s="137" t="str">
        <f t="shared" ca="1" si="100"/>
        <v>Cotação</v>
      </c>
      <c r="M136" s="122" t="s">
        <v>79</v>
      </c>
      <c r="N136" s="139" t="s">
        <v>165</v>
      </c>
      <c r="O136" s="137" t="str">
        <f ca="1">IF(NOT(ISERROR($Y136)),IF($Y136&lt;&gt;FALSE,INDEX(Banco,$Y136,5),""),"")</f>
        <v>Papel de presente</v>
      </c>
      <c r="P136" s="138" t="str">
        <f t="shared" ca="1" si="101"/>
        <v>Folhas</v>
      </c>
      <c r="Q136" s="134">
        <v>16</v>
      </c>
      <c r="R136" s="124">
        <f t="shared" ca="1" si="102"/>
        <v>1.5</v>
      </c>
      <c r="S136" s="136" t="s">
        <v>62</v>
      </c>
      <c r="T136" s="123">
        <f t="shared" ca="1" si="103"/>
        <v>1.88</v>
      </c>
      <c r="U136" s="126">
        <f t="shared" ca="1" si="104"/>
        <v>30.08</v>
      </c>
      <c r="V136" s="1"/>
      <c r="W136" s="39" t="str">
        <f ca="1">IF(OR($A136=0,$A136="S",$A136&gt;CFF!$A$9),"",MAX(W$11:OFFSET(W136,-1,0))+1)</f>
        <v/>
      </c>
      <c r="X136" s="4" t="str">
        <f t="shared" si="105"/>
        <v>Rec. Materiais-021</v>
      </c>
      <c r="Y136" s="39">
        <f t="shared" ca="1" si="106"/>
        <v>30</v>
      </c>
      <c r="Z136" s="1"/>
      <c r="AA136" s="133">
        <f>IF($J136=$G$2,ROUND(IF(ISNUMBER(S136),S136,IF(LEFT(S136,2)="DI",HLOOKUP(S136,DADOS!$T$29:$X$30,2,FALSE),0)),4),"")</f>
        <v>0.25</v>
      </c>
      <c r="AB136" s="2"/>
    </row>
    <row r="137" spans="1:28">
      <c r="A137" t="str">
        <f t="shared" si="92"/>
        <v>S</v>
      </c>
      <c r="B137">
        <f t="shared" si="93"/>
        <v>0</v>
      </c>
      <c r="C137">
        <f t="shared" ca="1" si="94"/>
        <v>2</v>
      </c>
      <c r="D137">
        <f t="shared" ca="1" si="95"/>
        <v>1</v>
      </c>
      <c r="E137">
        <f t="shared" ca="1" si="96"/>
        <v>0</v>
      </c>
      <c r="F137">
        <f t="shared" ca="1" si="97"/>
        <v>0</v>
      </c>
      <c r="G137">
        <f t="shared" ca="1" si="98"/>
        <v>23</v>
      </c>
      <c r="H137">
        <f ca="1">IF(OR($A137="S",$A137=0),0,MATCH(0,OFFSET($B137,1,$A137,ROW($A$1504)-ROW($A137)),0))</f>
        <v>0</v>
      </c>
      <c r="I137">
        <f ca="1">IF(OR($A137="S",$A137=0),0,MATCH(OFFSET($B137,0,$A137)+1,OFFSET($B137,1,$A137,ROW($A$1504)-ROW($A137)),0))</f>
        <v>0</v>
      </c>
      <c r="J137" s="132" t="s">
        <v>29</v>
      </c>
      <c r="K137" s="121" t="str">
        <f t="shared" ca="1" si="99"/>
        <v>2.1.23.</v>
      </c>
      <c r="L137" s="137" t="str">
        <f t="shared" ca="1" si="100"/>
        <v>Cotação</v>
      </c>
      <c r="M137" s="122" t="s">
        <v>79</v>
      </c>
      <c r="N137" s="139" t="s">
        <v>170</v>
      </c>
      <c r="O137" s="137" t="str">
        <f ca="1">IF(NOT(ISERROR($Y137)),IF($Y137&lt;&gt;FALSE,INDEX(Banco,$Y137,5),""),"")</f>
        <v>Saco de lixo (100 litros)</v>
      </c>
      <c r="P137" s="138" t="str">
        <f t="shared" ca="1" si="101"/>
        <v>Pacote</v>
      </c>
      <c r="Q137" s="134">
        <v>2</v>
      </c>
      <c r="R137" s="124">
        <f t="shared" ca="1" si="102"/>
        <v>15</v>
      </c>
      <c r="S137" s="136" t="s">
        <v>62</v>
      </c>
      <c r="T137" s="123">
        <f t="shared" ca="1" si="103"/>
        <v>18.75</v>
      </c>
      <c r="U137" s="126">
        <f t="shared" ca="1" si="104"/>
        <v>37.5</v>
      </c>
      <c r="V137" s="1"/>
      <c r="W137" s="39" t="str">
        <f ca="1">IF(OR($A137=0,$A137="S",$A137&gt;CFF!$A$9),"",MAX(W$11:OFFSET(W137,-1,0))+1)</f>
        <v/>
      </c>
      <c r="X137" s="4" t="str">
        <f t="shared" si="105"/>
        <v>Rec. Materiais-026</v>
      </c>
      <c r="Y137" s="39">
        <f t="shared" ca="1" si="106"/>
        <v>35</v>
      </c>
      <c r="Z137" s="1"/>
      <c r="AA137" s="133">
        <f>IF($J137=$G$2,ROUND(IF(ISNUMBER(S137),S137,IF(LEFT(S137,2)="DI",HLOOKUP(S137,DADOS!$T$29:$X$30,2,FALSE),0)),4),"")</f>
        <v>0.25</v>
      </c>
      <c r="AB137" s="2"/>
    </row>
    <row r="138" spans="1:28">
      <c r="A138">
        <f>CHOOSE(1+LOG(1+2*(J138=$C$2)+4*(J138=$D$2)+8*(J138=$E$2)+16*(J138=$F$2)+32*(J138=$G$2),2),0,1,2,3,4,"S")</f>
        <v>2</v>
      </c>
      <c r="B138">
        <f ca="1">IF(OR(A138="S",A138=0),0,IF(ISERROR(I138),H138,SMALL(H138:I138,1)))</f>
        <v>9</v>
      </c>
      <c r="C138">
        <f ca="1">IF($A138=1,OFFSET(C138,-1,0)+1,OFFSET(C138,-1,0))</f>
        <v>2</v>
      </c>
      <c r="D138">
        <f ca="1">IF($A138=1,0,IF($A138=2,OFFSET(D138,-1,0)+1,OFFSET(D138,-1,0)))</f>
        <v>2</v>
      </c>
      <c r="E138">
        <f ca="1">IF(AND($A138&lt;=2,$A138&lt;&gt;0),0,IF($A138=3,OFFSET(E138,-1,0)+1,OFFSET(E138,-1,0)))</f>
        <v>0</v>
      </c>
      <c r="F138">
        <f ca="1">IF(AND($A138&lt;=3,$A138&lt;&gt;0),0,IF($A138=4,OFFSET(F138,-1,0)+1,OFFSET(F138,-1,0)))</f>
        <v>0</v>
      </c>
      <c r="G138">
        <f ca="1">IF(AND($A138&lt;=4,$A138&lt;&gt;0),0,IF($A138="S",OFFSET(G138,-1,0)+1,OFFSET(G138,-1,0)))</f>
        <v>0</v>
      </c>
      <c r="H138">
        <f ca="1">IF(OR($A138="S",$A138=0),0,MATCH(0,OFFSET($B138,1,$A138,ROW($A$1504)-ROW($A138)),0))</f>
        <v>64</v>
      </c>
      <c r="I138">
        <f ca="1">IF(OR($A138="S",$A138=0),0,MATCH(OFFSET($B138,0,$A138)+1,OFFSET($B138,1,$A138,ROW($A$1504)-ROW($A138)),0))</f>
        <v>9</v>
      </c>
      <c r="J138" s="132" t="s">
        <v>68</v>
      </c>
      <c r="K138" s="121" t="str">
        <f ca="1">IF($A138=0,"-",CONCATENATE(C138&amp;".",IF(AND($A$5&gt;=2,$A138&gt;=2),D138&amp;".",""),IF(AND($A$5&gt;=3,$A138&gt;=3),E138&amp;".",""),IF(AND($A$5&gt;=4,$A138&gt;=4),F138&amp;".",""),IF($A138="S",G138&amp;".","")))</f>
        <v>2.2.</v>
      </c>
      <c r="L138" s="137" t="str">
        <f ca="1">IF(NOT(ISERROR($Y138)),IF($Y138&lt;&gt;FALSE,INDEX(Banco,$Y138,4),""),"")</f>
        <v/>
      </c>
      <c r="M138" s="122"/>
      <c r="N138" s="139"/>
      <c r="O138" s="137" t="s">
        <v>352</v>
      </c>
      <c r="P138" s="138" t="str">
        <f ca="1">IF(NOT(ISERROR($Y138)),IF($Y138&lt;&gt;FALSE,INDEX(Banco,$Y138,6),""),"")</f>
        <v/>
      </c>
      <c r="Q138" s="134"/>
      <c r="R138" s="124">
        <f ca="1">IF(NOT(ISERROR($Y138)),IF($Y138&lt;&gt;FALSE,INDEX(Banco,$Y138,7),0),0)</f>
        <v>0</v>
      </c>
      <c r="S138" s="136" t="s">
        <v>62</v>
      </c>
      <c r="T138" s="123">
        <f>IF($J138=$G$2,ROUND(ROUND($R138,2)*IF($R$9="Preço Unitário (R$)",1,1+$AA138),2),0)</f>
        <v>0</v>
      </c>
      <c r="U138" s="126">
        <f ca="1">IF($A138="S",VTOTAL1,IF($A138=0,0,ROUND(SomaAgrup,2)))</f>
        <v>3783.24</v>
      </c>
      <c r="V138" s="1"/>
      <c r="W138" s="39">
        <f ca="1">IF(OR($A138=0,$A138="S",$A138&gt;CFF!$A$9),"",MAX(W$11:OFFSET(W138,-1,0))+1)</f>
        <v>7</v>
      </c>
      <c r="X138" s="4" t="b">
        <f>IF(AND($J138=$G$2,$N138&lt;&gt;"",$M138&lt;&gt;""),CONCATENATE($M138,"-",$N138))</f>
        <v>0</v>
      </c>
      <c r="Y138" s="39" t="b">
        <f ca="1">IF(X138&lt;&gt;FALSE,MATCH(X138,OFFSET(Banco,0,0,,1),0))</f>
        <v>0</v>
      </c>
      <c r="Z138" s="1"/>
      <c r="AA138" s="133" t="str">
        <f>IF($J138=$G$2,ROUND(IF(ISNUMBER(S138),S138,IF(LEFT(S138,2)="DI",HLOOKUP(S138,DADOS!$T$29:$X$30,2,FALSE),0)),4),"")</f>
        <v/>
      </c>
      <c r="AB138" s="2"/>
    </row>
    <row r="139" spans="1:28">
      <c r="A139" t="str">
        <f t="shared" ref="A139:A143" si="107">CHOOSE(1+LOG(1+2*(J139=$C$2)+4*(J139=$D$2)+8*(J139=$E$2)+16*(J139=$F$2)+32*(J139=$G$2),2),0,1,2,3,4,"S")</f>
        <v>S</v>
      </c>
      <c r="B139">
        <f t="shared" ref="B139:B143" si="108">IF(OR(A139="S",A139=0),0,IF(ISERROR(I139),H139,SMALL(H139:I139,1)))</f>
        <v>0</v>
      </c>
      <c r="C139">
        <f t="shared" ref="C139:C143" ca="1" si="109">IF($A139=1,OFFSET(C139,-1,0)+1,OFFSET(C139,-1,0))</f>
        <v>2</v>
      </c>
      <c r="D139">
        <f t="shared" ref="D139:D143" ca="1" si="110">IF($A139=1,0,IF($A139=2,OFFSET(D139,-1,0)+1,OFFSET(D139,-1,0)))</f>
        <v>2</v>
      </c>
      <c r="E139">
        <f t="shared" ref="E139:E143" ca="1" si="111">IF(AND($A139&lt;=2,$A139&lt;&gt;0),0,IF($A139=3,OFFSET(E139,-1,0)+1,OFFSET(E139,-1,0)))</f>
        <v>0</v>
      </c>
      <c r="F139">
        <f t="shared" ref="F139:F143" ca="1" si="112">IF(AND($A139&lt;=3,$A139&lt;&gt;0),0,IF($A139=4,OFFSET(F139,-1,0)+1,OFFSET(F139,-1,0)))</f>
        <v>0</v>
      </c>
      <c r="G139">
        <f t="shared" ref="G139:G143" ca="1" si="113">IF(AND($A139&lt;=4,$A139&lt;&gt;0),0,IF($A139="S",OFFSET(G139,-1,0)+1,OFFSET(G139,-1,0)))</f>
        <v>1</v>
      </c>
      <c r="H139">
        <f ca="1">IF(OR($A139="S",$A139=0),0,MATCH(0,OFFSET($B139,1,$A139,ROW($A$1504)-ROW($A139)),0))</f>
        <v>0</v>
      </c>
      <c r="I139">
        <f ca="1">IF(OR($A139="S",$A139=0),0,MATCH(OFFSET($B139,0,$A139)+1,OFFSET($B139,1,$A139,ROW($A$1504)-ROW($A139)),0))</f>
        <v>0</v>
      </c>
      <c r="J139" s="132" t="s">
        <v>29</v>
      </c>
      <c r="K139" s="121" t="str">
        <f t="shared" ref="K139:K143" ca="1" si="114">IF($A139=0,"-",CONCATENATE(C139&amp;".",IF(AND($A$5&gt;=2,$A139&gt;=2),D139&amp;".",""),IF(AND($A$5&gt;=3,$A139&gt;=3),E139&amp;".",""),IF(AND($A$5&gt;=4,$A139&gt;=4),F139&amp;".",""),IF($A139="S",G139&amp;".","")))</f>
        <v>2.2.1.</v>
      </c>
      <c r="L139" s="137" t="str">
        <f t="shared" ref="L139:L143" ca="1" si="115">IF(NOT(ISERROR($Y139)),IF($Y139&lt;&gt;FALSE,INDEX(Banco,$Y139,4),""),"")</f>
        <v>CRESS</v>
      </c>
      <c r="M139" s="122" t="s">
        <v>78</v>
      </c>
      <c r="N139" s="139" t="s">
        <v>149</v>
      </c>
      <c r="O139" s="137" t="str">
        <f t="shared" ref="O139:O144" ca="1" si="116">IF(NOT(ISERROR($Y139)),IF($Y139&lt;&gt;FALSE,INDEX(Banco,$Y139,5),""),"")</f>
        <v>Responsável Técnica</v>
      </c>
      <c r="P139" s="138" t="str">
        <f t="shared" ref="P139:P143" ca="1" si="117">IF(NOT(ISERROR($Y139)),IF($Y139&lt;&gt;FALSE,INDEX(Banco,$Y139,6),""),"")</f>
        <v>Horas</v>
      </c>
      <c r="Q139" s="134">
        <v>4</v>
      </c>
      <c r="R139" s="124">
        <f t="shared" ref="R139:R143" ca="1" si="118">IF(NOT(ISERROR($Y139)),IF($Y139&lt;&gt;FALSE,INDEX(Banco,$Y139,7),0),0)</f>
        <v>150.28</v>
      </c>
      <c r="S139" s="136" t="s">
        <v>62</v>
      </c>
      <c r="T139" s="123">
        <f t="shared" ref="T139:T143" ca="1" si="119">IF($J139=$G$2,ROUND(ROUND($R139,2)*IF($R$9="Preço Unitário (R$)",1,1+$AA139),2),0)</f>
        <v>187.85</v>
      </c>
      <c r="U139" s="126">
        <f t="shared" ref="U139:U143" ca="1" si="120">IF($A139="S",VTOTAL1,IF($A139=0,0,ROUND(SomaAgrup,2)))</f>
        <v>751.4</v>
      </c>
      <c r="V139" s="1"/>
      <c r="W139" s="39" t="str">
        <f ca="1">IF(OR($A139=0,$A139="S",$A139&gt;CFF!$A$9),"",MAX(W$11:OFFSET(W139,-1,0))+1)</f>
        <v/>
      </c>
      <c r="X139" s="4" t="str">
        <f t="shared" ref="X139:X143" si="121">IF(AND($J139=$G$2,$N139&lt;&gt;"",$M139&lt;&gt;""),CONCATENATE($M139,"-",$N139))</f>
        <v>Rec. Humanos-001</v>
      </c>
      <c r="Y139" s="39">
        <f t="shared" ref="Y139:Y143" ca="1" si="122">IF(X139&lt;&gt;FALSE,MATCH(X139,OFFSET(Banco,0,0,,1),0))</f>
        <v>3</v>
      </c>
      <c r="Z139" s="1"/>
      <c r="AA139" s="133">
        <f>IF($J139=$G$2,ROUND(IF(ISNUMBER(S139),S139,IF(LEFT(S139,2)="DI",HLOOKUP(S139,DADOS!$T$29:$X$30,2,FALSE),0)),4),"")</f>
        <v>0.25</v>
      </c>
      <c r="AB139" s="2"/>
    </row>
    <row r="140" spans="1:28">
      <c r="A140" t="str">
        <f t="shared" si="107"/>
        <v>S</v>
      </c>
      <c r="B140">
        <f t="shared" si="108"/>
        <v>0</v>
      </c>
      <c r="C140">
        <f t="shared" ca="1" si="109"/>
        <v>2</v>
      </c>
      <c r="D140">
        <f t="shared" ca="1" si="110"/>
        <v>2</v>
      </c>
      <c r="E140">
        <f t="shared" ca="1" si="111"/>
        <v>0</v>
      </c>
      <c r="F140">
        <f t="shared" ca="1" si="112"/>
        <v>0</v>
      </c>
      <c r="G140">
        <f t="shared" ca="1" si="113"/>
        <v>2</v>
      </c>
      <c r="H140">
        <f ca="1">IF(OR($A140="S",$A140=0),0,MATCH(0,OFFSET($B140,1,$A140,ROW($A$1504)-ROW($A140)),0))</f>
        <v>0</v>
      </c>
      <c r="I140">
        <f ca="1">IF(OR($A140="S",$A140=0),0,MATCH(OFFSET($B140,0,$A140)+1,OFFSET($B140,1,$A140,ROW($A$1504)-ROW($A140)),0))</f>
        <v>0</v>
      </c>
      <c r="J140" s="132" t="s">
        <v>29</v>
      </c>
      <c r="K140" s="121" t="str">
        <f t="shared" ca="1" si="114"/>
        <v>2.2.2.</v>
      </c>
      <c r="L140" s="137" t="str">
        <f t="shared" ca="1" si="115"/>
        <v>CRESS</v>
      </c>
      <c r="M140" s="122" t="s">
        <v>78</v>
      </c>
      <c r="N140" s="139" t="s">
        <v>152</v>
      </c>
      <c r="O140" s="137" t="str">
        <f t="shared" ca="1" si="116"/>
        <v>Assistente Social</v>
      </c>
      <c r="P140" s="138" t="str">
        <f t="shared" ca="1" si="117"/>
        <v>Horas</v>
      </c>
      <c r="Q140" s="134">
        <v>4</v>
      </c>
      <c r="R140" s="124">
        <f t="shared" ca="1" si="118"/>
        <v>133.81</v>
      </c>
      <c r="S140" s="136" t="s">
        <v>62</v>
      </c>
      <c r="T140" s="123">
        <f t="shared" ca="1" si="119"/>
        <v>167.26</v>
      </c>
      <c r="U140" s="126">
        <f t="shared" ca="1" si="120"/>
        <v>669.04</v>
      </c>
      <c r="V140" s="1"/>
      <c r="W140" s="39" t="str">
        <f ca="1">IF(OR($A140=0,$A140="S",$A140&gt;CFF!$A$9),"",MAX(W$11:OFFSET(W140,-1,0))+1)</f>
        <v/>
      </c>
      <c r="X140" s="4" t="str">
        <f t="shared" si="121"/>
        <v>Rec. Humanos-002</v>
      </c>
      <c r="Y140" s="39">
        <f t="shared" ca="1" si="122"/>
        <v>4</v>
      </c>
      <c r="Z140" s="1"/>
      <c r="AA140" s="133">
        <f>IF($J140=$G$2,ROUND(IF(ISNUMBER(S140),S140,IF(LEFT(S140,2)="DI",HLOOKUP(S140,DADOS!$T$29:$X$30,2,FALSE),0)),4),"")</f>
        <v>0.25</v>
      </c>
      <c r="AB140" s="2"/>
    </row>
    <row r="141" spans="1:28">
      <c r="A141" t="str">
        <f t="shared" si="107"/>
        <v>S</v>
      </c>
      <c r="B141">
        <f t="shared" si="108"/>
        <v>0</v>
      </c>
      <c r="C141">
        <f t="shared" ca="1" si="109"/>
        <v>2</v>
      </c>
      <c r="D141">
        <f t="shared" ca="1" si="110"/>
        <v>2</v>
      </c>
      <c r="E141">
        <f t="shared" ca="1" si="111"/>
        <v>0</v>
      </c>
      <c r="F141">
        <f t="shared" ca="1" si="112"/>
        <v>0</v>
      </c>
      <c r="G141">
        <f t="shared" ca="1" si="113"/>
        <v>3</v>
      </c>
      <c r="H141">
        <f ca="1">IF(OR($A141="S",$A141=0),0,MATCH(0,OFFSET($B141,1,$A141,ROW($A$1504)-ROW($A141)),0))</f>
        <v>0</v>
      </c>
      <c r="I141">
        <f ca="1">IF(OR($A141="S",$A141=0),0,MATCH(OFFSET($B141,0,$A141)+1,OFFSET($B141,1,$A141,ROW($A$1504)-ROW($A141)),0))</f>
        <v>0</v>
      </c>
      <c r="J141" s="132" t="s">
        <v>29</v>
      </c>
      <c r="K141" s="121" t="str">
        <f t="shared" ca="1" si="114"/>
        <v>2.2.3.</v>
      </c>
      <c r="L141" s="137" t="str">
        <f t="shared" ca="1" si="115"/>
        <v>Cotação</v>
      </c>
      <c r="M141" s="122" t="s">
        <v>80</v>
      </c>
      <c r="N141" s="139" t="s">
        <v>201</v>
      </c>
      <c r="O141" s="137" t="str">
        <f t="shared" ca="1" si="116"/>
        <v xml:space="preserve">Coffe break (salgados) </v>
      </c>
      <c r="P141" s="138" t="str">
        <f t="shared" ca="1" si="117"/>
        <v>Centro</v>
      </c>
      <c r="Q141" s="134">
        <v>2</v>
      </c>
      <c r="R141" s="124">
        <f t="shared" ca="1" si="118"/>
        <v>65</v>
      </c>
      <c r="S141" s="136" t="s">
        <v>62</v>
      </c>
      <c r="T141" s="123">
        <f t="shared" ca="1" si="119"/>
        <v>81.25</v>
      </c>
      <c r="U141" s="126">
        <f t="shared" ca="1" si="120"/>
        <v>162.5</v>
      </c>
      <c r="V141" s="1"/>
      <c r="W141" s="39" t="str">
        <f ca="1">IF(OR($A141=0,$A141="S",$A141&gt;CFF!$A$9),"",MAX(W$11:OFFSET(W141,-1,0))+1)</f>
        <v/>
      </c>
      <c r="X141" s="4" t="str">
        <f t="shared" si="121"/>
        <v>Serv. Terc.-033</v>
      </c>
      <c r="Y141" s="39">
        <f t="shared" ca="1" si="122"/>
        <v>113</v>
      </c>
      <c r="Z141" s="1"/>
      <c r="AA141" s="133">
        <f>IF($J141=$G$2,ROUND(IF(ISNUMBER(S141),S141,IF(LEFT(S141,2)="DI",HLOOKUP(S141,DADOS!$T$29:$X$30,2,FALSE),0)),4),"")</f>
        <v>0.25</v>
      </c>
      <c r="AB141" s="2"/>
    </row>
    <row r="142" spans="1:28">
      <c r="A142" t="str">
        <f>CHOOSE(1+LOG(1+2*(J142=$C$2)+4*(J142=$D$2)+8*(J142=$E$2)+16*(J142=$F$2)+32*(J142=$G$2),2),0,1,2,3,4,"S")</f>
        <v>S</v>
      </c>
      <c r="B142">
        <f>IF(OR(A142="S",A142=0),0,IF(ISERROR(I142),H142,SMALL(H142:I142,1)))</f>
        <v>0</v>
      </c>
      <c r="C142">
        <f ca="1">IF($A142=1,OFFSET(C142,-1,0)+1,OFFSET(C142,-1,0))</f>
        <v>2</v>
      </c>
      <c r="D142">
        <f ca="1">IF($A142=1,0,IF($A142=2,OFFSET(D142,-1,0)+1,OFFSET(D142,-1,0)))</f>
        <v>2</v>
      </c>
      <c r="E142">
        <f ca="1">IF(AND($A142&lt;=2,$A142&lt;&gt;0),0,IF($A142=3,OFFSET(E142,-1,0)+1,OFFSET(E142,-1,0)))</f>
        <v>0</v>
      </c>
      <c r="F142">
        <f ca="1">IF(AND($A142&lt;=3,$A142&lt;&gt;0),0,IF($A142=4,OFFSET(F142,-1,0)+1,OFFSET(F142,-1,0)))</f>
        <v>0</v>
      </c>
      <c r="G142">
        <f ca="1">IF(AND($A142&lt;=4,$A142&lt;&gt;0),0,IF($A142="S",OFFSET(G142,-1,0)+1,OFFSET(G142,-1,0)))</f>
        <v>4</v>
      </c>
      <c r="H142">
        <f ca="1">IF(OR($A142="S",$A142=0),0,MATCH(0,OFFSET($B142,1,$A142,ROW($A$1504)-ROW($A142)),0))</f>
        <v>0</v>
      </c>
      <c r="I142">
        <f ca="1">IF(OR($A142="S",$A142=0),0,MATCH(OFFSET($B142,0,$A142)+1,OFFSET($B142,1,$A142,ROW($A$1504)-ROW($A142)),0))</f>
        <v>0</v>
      </c>
      <c r="J142" s="132" t="s">
        <v>29</v>
      </c>
      <c r="K142" s="121" t="str">
        <f ca="1">IF($A142=0,"-",CONCATENATE(C142&amp;".",IF(AND($A$5&gt;=2,$A142&gt;=2),D142&amp;".",""),IF(AND($A$5&gt;=3,$A142&gt;=3),E142&amp;".",""),IF(AND($A$5&gt;=4,$A142&gt;=4),F142&amp;".",""),IF($A142="S",G142&amp;".","")))</f>
        <v>2.2.4.</v>
      </c>
      <c r="L142" s="137" t="str">
        <f ca="1">IF(NOT(ISERROR($Y142)),IF($Y142&lt;&gt;FALSE,INDEX(Banco,$Y142,4),""),"")</f>
        <v>Cotação</v>
      </c>
      <c r="M142" s="122" t="s">
        <v>80</v>
      </c>
      <c r="N142" s="139" t="s">
        <v>171</v>
      </c>
      <c r="O142" s="137" t="str">
        <f ca="1">IF(NOT(ISERROR($Y142)),IF($Y142&lt;&gt;FALSE,INDEX(Banco,$Y142,5),""),"")</f>
        <v xml:space="preserve">Refrigerantes (02 litros) </v>
      </c>
      <c r="P142" s="138" t="str">
        <f ca="1">IF(NOT(ISERROR($Y142)),IF($Y142&lt;&gt;FALSE,INDEX(Banco,$Y142,6),""),"")</f>
        <v>Unidade</v>
      </c>
      <c r="Q142" s="134">
        <v>4</v>
      </c>
      <c r="R142" s="124">
        <f ca="1">IF(NOT(ISERROR($Y142)),IF($Y142&lt;&gt;FALSE,INDEX(Banco,$Y142,7),0),0)</f>
        <v>6</v>
      </c>
      <c r="S142" s="136" t="s">
        <v>62</v>
      </c>
      <c r="T142" s="123">
        <f ca="1">IF($J142=$G$2,ROUND(ROUND($R142,2)*IF($R$9="Preço Unitário (R$)",1,1+$AA142),2),0)</f>
        <v>7.5</v>
      </c>
      <c r="U142" s="126">
        <f ca="1">IF($A142="S",VTOTAL1,IF($A142=0,0,ROUND(SomaAgrup,2)))</f>
        <v>30</v>
      </c>
      <c r="V142" s="1"/>
      <c r="W142" s="39" t="str">
        <f ca="1">IF(OR($A142=0,$A142="S",$A142&gt;CFF!$A$9),"",MAX(W$11:OFFSET(W142,-1,0))+1)</f>
        <v/>
      </c>
      <c r="X142" s="4" t="str">
        <f>IF(AND($J142=$G$2,$N142&lt;&gt;"",$M142&lt;&gt;""),CONCATENATE($M142,"-",$N142))</f>
        <v>Serv. Terc.-027</v>
      </c>
      <c r="Y142" s="39">
        <f ca="1">IF(X142&lt;&gt;FALSE,MATCH(X142,OFFSET(Banco,0,0,,1),0))</f>
        <v>107</v>
      </c>
      <c r="Z142" s="1"/>
      <c r="AA142" s="133">
        <f>IF($J142=$G$2,ROUND(IF(ISNUMBER(S142),S142,IF(LEFT(S142,2)="DI",HLOOKUP(S142,DADOS!$T$29:$X$30,2,FALSE),0)),4),"")</f>
        <v>0.25</v>
      </c>
      <c r="AB142" s="2"/>
    </row>
    <row r="143" spans="1:28">
      <c r="A143" t="str">
        <f t="shared" si="107"/>
        <v>S</v>
      </c>
      <c r="B143">
        <f t="shared" si="108"/>
        <v>0</v>
      </c>
      <c r="C143">
        <f t="shared" ca="1" si="109"/>
        <v>2</v>
      </c>
      <c r="D143">
        <f t="shared" ca="1" si="110"/>
        <v>2</v>
      </c>
      <c r="E143">
        <f t="shared" ca="1" si="111"/>
        <v>0</v>
      </c>
      <c r="F143">
        <f t="shared" ca="1" si="112"/>
        <v>0</v>
      </c>
      <c r="G143">
        <f t="shared" ca="1" si="113"/>
        <v>5</v>
      </c>
      <c r="H143">
        <f ca="1">IF(OR($A143="S",$A143=0),0,MATCH(0,OFFSET($B143,1,$A143,ROW($A$1504)-ROW($A143)),0))</f>
        <v>0</v>
      </c>
      <c r="I143">
        <f ca="1">IF(OR($A143="S",$A143=0),0,MATCH(OFFSET($B143,0,$A143)+1,OFFSET($B143,1,$A143,ROW($A$1504)-ROW($A143)),0))</f>
        <v>0</v>
      </c>
      <c r="J143" s="132" t="s">
        <v>29</v>
      </c>
      <c r="K143" s="121" t="str">
        <f t="shared" ca="1" si="114"/>
        <v>2.2.5.</v>
      </c>
      <c r="L143" s="137" t="str">
        <f t="shared" ca="1" si="115"/>
        <v>CREFITO</v>
      </c>
      <c r="M143" s="122" t="s">
        <v>80</v>
      </c>
      <c r="N143" s="139" t="s">
        <v>260</v>
      </c>
      <c r="O143" s="137" t="str">
        <f t="shared" ca="1" si="116"/>
        <v>Fisioterapeuta (Massagem terapêutica)</v>
      </c>
      <c r="P143" s="138" t="str">
        <f t="shared" ca="1" si="117"/>
        <v>Vagas</v>
      </c>
      <c r="Q143" s="134">
        <v>30</v>
      </c>
      <c r="R143" s="124">
        <f t="shared" ca="1" si="118"/>
        <v>41.6</v>
      </c>
      <c r="S143" s="136" t="s">
        <v>62</v>
      </c>
      <c r="T143" s="123">
        <f t="shared" ca="1" si="119"/>
        <v>52</v>
      </c>
      <c r="U143" s="126">
        <f t="shared" ca="1" si="120"/>
        <v>1560</v>
      </c>
      <c r="V143" s="1"/>
      <c r="W143" s="39" t="str">
        <f ca="1">IF(OR($A143=0,$A143="S",$A143&gt;CFF!$A$9),"",MAX(W$11:OFFSET(W143,-1,0))+1)</f>
        <v/>
      </c>
      <c r="X143" s="4" t="str">
        <f t="shared" si="121"/>
        <v>Serv. Terc.-085</v>
      </c>
      <c r="Y143" s="39">
        <f t="shared" ca="1" si="122"/>
        <v>165</v>
      </c>
      <c r="Z143" s="1"/>
      <c r="AA143" s="133">
        <f>IF($J143=$G$2,ROUND(IF(ISNUMBER(S143),S143,IF(LEFT(S143,2)="DI",HLOOKUP(S143,DADOS!$T$29:$X$30,2,FALSE),0)),4),"")</f>
        <v>0.25</v>
      </c>
      <c r="AB143" s="2"/>
    </row>
    <row r="144" spans="1:28">
      <c r="A144" t="str">
        <f t="shared" ref="A144:A169" si="123">CHOOSE(1+LOG(1+2*(J144=$C$2)+4*(J144=$D$2)+8*(J144=$E$2)+16*(J144=$F$2)+32*(J144=$G$2),2),0,1,2,3,4,"S")</f>
        <v>S</v>
      </c>
      <c r="B144">
        <f t="shared" ref="B144:B169" si="124">IF(OR(A144="S",A144=0),0,IF(ISERROR(I144),H144,SMALL(H144:I144,1)))</f>
        <v>0</v>
      </c>
      <c r="C144">
        <f ca="1">IF($A144=1,OFFSET(C144,-1,0)+1,OFFSET(C144,-1,0))</f>
        <v>2</v>
      </c>
      <c r="D144">
        <f ca="1">IF($A144=1,0,IF($A144=2,OFFSET(D144,-1,0)+1,OFFSET(D144,-1,0)))</f>
        <v>2</v>
      </c>
      <c r="E144">
        <f ca="1">IF(AND($A144&lt;=2,$A144&lt;&gt;0),0,IF($A144=3,OFFSET(E144,-1,0)+1,OFFSET(E144,-1,0)))</f>
        <v>0</v>
      </c>
      <c r="F144">
        <f ca="1">IF(AND($A144&lt;=3,$A144&lt;&gt;0),0,IF($A144=4,OFFSET(F144,-1,0)+1,OFFSET(F144,-1,0)))</f>
        <v>0</v>
      </c>
      <c r="G144">
        <f ca="1">IF(AND($A144&lt;=4,$A144&lt;&gt;0),0,IF($A144="S",OFFSET(G144,-1,0)+1,OFFSET(G144,-1,0)))</f>
        <v>6</v>
      </c>
      <c r="H144">
        <f ca="1">IF(OR($A144="S",$A144=0),0,MATCH(0,OFFSET($B144,1,$A144,ROW($A$1504)-ROW($A144)),0))</f>
        <v>0</v>
      </c>
      <c r="I144">
        <f ca="1">IF(OR($A144="S",$A144=0),0,MATCH(OFFSET($B144,0,$A144)+1,OFFSET($B144,1,$A144,ROW($A$1504)-ROW($A144)),0))</f>
        <v>0</v>
      </c>
      <c r="J144" s="132" t="s">
        <v>29</v>
      </c>
      <c r="K144" s="121" t="str">
        <f t="shared" ref="K144:K169" ca="1" si="125">IF($A144=0,"-",CONCATENATE(C144&amp;".",IF(AND($A$5&gt;=2,$A144&gt;=2),D144&amp;".",""),IF(AND($A$5&gt;=3,$A144&gt;=3),E144&amp;".",""),IF(AND($A$5&gt;=4,$A144&gt;=4),F144&amp;".",""),IF($A144="S",G144&amp;".","")))</f>
        <v>2.2.6.</v>
      </c>
      <c r="L144" s="137" t="str">
        <f ca="1">IF(NOT(ISERROR($Y144)),IF($Y144&lt;&gt;FALSE,INDEX(Banco,$Y144,4),""),"")</f>
        <v>COREN</v>
      </c>
      <c r="M144" s="122" t="s">
        <v>80</v>
      </c>
      <c r="N144" s="139" t="s">
        <v>261</v>
      </c>
      <c r="O144" s="137" t="str">
        <f t="shared" ca="1" si="116"/>
        <v>Técnica de Enfermagem (Instrutor)</v>
      </c>
      <c r="P144" s="138" t="str">
        <f ca="1">IF(NOT(ISERROR($Y144)),IF($Y144&lt;&gt;FALSE,INDEX(Banco,$Y144,6),""),"")</f>
        <v>Horas</v>
      </c>
      <c r="Q144" s="134">
        <v>2</v>
      </c>
      <c r="R144" s="124">
        <f ca="1">IF(NOT(ISERROR($Y144)),IF($Y144&lt;&gt;FALSE,INDEX(Banco,$Y144,7),0),0)</f>
        <v>92.65</v>
      </c>
      <c r="S144" s="136" t="s">
        <v>62</v>
      </c>
      <c r="T144" s="123">
        <f ca="1">IF($J144=$G$2,ROUND(ROUND($R144,2)*IF($R$9="Preço Unitário (R$)",1,1+$AA144),2),0)</f>
        <v>115.81</v>
      </c>
      <c r="U144" s="126">
        <f ca="1">IF($A144="S",VTOTAL1,IF($A144=0,0,ROUND(SomaAgrup,2)))</f>
        <v>231.62</v>
      </c>
      <c r="V144" s="1"/>
      <c r="W144" s="39" t="str">
        <f ca="1">IF(OR($A144=0,$A144="S",$A144&gt;CFF!$A$9),"",MAX(W$11:OFFSET(W144,-1,0))+1)</f>
        <v/>
      </c>
      <c r="X144" s="4" t="str">
        <f>IF(AND($J144=$G$2,$N144&lt;&gt;"",$M144&lt;&gt;""),CONCATENATE($M144,"-",$N144))</f>
        <v>Serv. Terc.-086</v>
      </c>
      <c r="Y144" s="39">
        <f t="shared" ref="Y144:Y169" ca="1" si="126">IF(X144&lt;&gt;FALSE,MATCH(X144,OFFSET(Banco,0,0,,1),0))</f>
        <v>166</v>
      </c>
      <c r="Z144" s="1"/>
      <c r="AA144" s="133">
        <f>IF($J144=$G$2,ROUND(IF(ISNUMBER(S144),S144,IF(LEFT(S144,2)="DI",HLOOKUP(S144,DADOS!$T$29:$X$30,2,FALSE),0)),4),"")</f>
        <v>0.25</v>
      </c>
      <c r="AB144" s="2"/>
    </row>
    <row r="145" spans="1:28">
      <c r="A145" t="str">
        <f t="shared" si="123"/>
        <v>S</v>
      </c>
      <c r="B145">
        <f t="shared" si="124"/>
        <v>0</v>
      </c>
      <c r="C145">
        <f ca="1">IF($A145=1,OFFSET(C145,-1,0)+1,OFFSET(C145,-1,0))</f>
        <v>2</v>
      </c>
      <c r="D145">
        <f ca="1">IF($A145=1,0,IF($A145=2,OFFSET(D145,-1,0)+1,OFFSET(D145,-1,0)))</f>
        <v>2</v>
      </c>
      <c r="E145">
        <f ca="1">IF(AND($A145&lt;=2,$A145&lt;&gt;0),0,IF($A145=3,OFFSET(E145,-1,0)+1,OFFSET(E145,-1,0)))</f>
        <v>0</v>
      </c>
      <c r="F145">
        <f ca="1">IF(AND($A145&lt;=3,$A145&lt;&gt;0),0,IF($A145=4,OFFSET(F145,-1,0)+1,OFFSET(F145,-1,0)))</f>
        <v>0</v>
      </c>
      <c r="G145">
        <f ca="1">IF(AND($A145&lt;=4,$A145&lt;&gt;0),0,IF($A145="S",OFFSET(G145,-1,0)+1,OFFSET(G145,-1,0)))</f>
        <v>7</v>
      </c>
      <c r="H145">
        <f ca="1">IF(OR($A145="S",$A145=0),0,MATCH(0,OFFSET($B145,1,$A145,ROW($A$1504)-ROW($A145)),0))</f>
        <v>0</v>
      </c>
      <c r="I145">
        <f ca="1">IF(OR($A145="S",$A145=0),0,MATCH(OFFSET($B145,0,$A145)+1,OFFSET($B145,1,$A145,ROW($A$1504)-ROW($A145)),0))</f>
        <v>0</v>
      </c>
      <c r="J145" s="132" t="s">
        <v>29</v>
      </c>
      <c r="K145" s="121" t="str">
        <f t="shared" ca="1" si="125"/>
        <v>2.2.7.</v>
      </c>
      <c r="L145" s="137" t="str">
        <f ca="1">IF(NOT(ISERROR($Y145)),IF($Y145&lt;&gt;FALSE,INDEX(Banco,$Y145,4),""),"")</f>
        <v>Cotação</v>
      </c>
      <c r="M145" s="122" t="s">
        <v>80</v>
      </c>
      <c r="N145" s="139" t="s">
        <v>256</v>
      </c>
      <c r="O145" s="137" t="str">
        <f ca="1">IF(NOT(ISERROR($Y145)),IF($Y145&lt;&gt;FALSE,INDEX(Banco,$Y145,5),""),"")</f>
        <v>Instrutor/Monitor (Educação Fisíca)</v>
      </c>
      <c r="P145" s="138" t="str">
        <f ca="1">IF(NOT(ISERROR($Y145)),IF($Y145&lt;&gt;FALSE,INDEX(Banco,$Y145,6),""),"")</f>
        <v>Horas</v>
      </c>
      <c r="Q145" s="134">
        <v>2</v>
      </c>
      <c r="R145" s="124">
        <f ca="1">IF(NOT(ISERROR($Y145)),IF($Y145&lt;&gt;FALSE,INDEX(Banco,$Y145,7),0),0)</f>
        <v>100</v>
      </c>
      <c r="S145" s="136" t="s">
        <v>62</v>
      </c>
      <c r="T145" s="123">
        <f ca="1">IF($J145=$G$2,ROUND(ROUND($R145,2)*IF($R$9="Preço Unitário (R$)",1,1+$AA145),2),0)</f>
        <v>125</v>
      </c>
      <c r="U145" s="126">
        <f ca="1">IF($A145="S",VTOTAL1,IF($A145=0,0,ROUND(SomaAgrup,2)))</f>
        <v>250</v>
      </c>
      <c r="V145" s="1"/>
      <c r="W145" s="39" t="str">
        <f ca="1">IF(OR($A145=0,$A145="S",$A145&gt;CFF!$A$9),"",MAX(W$11:OFFSET(W145,-1,0))+1)</f>
        <v/>
      </c>
      <c r="X145" s="4" t="str">
        <f>IF(AND($J145=$G$2,$N145&lt;&gt;"",$M145&lt;&gt;""),CONCATENATE($M145,"-",$N145))</f>
        <v>Serv. Terc.-017</v>
      </c>
      <c r="Y145" s="39">
        <f t="shared" ca="1" si="126"/>
        <v>97</v>
      </c>
      <c r="Z145" s="1"/>
      <c r="AA145" s="133">
        <f>IF($J145=$G$2,ROUND(IF(ISNUMBER(S145),S145,IF(LEFT(S145,2)="DI",HLOOKUP(S145,DADOS!$T$29:$X$30,2,FALSE),0)),4),"")</f>
        <v>0.25</v>
      </c>
      <c r="AB145" s="2"/>
    </row>
    <row r="146" spans="1:28">
      <c r="A146" t="str">
        <f t="shared" si="123"/>
        <v>S</v>
      </c>
      <c r="B146">
        <f t="shared" si="124"/>
        <v>0</v>
      </c>
      <c r="C146">
        <f ca="1">IF($A146=1,OFFSET(C146,-1,0)+1,OFFSET(C146,-1,0))</f>
        <v>2</v>
      </c>
      <c r="D146">
        <f ca="1">IF($A146=1,0,IF($A146=2,OFFSET(D146,-1,0)+1,OFFSET(D146,-1,0)))</f>
        <v>2</v>
      </c>
      <c r="E146">
        <f ca="1">IF(AND($A146&lt;=2,$A146&lt;&gt;0),0,IF($A146=3,OFFSET(E146,-1,0)+1,OFFSET(E146,-1,0)))</f>
        <v>0</v>
      </c>
      <c r="F146">
        <f ca="1">IF(AND($A146&lt;=3,$A146&lt;&gt;0),0,IF($A146=4,OFFSET(F146,-1,0)+1,OFFSET(F146,-1,0)))</f>
        <v>0</v>
      </c>
      <c r="G146">
        <f ca="1">IF(AND($A146&lt;=4,$A146&lt;&gt;0),0,IF($A146="S",OFFSET(G146,-1,0)+1,OFFSET(G146,-1,0)))</f>
        <v>8</v>
      </c>
      <c r="H146">
        <f ca="1">IF(OR($A146="S",$A146=0),0,MATCH(0,OFFSET($B146,1,$A146,ROW($A$1504)-ROW($A146)),0))</f>
        <v>0</v>
      </c>
      <c r="I146">
        <f ca="1">IF(OR($A146="S",$A146=0),0,MATCH(OFFSET($B146,0,$A146)+1,OFFSET($B146,1,$A146,ROW($A$1504)-ROW($A146)),0))</f>
        <v>0</v>
      </c>
      <c r="J146" s="132" t="s">
        <v>29</v>
      </c>
      <c r="K146" s="121" t="str">
        <f t="shared" ca="1" si="125"/>
        <v>2.2.8.</v>
      </c>
      <c r="L146" s="137" t="str">
        <f ca="1">IF(NOT(ISERROR($Y146)),IF($Y146&lt;&gt;FALSE,INDEX(Banco,$Y146,4),""),"")</f>
        <v>Cotação</v>
      </c>
      <c r="M146" s="122" t="s">
        <v>80</v>
      </c>
      <c r="N146" s="139" t="s">
        <v>294</v>
      </c>
      <c r="O146" s="137" t="str">
        <f ca="1">IF(NOT(ISERROR($Y146)),IF($Y146&lt;&gt;FALSE,INDEX(Banco,$Y146,5),""),"")</f>
        <v>KIT (massagem terapêutica)</v>
      </c>
      <c r="P146" s="138" t="str">
        <f ca="1">IF(NOT(ISERROR($Y146)),IF($Y146&lt;&gt;FALSE,INDEX(Banco,$Y146,6),""),"")</f>
        <v>KIT</v>
      </c>
      <c r="Q146" s="134">
        <v>1</v>
      </c>
      <c r="R146" s="124">
        <f ca="1">IF(NOT(ISERROR($Y146)),IF($Y146&lt;&gt;FALSE,INDEX(Banco,$Y146,7),0),0)</f>
        <v>102.94</v>
      </c>
      <c r="S146" s="136" t="s">
        <v>62</v>
      </c>
      <c r="T146" s="123">
        <f ca="1">IF($J146=$G$2,ROUND(ROUND($R146,2)*IF($R$9="Preço Unitário (R$)",1,1+$AA146),2),0)</f>
        <v>128.68</v>
      </c>
      <c r="U146" s="126">
        <f ca="1">IF($A146="S",VTOTAL1,IF($A146=0,0,ROUND(SomaAgrup,2)))</f>
        <v>128.68</v>
      </c>
      <c r="V146" s="1"/>
      <c r="W146" s="39" t="str">
        <f ca="1">IF(OR($A146=0,$A146="S",$A146&gt;CFF!$A$9),"",MAX(W$11:OFFSET(W146,-1,0))+1)</f>
        <v/>
      </c>
      <c r="X146" s="4" t="str">
        <f>IF(AND($J146=$G$2,$N146&lt;&gt;"",$M146&lt;&gt;""),CONCATENATE($M146,"-",$N146))</f>
        <v>Serv. Terc.-061</v>
      </c>
      <c r="Y146" s="39">
        <f t="shared" ca="1" si="126"/>
        <v>141</v>
      </c>
      <c r="Z146" s="1"/>
      <c r="AA146" s="133">
        <f>IF($J146=$G$2,ROUND(IF(ISNUMBER(S146),S146,IF(LEFT(S146,2)="DI",HLOOKUP(S146,DADOS!$T$29:$X$30,2,FALSE),0)),4),"")</f>
        <v>0.25</v>
      </c>
      <c r="AB146" s="2"/>
    </row>
    <row r="147" spans="1:28">
      <c r="A147">
        <f>CHOOSE(1+LOG(1+2*(J147=$C$2)+4*(J147=$D$2)+8*(J147=$E$2)+16*(J147=$F$2)+32*(J147=$G$2),2),0,1,2,3,4,"S")</f>
        <v>2</v>
      </c>
      <c r="B147">
        <f ca="1">IF(OR(A147="S",A147=0),0,IF(ISERROR(I147),H147,SMALL(H147:I147,1)))</f>
        <v>4</v>
      </c>
      <c r="C147">
        <f ca="1">IF($A147=1,OFFSET(C147,-1,0)+1,OFFSET(C147,-1,0))</f>
        <v>2</v>
      </c>
      <c r="D147">
        <f ca="1">IF($A147=1,0,IF($A147=2,OFFSET(D147,-1,0)+1,OFFSET(D147,-1,0)))</f>
        <v>3</v>
      </c>
      <c r="E147">
        <f ca="1">IF(AND($A147&lt;=2,$A147&lt;&gt;0),0,IF($A147=3,OFFSET(E147,-1,0)+1,OFFSET(E147,-1,0)))</f>
        <v>0</v>
      </c>
      <c r="F147">
        <f ca="1">IF(AND($A147&lt;=3,$A147&lt;&gt;0),0,IF($A147=4,OFFSET(F147,-1,0)+1,OFFSET(F147,-1,0)))</f>
        <v>0</v>
      </c>
      <c r="G147">
        <f ca="1">IF(AND($A147&lt;=4,$A147&lt;&gt;0),0,IF($A147="S",OFFSET(G147,-1,0)+1,OFFSET(G147,-1,0)))</f>
        <v>0</v>
      </c>
      <c r="H147">
        <f ca="1">IF(OR($A147="S",$A147=0),0,MATCH(0,OFFSET($B147,1,$A147,ROW($A$1504)-ROW($A147)),0))</f>
        <v>55</v>
      </c>
      <c r="I147">
        <f ca="1">IF(OR($A147="S",$A147=0),0,MATCH(OFFSET($B147,0,$A147)+1,OFFSET($B147,1,$A147,ROW($A$1504)-ROW($A147)),0))</f>
        <v>4</v>
      </c>
      <c r="J147" s="132" t="s">
        <v>68</v>
      </c>
      <c r="K147" s="121" t="str">
        <f ca="1">IF($A147=0,"-",CONCATENATE(C147&amp;".",IF(AND($A$5&gt;=2,$A147&gt;=2),D147&amp;".",""),IF(AND($A$5&gt;=3,$A147&gt;=3),E147&amp;".",""),IF(AND($A$5&gt;=4,$A147&gt;=4),F147&amp;".",""),IF($A147="S",G147&amp;".","")))</f>
        <v>2.3.</v>
      </c>
      <c r="L147" s="137" t="str">
        <f ca="1">IF(NOT(ISERROR($Y147)),IF($Y147&lt;&gt;FALSE,INDEX(Banco,$Y147,4),""),"")</f>
        <v/>
      </c>
      <c r="M147" s="122"/>
      <c r="N147" s="139"/>
      <c r="O147" s="137" t="s">
        <v>353</v>
      </c>
      <c r="P147" s="138" t="str">
        <f ca="1">IF(NOT(ISERROR($Y147)),IF($Y147&lt;&gt;FALSE,INDEX(Banco,$Y147,6),""),"")</f>
        <v/>
      </c>
      <c r="Q147" s="134"/>
      <c r="R147" s="124">
        <f ca="1">IF(NOT(ISERROR($Y147)),IF($Y147&lt;&gt;FALSE,INDEX(Banco,$Y147,7),0),0)</f>
        <v>0</v>
      </c>
      <c r="S147" s="136" t="s">
        <v>62</v>
      </c>
      <c r="T147" s="123">
        <f>IF($J147=$G$2,ROUND(ROUND($R147,2)*IF($R$9="Preço Unitário (R$)",1,1+$AA147),2),0)</f>
        <v>0</v>
      </c>
      <c r="U147" s="126">
        <f ca="1">IF($A147="S",VTOTAL1,IF($A147=0,0,ROUND(SomaAgrup,2)))</f>
        <v>1958.58</v>
      </c>
      <c r="V147" s="1"/>
      <c r="W147" s="39">
        <f ca="1">IF(OR($A147=0,$A147="S",$A147&gt;CFF!$A$9),"",MAX(W$11:OFFSET(W147,-1,0))+1)</f>
        <v>8</v>
      </c>
      <c r="X147" s="4" t="b">
        <f>IF(AND($J147=$G$2,$N147&lt;&gt;"",$M147&lt;&gt;""),CONCATENATE($M147,"-",$N147))</f>
        <v>0</v>
      </c>
      <c r="Y147" s="39" t="b">
        <f ca="1">IF(X147&lt;&gt;FALSE,MATCH(X147,OFFSET(Banco,0,0,,1),0))</f>
        <v>0</v>
      </c>
      <c r="Z147" s="1"/>
      <c r="AA147" s="133" t="str">
        <f>IF($J147=$G$2,ROUND(IF(ISNUMBER(S147),S147,IF(LEFT(S147,2)="DI",HLOOKUP(S147,DADOS!$T$29:$X$30,2,FALSE),0)),4),"")</f>
        <v/>
      </c>
      <c r="AB147" s="2"/>
    </row>
    <row r="148" spans="1:28">
      <c r="A148" t="str">
        <f t="shared" si="123"/>
        <v>S</v>
      </c>
      <c r="B148">
        <f t="shared" si="124"/>
        <v>0</v>
      </c>
      <c r="C148">
        <f t="shared" ref="C148:C194" ca="1" si="127">IF($A148=1,OFFSET(C148,-1,0)+1,OFFSET(C148,-1,0))</f>
        <v>2</v>
      </c>
      <c r="D148">
        <f t="shared" ref="D148:D194" ca="1" si="128">IF($A148=1,0,IF($A148=2,OFFSET(D148,-1,0)+1,OFFSET(D148,-1,0)))</f>
        <v>3</v>
      </c>
      <c r="E148">
        <f t="shared" ref="E148:E194" ca="1" si="129">IF(AND($A148&lt;=2,$A148&lt;&gt;0),0,IF($A148=3,OFFSET(E148,-1,0)+1,OFFSET(E148,-1,0)))</f>
        <v>0</v>
      </c>
      <c r="F148">
        <f t="shared" ref="F148:F194" ca="1" si="130">IF(AND($A148&lt;=3,$A148&lt;&gt;0),0,IF($A148=4,OFFSET(F148,-1,0)+1,OFFSET(F148,-1,0)))</f>
        <v>0</v>
      </c>
      <c r="G148">
        <f t="shared" ref="G148:G194" ca="1" si="131">IF(AND($A148&lt;=4,$A148&lt;&gt;0),0,IF($A148="S",OFFSET(G148,-1,0)+1,OFFSET(G148,-1,0)))</f>
        <v>1</v>
      </c>
      <c r="H148">
        <f ca="1">IF(OR($A148="S",$A148=0),0,MATCH(0,OFFSET($B148,1,$A148,ROW($A$1504)-ROW($A148)),0))</f>
        <v>0</v>
      </c>
      <c r="I148">
        <f ca="1">IF(OR($A148="S",$A148=0),0,MATCH(OFFSET($B148,0,$A148)+1,OFFSET($B148,1,$A148,ROW($A$1504)-ROW($A148)),0))</f>
        <v>0</v>
      </c>
      <c r="J148" s="132" t="s">
        <v>29</v>
      </c>
      <c r="K148" s="121" t="str">
        <f t="shared" ca="1" si="125"/>
        <v>2.3.1.</v>
      </c>
      <c r="L148" s="137" t="str">
        <f t="shared" ref="L148:L194" ca="1" si="132">IF(NOT(ISERROR($Y148)),IF($Y148&lt;&gt;FALSE,INDEX(Banco,$Y148,4),""),"")</f>
        <v>CRESS</v>
      </c>
      <c r="M148" s="122" t="s">
        <v>78</v>
      </c>
      <c r="N148" s="139" t="s">
        <v>149</v>
      </c>
      <c r="O148" s="137" t="str">
        <f ca="1">IF(NOT(ISERROR($Y148)),IF($Y148&lt;&gt;FALSE,INDEX(Banco,$Y148,5),""),"")</f>
        <v>Responsável Técnica</v>
      </c>
      <c r="P148" s="138" t="str">
        <f t="shared" ref="P148:P194" ca="1" si="133">IF(NOT(ISERROR($Y148)),IF($Y148&lt;&gt;FALSE,INDEX(Banco,$Y148,6),""),"")</f>
        <v>Horas</v>
      </c>
      <c r="Q148" s="134">
        <v>2</v>
      </c>
      <c r="R148" s="124">
        <f t="shared" ref="R148:R194" ca="1" si="134">IF(NOT(ISERROR($Y148)),IF($Y148&lt;&gt;FALSE,INDEX(Banco,$Y148,7),0),0)</f>
        <v>150.28</v>
      </c>
      <c r="S148" s="136" t="s">
        <v>62</v>
      </c>
      <c r="T148" s="123">
        <f t="shared" ref="T148:T194" ca="1" si="135">IF($J148=$G$2,ROUND(ROUND($R148,2)*IF($R$9="Preço Unitário (R$)",1,1+$AA148),2),0)</f>
        <v>187.85</v>
      </c>
      <c r="U148" s="126">
        <f t="shared" ref="U148:U194" ca="1" si="136">IF($A148="S",VTOTAL1,IF($A148=0,0,ROUND(SomaAgrup,2)))</f>
        <v>375.7</v>
      </c>
      <c r="V148" s="1"/>
      <c r="W148" s="39" t="str">
        <f ca="1">IF(OR($A148=0,$A148="S",$A148&gt;CFF!$A$9),"",MAX(W$11:OFFSET(W148,-1,0))+1)</f>
        <v/>
      </c>
      <c r="X148" s="4" t="str">
        <f t="shared" ref="X148:X194" si="137">IF(AND($J148=$G$2,$N148&lt;&gt;"",$M148&lt;&gt;""),CONCATENATE($M148,"-",$N148))</f>
        <v>Rec. Humanos-001</v>
      </c>
      <c r="Y148" s="39">
        <f t="shared" ca="1" si="126"/>
        <v>3</v>
      </c>
      <c r="Z148" s="1"/>
      <c r="AA148" s="133">
        <f>IF($J148=$G$2,ROUND(IF(ISNUMBER(S148),S148,IF(LEFT(S148,2)="DI",HLOOKUP(S148,DADOS!$T$29:$X$30,2,FALSE),0)),4),"")</f>
        <v>0.25</v>
      </c>
      <c r="AB148" s="2"/>
    </row>
    <row r="149" spans="1:28">
      <c r="A149" t="str">
        <f t="shared" si="123"/>
        <v>S</v>
      </c>
      <c r="B149">
        <f t="shared" si="124"/>
        <v>0</v>
      </c>
      <c r="C149">
        <f t="shared" ca="1" si="127"/>
        <v>2</v>
      </c>
      <c r="D149">
        <f t="shared" ca="1" si="128"/>
        <v>3</v>
      </c>
      <c r="E149">
        <f t="shared" ca="1" si="129"/>
        <v>0</v>
      </c>
      <c r="F149">
        <f t="shared" ca="1" si="130"/>
        <v>0</v>
      </c>
      <c r="G149">
        <f t="shared" ca="1" si="131"/>
        <v>2</v>
      </c>
      <c r="H149">
        <f ca="1">IF(OR($A149="S",$A149=0),0,MATCH(0,OFFSET($B149,1,$A149,ROW($A$1504)-ROW($A149)),0))</f>
        <v>0</v>
      </c>
      <c r="I149">
        <f ca="1">IF(OR($A149="S",$A149=0),0,MATCH(OFFSET($B149,0,$A149)+1,OFFSET($B149,1,$A149,ROW($A$1504)-ROW($A149)),0))</f>
        <v>0</v>
      </c>
      <c r="J149" s="132" t="s">
        <v>29</v>
      </c>
      <c r="K149" s="121" t="str">
        <f t="shared" ca="1" si="125"/>
        <v>2.3.2.</v>
      </c>
      <c r="L149" s="137" t="str">
        <f t="shared" ca="1" si="132"/>
        <v>CRESS</v>
      </c>
      <c r="M149" s="122" t="s">
        <v>78</v>
      </c>
      <c r="N149" s="139" t="s">
        <v>152</v>
      </c>
      <c r="O149" s="137" t="str">
        <f ca="1">IF(NOT(ISERROR($Y149)),IF($Y149&lt;&gt;FALSE,INDEX(Banco,$Y149,5),""),"")</f>
        <v>Assistente Social</v>
      </c>
      <c r="P149" s="138" t="str">
        <f t="shared" ca="1" si="133"/>
        <v>Horas</v>
      </c>
      <c r="Q149" s="134">
        <v>8</v>
      </c>
      <c r="R149" s="124">
        <f t="shared" ca="1" si="134"/>
        <v>133.81</v>
      </c>
      <c r="S149" s="136" t="s">
        <v>62</v>
      </c>
      <c r="T149" s="123">
        <f t="shared" ca="1" si="135"/>
        <v>167.26</v>
      </c>
      <c r="U149" s="126">
        <f t="shared" ca="1" si="136"/>
        <v>1338.08</v>
      </c>
      <c r="V149" s="1"/>
      <c r="W149" s="39" t="str">
        <f ca="1">IF(OR($A149=0,$A149="S",$A149&gt;CFF!$A$9),"",MAX(W$11:OFFSET(W149,-1,0))+1)</f>
        <v/>
      </c>
      <c r="X149" s="4" t="str">
        <f t="shared" si="137"/>
        <v>Rec. Humanos-002</v>
      </c>
      <c r="Y149" s="39">
        <f t="shared" ca="1" si="126"/>
        <v>4</v>
      </c>
      <c r="Z149" s="1"/>
      <c r="AA149" s="133">
        <f>IF($J149=$G$2,ROUND(IF(ISNUMBER(S149),S149,IF(LEFT(S149,2)="DI",HLOOKUP(S149,DADOS!$T$29:$X$30,2,FALSE),0)),4),"")</f>
        <v>0.25</v>
      </c>
      <c r="AB149" s="2"/>
    </row>
    <row r="150" spans="1:28">
      <c r="A150" t="str">
        <f>CHOOSE(1+LOG(1+2*(J150=$C$2)+4*(J150=$D$2)+8*(J150=$E$2)+16*(J150=$F$2)+32*(J150=$G$2),2),0,1,2,3,4,"S")</f>
        <v>S</v>
      </c>
      <c r="B150">
        <f>IF(OR(A150="S",A150=0),0,IF(ISERROR(I150),H150,SMALL(H150:I150,1)))</f>
        <v>0</v>
      </c>
      <c r="C150">
        <f ca="1">IF($A150=1,OFFSET(C150,-1,0)+1,OFFSET(C150,-1,0))</f>
        <v>2</v>
      </c>
      <c r="D150">
        <f ca="1">IF($A150=1,0,IF($A150=2,OFFSET(D150,-1,0)+1,OFFSET(D150,-1,0)))</f>
        <v>3</v>
      </c>
      <c r="E150">
        <f ca="1">IF(AND($A150&lt;=2,$A150&lt;&gt;0),0,IF($A150=3,OFFSET(E150,-1,0)+1,OFFSET(E150,-1,0)))</f>
        <v>0</v>
      </c>
      <c r="F150">
        <f ca="1">IF(AND($A150&lt;=3,$A150&lt;&gt;0),0,IF($A150=4,OFFSET(F150,-1,0)+1,OFFSET(F150,-1,0)))</f>
        <v>0</v>
      </c>
      <c r="G150">
        <f ca="1">IF(AND($A150&lt;=4,$A150&lt;&gt;0),0,IF($A150="S",OFFSET(G150,-1,0)+1,OFFSET(G150,-1,0)))</f>
        <v>3</v>
      </c>
      <c r="H150">
        <f ca="1">IF(OR($A150="S",$A150=0),0,MATCH(0,OFFSET($B150,1,$A150,ROW($A$1504)-ROW($A150)),0))</f>
        <v>0</v>
      </c>
      <c r="I150">
        <f ca="1">IF(OR($A150="S",$A150=0),0,MATCH(OFFSET($B150,0,$A150)+1,OFFSET($B150,1,$A150,ROW($A$1504)-ROW($A150)),0))</f>
        <v>0</v>
      </c>
      <c r="J150" s="132" t="s">
        <v>29</v>
      </c>
      <c r="K150" s="121" t="str">
        <f ca="1">IF($A150=0,"-",CONCATENATE(C150&amp;".",IF(AND($A$5&gt;=2,$A150&gt;=2),D150&amp;".",""),IF(AND($A$5&gt;=3,$A150&gt;=3),E150&amp;".",""),IF(AND($A$5&gt;=4,$A150&gt;=4),F150&amp;".",""),IF($A150="S",G150&amp;".","")))</f>
        <v>2.3.3.</v>
      </c>
      <c r="L150" s="137" t="str">
        <f ca="1">IF(NOT(ISERROR($Y150)),IF($Y150&lt;&gt;FALSE,INDEX(Banco,$Y150,4),""),"")</f>
        <v>SINE</v>
      </c>
      <c r="M150" s="122" t="s">
        <v>78</v>
      </c>
      <c r="N150" s="139" t="s">
        <v>153</v>
      </c>
      <c r="O150" s="137" t="str">
        <f ca="1">IF(NOT(ISERROR($Y150)),IF($Y150&lt;&gt;FALSE,INDEX(Banco,$Y150,5),""),"")</f>
        <v>Estagiários</v>
      </c>
      <c r="P150" s="138" t="str">
        <f ca="1">IF(NOT(ISERROR($Y150)),IF($Y150&lt;&gt;FALSE,INDEX(Banco,$Y150,6),""),"")</f>
        <v>Horas</v>
      </c>
      <c r="Q150" s="134">
        <v>20</v>
      </c>
      <c r="R150" s="124">
        <f ca="1">IF(NOT(ISERROR($Y150)),IF($Y150&lt;&gt;FALSE,INDEX(Banco,$Y150,7),0),0)</f>
        <v>9.7899999999999991</v>
      </c>
      <c r="S150" s="136" t="s">
        <v>62</v>
      </c>
      <c r="T150" s="123">
        <f ca="1">IF($J150=$G$2,ROUND(ROUND($R150,2)*IF($R$9="Preço Unitário (R$)",1,1+$AA150),2),0)</f>
        <v>12.24</v>
      </c>
      <c r="U150" s="126">
        <f ca="1">IF($A150="S",VTOTAL1,IF($A150=0,0,ROUND(SomaAgrup,2)))</f>
        <v>244.8</v>
      </c>
      <c r="V150" s="1"/>
      <c r="W150" s="39" t="str">
        <f ca="1">IF(OR($A150=0,$A150="S",$A150&gt;CFF!$A$9),"",MAX(W$11:OFFSET(W150,-1,0))+1)</f>
        <v/>
      </c>
      <c r="X150" s="4" t="str">
        <f>IF(AND($J150=$G$2,$N150&lt;&gt;"",$M150&lt;&gt;""),CONCATENATE($M150,"-",$N150))</f>
        <v>Rec. Humanos-004</v>
      </c>
      <c r="Y150" s="39">
        <f ca="1">IF(X150&lt;&gt;FALSE,MATCH(X150,OFFSET(Banco,0,0,,1),0))</f>
        <v>6</v>
      </c>
      <c r="Z150" s="1"/>
      <c r="AA150" s="133">
        <f>IF($J150=$G$2,ROUND(IF(ISNUMBER(S150),S150,IF(LEFT(S150,2)="DI",HLOOKUP(S150,DADOS!$T$29:$X$30,2,FALSE),0)),4),"")</f>
        <v>0.25</v>
      </c>
      <c r="AB150" s="2"/>
    </row>
    <row r="151" spans="1:28">
      <c r="A151">
        <f>CHOOSE(1+LOG(1+2*(J151=$C$2)+4*(J151=$D$2)+8*(J151=$E$2)+16*(J151=$F$2)+32*(J151=$G$2),2),0,1,2,3,4,"S")</f>
        <v>2</v>
      </c>
      <c r="B151">
        <f ca="1">IF(OR(A151="S",A151=0),0,IF(ISERROR(I151),H151,SMALL(H151:I151,1)))</f>
        <v>19</v>
      </c>
      <c r="C151">
        <f ca="1">IF($A151=1,OFFSET(C151,-1,0)+1,OFFSET(C151,-1,0))</f>
        <v>2</v>
      </c>
      <c r="D151">
        <f ca="1">IF($A151=1,0,IF($A151=2,OFFSET(D151,-1,0)+1,OFFSET(D151,-1,0)))</f>
        <v>4</v>
      </c>
      <c r="E151">
        <f ca="1">IF(AND($A151&lt;=2,$A151&lt;&gt;0),0,IF($A151=3,OFFSET(E151,-1,0)+1,OFFSET(E151,-1,0)))</f>
        <v>0</v>
      </c>
      <c r="F151">
        <f ca="1">IF(AND($A151&lt;=3,$A151&lt;&gt;0),0,IF($A151=4,OFFSET(F151,-1,0)+1,OFFSET(F151,-1,0)))</f>
        <v>0</v>
      </c>
      <c r="G151">
        <f ca="1">IF(AND($A151&lt;=4,$A151&lt;&gt;0),0,IF($A151="S",OFFSET(G151,-1,0)+1,OFFSET(G151,-1,0)))</f>
        <v>0</v>
      </c>
      <c r="H151">
        <f ca="1">IF(OR($A151="S",$A151=0),0,MATCH(0,OFFSET($B151,1,$A151,ROW($A$1504)-ROW($A151)),0))</f>
        <v>51</v>
      </c>
      <c r="I151">
        <f ca="1">IF(OR($A151="S",$A151=0),0,MATCH(OFFSET($B151,0,$A151)+1,OFFSET($B151,1,$A151,ROW($A$1504)-ROW($A151)),0))</f>
        <v>19</v>
      </c>
      <c r="J151" s="132" t="s">
        <v>68</v>
      </c>
      <c r="K151" s="121" t="str">
        <f ca="1">IF($A151=0,"-",CONCATENATE(C151&amp;".",IF(AND($A$5&gt;=2,$A151&gt;=2),D151&amp;".",""),IF(AND($A$5&gt;=3,$A151&gt;=3),E151&amp;".",""),IF(AND($A$5&gt;=4,$A151&gt;=4),F151&amp;".",""),IF($A151="S",G151&amp;".","")))</f>
        <v>2.4.</v>
      </c>
      <c r="L151" s="137" t="str">
        <f ca="1">IF(NOT(ISERROR($Y151)),IF($Y151&lt;&gt;FALSE,INDEX(Banco,$Y151,4),""),"")</f>
        <v/>
      </c>
      <c r="M151" s="122"/>
      <c r="N151" s="139"/>
      <c r="O151" s="137" t="s">
        <v>354</v>
      </c>
      <c r="P151" s="138" t="str">
        <f ca="1">IF(NOT(ISERROR($Y151)),IF($Y151&lt;&gt;FALSE,INDEX(Banco,$Y151,6),""),"")</f>
        <v/>
      </c>
      <c r="Q151" s="134"/>
      <c r="R151" s="124">
        <f ca="1">IF(NOT(ISERROR($Y151)),IF($Y151&lt;&gt;FALSE,INDEX(Banco,$Y151,7),0),0)</f>
        <v>0</v>
      </c>
      <c r="S151" s="136" t="s">
        <v>62</v>
      </c>
      <c r="T151" s="123">
        <f>IF($J151=$G$2,ROUND(ROUND($R151,2)*IF($R$9="Preço Unitário (R$)",1,1+$AA151),2),0)</f>
        <v>0</v>
      </c>
      <c r="U151" s="126">
        <f ca="1">IF($A151="S",VTOTAL1,IF($A151=0,0,ROUND(SomaAgrup,2)))</f>
        <v>8721.98</v>
      </c>
      <c r="V151" s="1"/>
      <c r="W151" s="39">
        <f ca="1">IF(OR($A151=0,$A151="S",$A151&gt;CFF!$A$9),"",MAX(W$11:OFFSET(W151,-1,0))+1)</f>
        <v>9</v>
      </c>
      <c r="X151" s="4" t="b">
        <f>IF(AND($J151=$G$2,$N151&lt;&gt;"",$M151&lt;&gt;""),CONCATENATE($M151,"-",$N151))</f>
        <v>0</v>
      </c>
      <c r="Y151" s="39" t="b">
        <f ca="1">IF(X151&lt;&gt;FALSE,MATCH(X151,OFFSET(Banco,0,0,,1),0))</f>
        <v>0</v>
      </c>
      <c r="Z151" s="1"/>
      <c r="AA151" s="133" t="str">
        <f>IF($J151=$G$2,ROUND(IF(ISNUMBER(S151),S151,IF(LEFT(S151,2)="DI",HLOOKUP(S151,DADOS!$T$29:$X$30,2,FALSE),0)),4),"")</f>
        <v/>
      </c>
      <c r="AB151" s="2"/>
    </row>
    <row r="152" spans="1:28">
      <c r="A152" t="str">
        <f t="shared" si="123"/>
        <v>S</v>
      </c>
      <c r="B152">
        <f t="shared" si="124"/>
        <v>0</v>
      </c>
      <c r="C152">
        <f t="shared" ca="1" si="127"/>
        <v>2</v>
      </c>
      <c r="D152">
        <f t="shared" ca="1" si="128"/>
        <v>4</v>
      </c>
      <c r="E152">
        <f t="shared" ca="1" si="129"/>
        <v>0</v>
      </c>
      <c r="F152">
        <f t="shared" ca="1" si="130"/>
        <v>0</v>
      </c>
      <c r="G152">
        <f t="shared" ca="1" si="131"/>
        <v>1</v>
      </c>
      <c r="H152">
        <f ca="1">IF(OR($A152="S",$A152=0),0,MATCH(0,OFFSET($B152,1,$A152,ROW($A$1504)-ROW($A152)),0))</f>
        <v>0</v>
      </c>
      <c r="I152">
        <f ca="1">IF(OR($A152="S",$A152=0),0,MATCH(OFFSET($B152,0,$A152)+1,OFFSET($B152,1,$A152,ROW($A$1504)-ROW($A152)),0))</f>
        <v>0</v>
      </c>
      <c r="J152" s="132" t="s">
        <v>29</v>
      </c>
      <c r="K152" s="121" t="str">
        <f t="shared" ca="1" si="125"/>
        <v>2.4.1.</v>
      </c>
      <c r="L152" s="137" t="str">
        <f t="shared" ca="1" si="132"/>
        <v>CRESS</v>
      </c>
      <c r="M152" s="122" t="s">
        <v>78</v>
      </c>
      <c r="N152" s="139" t="s">
        <v>149</v>
      </c>
      <c r="O152" s="137" t="str">
        <f t="shared" ref="O152:O165" ca="1" si="138">IF(NOT(ISERROR($Y152)),IF($Y152&lt;&gt;FALSE,INDEX(Banco,$Y152,5),""),"")</f>
        <v>Responsável Técnica</v>
      </c>
      <c r="P152" s="138" t="str">
        <f t="shared" ca="1" si="133"/>
        <v>Horas</v>
      </c>
      <c r="Q152" s="134">
        <v>9</v>
      </c>
      <c r="R152" s="124">
        <f t="shared" ca="1" si="134"/>
        <v>150.28</v>
      </c>
      <c r="S152" s="136" t="s">
        <v>62</v>
      </c>
      <c r="T152" s="123">
        <f t="shared" ca="1" si="135"/>
        <v>187.85</v>
      </c>
      <c r="U152" s="126">
        <f t="shared" ca="1" si="136"/>
        <v>1690.65</v>
      </c>
      <c r="V152" s="1"/>
      <c r="W152" s="39" t="str">
        <f ca="1">IF(OR($A152=0,$A152="S",$A152&gt;CFF!$A$9),"",MAX(W$11:OFFSET(W152,-1,0))+1)</f>
        <v/>
      </c>
      <c r="X152" s="4" t="str">
        <f t="shared" si="137"/>
        <v>Rec. Humanos-001</v>
      </c>
      <c r="Y152" s="39">
        <f t="shared" ca="1" si="126"/>
        <v>3</v>
      </c>
      <c r="Z152" s="1"/>
      <c r="AA152" s="133">
        <f>IF($J152=$G$2,ROUND(IF(ISNUMBER(S152),S152,IF(LEFT(S152,2)="DI",HLOOKUP(S152,DADOS!$T$29:$X$30,2,FALSE),0)),4),"")</f>
        <v>0.25</v>
      </c>
      <c r="AB152" s="2"/>
    </row>
    <row r="153" spans="1:28">
      <c r="A153" t="str">
        <f t="shared" si="123"/>
        <v>S</v>
      </c>
      <c r="B153">
        <f t="shared" si="124"/>
        <v>0</v>
      </c>
      <c r="C153">
        <f t="shared" ca="1" si="127"/>
        <v>2</v>
      </c>
      <c r="D153">
        <f t="shared" ca="1" si="128"/>
        <v>4</v>
      </c>
      <c r="E153">
        <f t="shared" ca="1" si="129"/>
        <v>0</v>
      </c>
      <c r="F153">
        <f t="shared" ca="1" si="130"/>
        <v>0</v>
      </c>
      <c r="G153">
        <f t="shared" ca="1" si="131"/>
        <v>2</v>
      </c>
      <c r="H153">
        <f ca="1">IF(OR($A153="S",$A153=0),0,MATCH(0,OFFSET($B153,1,$A153,ROW($A$1504)-ROW($A153)),0))</f>
        <v>0</v>
      </c>
      <c r="I153">
        <f ca="1">IF(OR($A153="S",$A153=0),0,MATCH(OFFSET($B153,0,$A153)+1,OFFSET($B153,1,$A153,ROW($A$1504)-ROW($A153)),0))</f>
        <v>0</v>
      </c>
      <c r="J153" s="132" t="s">
        <v>29</v>
      </c>
      <c r="K153" s="121" t="str">
        <f t="shared" ca="1" si="125"/>
        <v>2.4.2.</v>
      </c>
      <c r="L153" s="137" t="str">
        <f t="shared" ca="1" si="132"/>
        <v>CRESS</v>
      </c>
      <c r="M153" s="122" t="s">
        <v>78</v>
      </c>
      <c r="N153" s="139" t="s">
        <v>152</v>
      </c>
      <c r="O153" s="137" t="str">
        <f t="shared" ca="1" si="138"/>
        <v>Assistente Social</v>
      </c>
      <c r="P153" s="138" t="str">
        <f t="shared" ca="1" si="133"/>
        <v>Horas</v>
      </c>
      <c r="Q153" s="134">
        <v>7</v>
      </c>
      <c r="R153" s="124">
        <f t="shared" ca="1" si="134"/>
        <v>133.81</v>
      </c>
      <c r="S153" s="136" t="s">
        <v>62</v>
      </c>
      <c r="T153" s="123">
        <f t="shared" ca="1" si="135"/>
        <v>167.26</v>
      </c>
      <c r="U153" s="126">
        <f t="shared" ca="1" si="136"/>
        <v>1170.82</v>
      </c>
      <c r="V153" s="1"/>
      <c r="W153" s="39" t="str">
        <f ca="1">IF(OR($A153=0,$A153="S",$A153&gt;CFF!$A$9),"",MAX(W$11:OFFSET(W153,-1,0))+1)</f>
        <v/>
      </c>
      <c r="X153" s="4" t="str">
        <f t="shared" si="137"/>
        <v>Rec. Humanos-002</v>
      </c>
      <c r="Y153" s="39">
        <f t="shared" ca="1" si="126"/>
        <v>4</v>
      </c>
      <c r="Z153" s="1"/>
      <c r="AA153" s="133">
        <f>IF($J153=$G$2,ROUND(IF(ISNUMBER(S153),S153,IF(LEFT(S153,2)="DI",HLOOKUP(S153,DADOS!$T$29:$X$30,2,FALSE),0)),4),"")</f>
        <v>0.25</v>
      </c>
      <c r="AB153" s="2"/>
    </row>
    <row r="154" spans="1:28">
      <c r="A154" t="str">
        <f t="shared" si="123"/>
        <v>S</v>
      </c>
      <c r="B154">
        <f t="shared" si="124"/>
        <v>0</v>
      </c>
      <c r="C154">
        <f t="shared" ca="1" si="127"/>
        <v>2</v>
      </c>
      <c r="D154">
        <f t="shared" ca="1" si="128"/>
        <v>4</v>
      </c>
      <c r="E154">
        <f t="shared" ca="1" si="129"/>
        <v>0</v>
      </c>
      <c r="F154">
        <f t="shared" ca="1" si="130"/>
        <v>0</v>
      </c>
      <c r="G154">
        <f t="shared" ca="1" si="131"/>
        <v>3</v>
      </c>
      <c r="H154">
        <f ca="1">IF(OR($A154="S",$A154=0),0,MATCH(0,OFFSET($B154,1,$A154,ROW($A$1504)-ROW($A154)),0))</f>
        <v>0</v>
      </c>
      <c r="I154">
        <f ca="1">IF(OR($A154="S",$A154=0),0,MATCH(OFFSET($B154,0,$A154)+1,OFFSET($B154,1,$A154,ROW($A$1504)-ROW($A154)),0))</f>
        <v>0</v>
      </c>
      <c r="J154" s="132" t="s">
        <v>29</v>
      </c>
      <c r="K154" s="121" t="str">
        <f t="shared" ca="1" si="125"/>
        <v>2.4.3.</v>
      </c>
      <c r="L154" s="137" t="str">
        <f t="shared" ca="1" si="132"/>
        <v>Cotação</v>
      </c>
      <c r="M154" s="122" t="s">
        <v>78</v>
      </c>
      <c r="N154" s="139" t="s">
        <v>151</v>
      </c>
      <c r="O154" s="137" t="str">
        <f t="shared" ca="1" si="138"/>
        <v xml:space="preserve">Administrador (Técnico de Apoio) </v>
      </c>
      <c r="P154" s="138" t="str">
        <f t="shared" ca="1" si="133"/>
        <v>Horas</v>
      </c>
      <c r="Q154" s="134">
        <v>4</v>
      </c>
      <c r="R154" s="124">
        <f t="shared" ca="1" si="134"/>
        <v>103.65</v>
      </c>
      <c r="S154" s="136" t="s">
        <v>62</v>
      </c>
      <c r="T154" s="123">
        <f t="shared" ca="1" si="135"/>
        <v>129.56</v>
      </c>
      <c r="U154" s="126">
        <f t="shared" ca="1" si="136"/>
        <v>518.24</v>
      </c>
      <c r="V154" s="1"/>
      <c r="W154" s="39" t="str">
        <f ca="1">IF(OR($A154=0,$A154="S",$A154&gt;CFF!$A$9),"",MAX(W$11:OFFSET(W154,-1,0))+1)</f>
        <v/>
      </c>
      <c r="X154" s="4" t="str">
        <f t="shared" si="137"/>
        <v>Rec. Humanos-003</v>
      </c>
      <c r="Y154" s="39">
        <f t="shared" ca="1" si="126"/>
        <v>5</v>
      </c>
      <c r="Z154" s="1"/>
      <c r="AA154" s="133">
        <f>IF($J154=$G$2,ROUND(IF(ISNUMBER(S154),S154,IF(LEFT(S154,2)="DI",HLOOKUP(S154,DADOS!$T$29:$X$30,2,FALSE),0)),4),"")</f>
        <v>0.25</v>
      </c>
      <c r="AB154" s="2"/>
    </row>
    <row r="155" spans="1:28">
      <c r="A155" t="str">
        <f t="shared" si="123"/>
        <v>S</v>
      </c>
      <c r="B155">
        <f t="shared" si="124"/>
        <v>0</v>
      </c>
      <c r="C155">
        <f t="shared" ca="1" si="127"/>
        <v>2</v>
      </c>
      <c r="D155">
        <f t="shared" ca="1" si="128"/>
        <v>4</v>
      </c>
      <c r="E155">
        <f t="shared" ca="1" si="129"/>
        <v>0</v>
      </c>
      <c r="F155">
        <f t="shared" ca="1" si="130"/>
        <v>0</v>
      </c>
      <c r="G155">
        <f t="shared" ca="1" si="131"/>
        <v>4</v>
      </c>
      <c r="H155">
        <f ca="1">IF(OR($A155="S",$A155=0),0,MATCH(0,OFFSET($B155,1,$A155,ROW($A$1504)-ROW($A155)),0))</f>
        <v>0</v>
      </c>
      <c r="I155">
        <f ca="1">IF(OR($A155="S",$A155=0),0,MATCH(OFFSET($B155,0,$A155)+1,OFFSET($B155,1,$A155,ROW($A$1504)-ROW($A155)),0))</f>
        <v>0</v>
      </c>
      <c r="J155" s="132" t="s">
        <v>29</v>
      </c>
      <c r="K155" s="121" t="str">
        <f t="shared" ca="1" si="125"/>
        <v>2.4.4.</v>
      </c>
      <c r="L155" s="137" t="str">
        <f t="shared" ca="1" si="132"/>
        <v>SINE</v>
      </c>
      <c r="M155" s="122" t="s">
        <v>78</v>
      </c>
      <c r="N155" s="139" t="s">
        <v>153</v>
      </c>
      <c r="O155" s="137" t="str">
        <f t="shared" ca="1" si="138"/>
        <v>Estagiários</v>
      </c>
      <c r="P155" s="138" t="str">
        <f t="shared" ca="1" si="133"/>
        <v>Horas</v>
      </c>
      <c r="Q155" s="134">
        <v>16</v>
      </c>
      <c r="R155" s="124">
        <f t="shared" ca="1" si="134"/>
        <v>9.7899999999999991</v>
      </c>
      <c r="S155" s="136" t="s">
        <v>62</v>
      </c>
      <c r="T155" s="123">
        <f t="shared" ca="1" si="135"/>
        <v>12.24</v>
      </c>
      <c r="U155" s="126">
        <f t="shared" ca="1" si="136"/>
        <v>195.84</v>
      </c>
      <c r="V155" s="1"/>
      <c r="W155" s="39" t="str">
        <f ca="1">IF(OR($A155=0,$A155="S",$A155&gt;CFF!$A$9),"",MAX(W$11:OFFSET(W155,-1,0))+1)</f>
        <v/>
      </c>
      <c r="X155" s="4" t="str">
        <f t="shared" si="137"/>
        <v>Rec. Humanos-004</v>
      </c>
      <c r="Y155" s="39">
        <f t="shared" ca="1" si="126"/>
        <v>6</v>
      </c>
      <c r="Z155" s="1"/>
      <c r="AA155" s="133">
        <f>IF($J155=$G$2,ROUND(IF(ISNUMBER(S155),S155,IF(LEFT(S155,2)="DI",HLOOKUP(S155,DADOS!$T$29:$X$30,2,FALSE),0)),4),"")</f>
        <v>0.25</v>
      </c>
      <c r="AB155" s="2"/>
    </row>
    <row r="156" spans="1:28">
      <c r="A156" t="str">
        <f t="shared" si="123"/>
        <v>S</v>
      </c>
      <c r="B156">
        <f t="shared" si="124"/>
        <v>0</v>
      </c>
      <c r="C156">
        <f t="shared" ca="1" si="127"/>
        <v>2</v>
      </c>
      <c r="D156">
        <f t="shared" ca="1" si="128"/>
        <v>4</v>
      </c>
      <c r="E156">
        <f t="shared" ca="1" si="129"/>
        <v>0</v>
      </c>
      <c r="F156">
        <f t="shared" ca="1" si="130"/>
        <v>0</v>
      </c>
      <c r="G156">
        <f t="shared" ca="1" si="131"/>
        <v>5</v>
      </c>
      <c r="H156">
        <f ca="1">IF(OR($A156="S",$A156=0),0,MATCH(0,OFFSET($B156,1,$A156,ROW($A$1504)-ROW($A156)),0))</f>
        <v>0</v>
      </c>
      <c r="I156">
        <f ca="1">IF(OR($A156="S",$A156=0),0,MATCH(OFFSET($B156,0,$A156)+1,OFFSET($B156,1,$A156,ROW($A$1504)-ROW($A156)),0))</f>
        <v>0</v>
      </c>
      <c r="J156" s="132" t="s">
        <v>29</v>
      </c>
      <c r="K156" s="121" t="str">
        <f t="shared" ca="1" si="125"/>
        <v>2.4.5.</v>
      </c>
      <c r="L156" s="137" t="str">
        <f t="shared" ca="1" si="132"/>
        <v>Cotação</v>
      </c>
      <c r="M156" s="122" t="s">
        <v>80</v>
      </c>
      <c r="N156" s="139" t="s">
        <v>149</v>
      </c>
      <c r="O156" s="137" t="str">
        <f t="shared" ca="1" si="138"/>
        <v>Fotocópias</v>
      </c>
      <c r="P156" s="138" t="str">
        <f t="shared" ca="1" si="133"/>
        <v>Unidade</v>
      </c>
      <c r="Q156" s="134">
        <v>105</v>
      </c>
      <c r="R156" s="124">
        <f t="shared" ca="1" si="134"/>
        <v>0.3</v>
      </c>
      <c r="S156" s="136" t="s">
        <v>62</v>
      </c>
      <c r="T156" s="123">
        <f t="shared" ca="1" si="135"/>
        <v>0.38</v>
      </c>
      <c r="U156" s="126">
        <f t="shared" ca="1" si="136"/>
        <v>39.9</v>
      </c>
      <c r="V156" s="1"/>
      <c r="W156" s="39" t="str">
        <f ca="1">IF(OR($A156=0,$A156="S",$A156&gt;CFF!$A$9),"",MAX(W$11:OFFSET(W156,-1,0))+1)</f>
        <v/>
      </c>
      <c r="X156" s="4" t="str">
        <f t="shared" si="137"/>
        <v>Serv. Terc.-001</v>
      </c>
      <c r="Y156" s="39">
        <f t="shared" ca="1" si="126"/>
        <v>81</v>
      </c>
      <c r="Z156" s="1"/>
      <c r="AA156" s="133">
        <f>IF($J156=$G$2,ROUND(IF(ISNUMBER(S156),S156,IF(LEFT(S156,2)="DI",HLOOKUP(S156,DADOS!$T$29:$X$30,2,FALSE),0)),4),"")</f>
        <v>0.25</v>
      </c>
      <c r="AB156" s="2"/>
    </row>
    <row r="157" spans="1:28">
      <c r="A157" t="str">
        <f t="shared" si="123"/>
        <v>S</v>
      </c>
      <c r="B157">
        <f t="shared" si="124"/>
        <v>0</v>
      </c>
      <c r="C157">
        <f t="shared" ca="1" si="127"/>
        <v>2</v>
      </c>
      <c r="D157">
        <f t="shared" ca="1" si="128"/>
        <v>4</v>
      </c>
      <c r="E157">
        <f t="shared" ca="1" si="129"/>
        <v>0</v>
      </c>
      <c r="F157">
        <f t="shared" ca="1" si="130"/>
        <v>0</v>
      </c>
      <c r="G157">
        <f t="shared" ca="1" si="131"/>
        <v>6</v>
      </c>
      <c r="H157">
        <f ca="1">IF(OR($A157="S",$A157=0),0,MATCH(0,OFFSET($B157,1,$A157,ROW($A$1504)-ROW($A157)),0))</f>
        <v>0</v>
      </c>
      <c r="I157">
        <f ca="1">IF(OR($A157="S",$A157=0),0,MATCH(OFFSET($B157,0,$A157)+1,OFFSET($B157,1,$A157,ROW($A$1504)-ROW($A157)),0))</f>
        <v>0</v>
      </c>
      <c r="J157" s="132" t="s">
        <v>29</v>
      </c>
      <c r="K157" s="121" t="str">
        <f t="shared" ca="1" si="125"/>
        <v>2.4.6.</v>
      </c>
      <c r="L157" s="137" t="str">
        <f t="shared" ca="1" si="132"/>
        <v>Cotação</v>
      </c>
      <c r="M157" s="122" t="s">
        <v>80</v>
      </c>
      <c r="N157" s="139" t="s">
        <v>152</v>
      </c>
      <c r="O157" s="137" t="str">
        <f t="shared" ca="1" si="138"/>
        <v>Carro de som com gravação de vinheta</v>
      </c>
      <c r="P157" s="138" t="str">
        <f t="shared" ca="1" si="133"/>
        <v>Horas</v>
      </c>
      <c r="Q157" s="134">
        <v>3</v>
      </c>
      <c r="R157" s="124">
        <f t="shared" ca="1" si="134"/>
        <v>200</v>
      </c>
      <c r="S157" s="136" t="s">
        <v>62</v>
      </c>
      <c r="T157" s="123">
        <f t="shared" ca="1" si="135"/>
        <v>250</v>
      </c>
      <c r="U157" s="126">
        <f t="shared" ca="1" si="136"/>
        <v>750</v>
      </c>
      <c r="V157" s="1"/>
      <c r="W157" s="39" t="str">
        <f ca="1">IF(OR($A157=0,$A157="S",$A157&gt;CFF!$A$9),"",MAX(W$11:OFFSET(W157,-1,0))+1)</f>
        <v/>
      </c>
      <c r="X157" s="4" t="str">
        <f t="shared" si="137"/>
        <v>Serv. Terc.-002</v>
      </c>
      <c r="Y157" s="39">
        <f t="shared" ca="1" si="126"/>
        <v>82</v>
      </c>
      <c r="Z157" s="1"/>
      <c r="AA157" s="133">
        <f>IF($J157=$G$2,ROUND(IF(ISNUMBER(S157),S157,IF(LEFT(S157,2)="DI",HLOOKUP(S157,DADOS!$T$29:$X$30,2,FALSE),0)),4),"")</f>
        <v>0.25</v>
      </c>
      <c r="AB157" s="2"/>
    </row>
    <row r="158" spans="1:28">
      <c r="A158" t="str">
        <f t="shared" si="123"/>
        <v>S</v>
      </c>
      <c r="B158">
        <f t="shared" si="124"/>
        <v>0</v>
      </c>
      <c r="C158">
        <f t="shared" ca="1" si="127"/>
        <v>2</v>
      </c>
      <c r="D158">
        <f t="shared" ca="1" si="128"/>
        <v>4</v>
      </c>
      <c r="E158">
        <f t="shared" ca="1" si="129"/>
        <v>0</v>
      </c>
      <c r="F158">
        <f t="shared" ca="1" si="130"/>
        <v>0</v>
      </c>
      <c r="G158">
        <f t="shared" ca="1" si="131"/>
        <v>7</v>
      </c>
      <c r="H158">
        <f ca="1">IF(OR($A158="S",$A158=0),0,MATCH(0,OFFSET($B158,1,$A158,ROW($A$1504)-ROW($A158)),0))</f>
        <v>0</v>
      </c>
      <c r="I158">
        <f ca="1">IF(OR($A158="S",$A158=0),0,MATCH(OFFSET($B158,0,$A158)+1,OFFSET($B158,1,$A158,ROW($A$1504)-ROW($A158)),0))</f>
        <v>0</v>
      </c>
      <c r="J158" s="132" t="s">
        <v>29</v>
      </c>
      <c r="K158" s="121" t="str">
        <f t="shared" ca="1" si="125"/>
        <v>2.4.7.</v>
      </c>
      <c r="L158" s="137" t="str">
        <f t="shared" ca="1" si="132"/>
        <v>Cotação</v>
      </c>
      <c r="M158" s="122" t="s">
        <v>80</v>
      </c>
      <c r="N158" s="139" t="s">
        <v>256</v>
      </c>
      <c r="O158" s="137" t="str">
        <f ca="1">IF(NOT(ISERROR($Y158)),IF($Y158&lt;&gt;FALSE,INDEX(Banco,$Y158,5),""),"")</f>
        <v>Instrutor/Monitor (Educação Fisíca)</v>
      </c>
      <c r="P158" s="138" t="str">
        <f t="shared" ca="1" si="133"/>
        <v>Horas</v>
      </c>
      <c r="Q158" s="134">
        <v>3</v>
      </c>
      <c r="R158" s="124">
        <f t="shared" ca="1" si="134"/>
        <v>100</v>
      </c>
      <c r="S158" s="136" t="s">
        <v>62</v>
      </c>
      <c r="T158" s="123">
        <f t="shared" ca="1" si="135"/>
        <v>125</v>
      </c>
      <c r="U158" s="126">
        <f t="shared" ca="1" si="136"/>
        <v>375</v>
      </c>
      <c r="V158" s="1"/>
      <c r="W158" s="39" t="str">
        <f ca="1">IF(OR($A158=0,$A158="S",$A158&gt;CFF!$A$9),"",MAX(W$11:OFFSET(W158,-1,0))+1)</f>
        <v/>
      </c>
      <c r="X158" s="4" t="str">
        <f t="shared" si="137"/>
        <v>Serv. Terc.-017</v>
      </c>
      <c r="Y158" s="39">
        <f t="shared" ca="1" si="126"/>
        <v>97</v>
      </c>
      <c r="Z158" s="1"/>
      <c r="AA158" s="133">
        <f>IF($J158=$G$2,ROUND(IF(ISNUMBER(S158),S158,IF(LEFT(S158,2)="DI",HLOOKUP(S158,DADOS!$T$29:$X$30,2,FALSE),0)),4),"")</f>
        <v>0.25</v>
      </c>
      <c r="AB158" s="2"/>
    </row>
    <row r="159" spans="1:28">
      <c r="A159" t="str">
        <f t="shared" si="123"/>
        <v>S</v>
      </c>
      <c r="B159">
        <f t="shared" si="124"/>
        <v>0</v>
      </c>
      <c r="C159">
        <f t="shared" ca="1" si="127"/>
        <v>2</v>
      </c>
      <c r="D159">
        <f t="shared" ca="1" si="128"/>
        <v>4</v>
      </c>
      <c r="E159">
        <f t="shared" ca="1" si="129"/>
        <v>0</v>
      </c>
      <c r="F159">
        <f t="shared" ca="1" si="130"/>
        <v>0</v>
      </c>
      <c r="G159">
        <f t="shared" ca="1" si="131"/>
        <v>8</v>
      </c>
      <c r="H159">
        <f ca="1">IF(OR($A159="S",$A159=0),0,MATCH(0,OFFSET($B159,1,$A159,ROW($A$1504)-ROW($A159)),0))</f>
        <v>0</v>
      </c>
      <c r="I159">
        <f ca="1">IF(OR($A159="S",$A159=0),0,MATCH(OFFSET($B159,0,$A159)+1,OFFSET($B159,1,$A159,ROW($A$1504)-ROW($A159)),0))</f>
        <v>0</v>
      </c>
      <c r="J159" s="132" t="s">
        <v>29</v>
      </c>
      <c r="K159" s="121" t="str">
        <f t="shared" ca="1" si="125"/>
        <v>2.4.8.</v>
      </c>
      <c r="L159" s="137" t="str">
        <f t="shared" ca="1" si="132"/>
        <v>Cotação</v>
      </c>
      <c r="M159" s="122" t="s">
        <v>80</v>
      </c>
      <c r="N159" s="139" t="s">
        <v>154</v>
      </c>
      <c r="O159" s="137" t="str">
        <f t="shared" ca="1" si="138"/>
        <v>Locação de caixa térmica</v>
      </c>
      <c r="P159" s="138" t="str">
        <f t="shared" ca="1" si="133"/>
        <v>Unidade</v>
      </c>
      <c r="Q159" s="134">
        <v>2</v>
      </c>
      <c r="R159" s="124">
        <f t="shared" ca="1" si="134"/>
        <v>40</v>
      </c>
      <c r="S159" s="136" t="s">
        <v>62</v>
      </c>
      <c r="T159" s="123">
        <f t="shared" ca="1" si="135"/>
        <v>50</v>
      </c>
      <c r="U159" s="126">
        <f t="shared" ca="1" si="136"/>
        <v>100</v>
      </c>
      <c r="V159" s="1"/>
      <c r="W159" s="39" t="str">
        <f ca="1">IF(OR($A159=0,$A159="S",$A159&gt;CFF!$A$9),"",MAX(W$11:OFFSET(W159,-1,0))+1)</f>
        <v/>
      </c>
      <c r="X159" s="4" t="str">
        <f t="shared" si="137"/>
        <v>Serv. Terc.-005</v>
      </c>
      <c r="Y159" s="39">
        <f t="shared" ca="1" si="126"/>
        <v>85</v>
      </c>
      <c r="Z159" s="1"/>
      <c r="AA159" s="133">
        <f>IF($J159=$G$2,ROUND(IF(ISNUMBER(S159),S159,IF(LEFT(S159,2)="DI",HLOOKUP(S159,DADOS!$T$29:$X$30,2,FALSE),0)),4),"")</f>
        <v>0.25</v>
      </c>
      <c r="AB159" s="2"/>
    </row>
    <row r="160" spans="1:28">
      <c r="A160" t="str">
        <f t="shared" si="123"/>
        <v>S</v>
      </c>
      <c r="B160">
        <f t="shared" si="124"/>
        <v>0</v>
      </c>
      <c r="C160">
        <f t="shared" ca="1" si="127"/>
        <v>2</v>
      </c>
      <c r="D160">
        <f t="shared" ca="1" si="128"/>
        <v>4</v>
      </c>
      <c r="E160">
        <f t="shared" ca="1" si="129"/>
        <v>0</v>
      </c>
      <c r="F160">
        <f t="shared" ca="1" si="130"/>
        <v>0</v>
      </c>
      <c r="G160">
        <f t="shared" ca="1" si="131"/>
        <v>9</v>
      </c>
      <c r="H160">
        <f ca="1">IF(OR($A160="S",$A160=0),0,MATCH(0,OFFSET($B160,1,$A160,ROW($A$1504)-ROW($A160)),0))</f>
        <v>0</v>
      </c>
      <c r="I160">
        <f ca="1">IF(OR($A160="S",$A160=0),0,MATCH(OFFSET($B160,0,$A160)+1,OFFSET($B160,1,$A160,ROW($A$1504)-ROW($A160)),0))</f>
        <v>0</v>
      </c>
      <c r="J160" s="132" t="s">
        <v>29</v>
      </c>
      <c r="K160" s="121" t="str">
        <f t="shared" ca="1" si="125"/>
        <v>2.4.9.</v>
      </c>
      <c r="L160" s="137" t="str">
        <f t="shared" ca="1" si="132"/>
        <v>Cotação</v>
      </c>
      <c r="M160" s="122" t="s">
        <v>80</v>
      </c>
      <c r="N160" s="139" t="s">
        <v>157</v>
      </c>
      <c r="O160" s="137" t="str">
        <f t="shared" ca="1" si="138"/>
        <v>Locação de pula-pula com monitor</v>
      </c>
      <c r="P160" s="138" t="str">
        <f t="shared" ca="1" si="133"/>
        <v>Unidade</v>
      </c>
      <c r="Q160" s="134">
        <v>2</v>
      </c>
      <c r="R160" s="124">
        <f t="shared" ca="1" si="134"/>
        <v>220</v>
      </c>
      <c r="S160" s="136" t="s">
        <v>62</v>
      </c>
      <c r="T160" s="123">
        <f t="shared" ca="1" si="135"/>
        <v>275</v>
      </c>
      <c r="U160" s="126">
        <f t="shared" ca="1" si="136"/>
        <v>550</v>
      </c>
      <c r="V160" s="1"/>
      <c r="W160" s="39" t="str">
        <f ca="1">IF(OR($A160=0,$A160="S",$A160&gt;CFF!$A$9),"",MAX(W$11:OFFSET(W160,-1,0))+1)</f>
        <v/>
      </c>
      <c r="X160" s="4" t="str">
        <f t="shared" si="137"/>
        <v>Serv. Terc.-008</v>
      </c>
      <c r="Y160" s="39">
        <f t="shared" ca="1" si="126"/>
        <v>88</v>
      </c>
      <c r="Z160" s="1"/>
      <c r="AA160" s="133">
        <f>IF($J160=$G$2,ROUND(IF(ISNUMBER(S160),S160,IF(LEFT(S160,2)="DI",HLOOKUP(S160,DADOS!$T$29:$X$30,2,FALSE),0)),4),"")</f>
        <v>0.25</v>
      </c>
      <c r="AB160" s="2"/>
    </row>
    <row r="161" spans="1:28">
      <c r="A161" t="str">
        <f t="shared" si="123"/>
        <v>S</v>
      </c>
      <c r="B161">
        <f t="shared" si="124"/>
        <v>0</v>
      </c>
      <c r="C161">
        <f t="shared" ca="1" si="127"/>
        <v>2</v>
      </c>
      <c r="D161">
        <f t="shared" ca="1" si="128"/>
        <v>4</v>
      </c>
      <c r="E161">
        <f t="shared" ca="1" si="129"/>
        <v>0</v>
      </c>
      <c r="F161">
        <f t="shared" ca="1" si="130"/>
        <v>0</v>
      </c>
      <c r="G161">
        <f t="shared" ca="1" si="131"/>
        <v>10</v>
      </c>
      <c r="H161">
        <f ca="1">IF(OR($A161="S",$A161=0),0,MATCH(0,OFFSET($B161,1,$A161,ROW($A$1504)-ROW($A161)),0))</f>
        <v>0</v>
      </c>
      <c r="I161">
        <f ca="1">IF(OR($A161="S",$A161=0),0,MATCH(OFFSET($B161,0,$A161)+1,OFFSET($B161,1,$A161,ROW($A$1504)-ROW($A161)),0))</f>
        <v>0</v>
      </c>
      <c r="J161" s="132" t="s">
        <v>29</v>
      </c>
      <c r="K161" s="121" t="str">
        <f t="shared" ca="1" si="125"/>
        <v>2.4.10.</v>
      </c>
      <c r="L161" s="137" t="str">
        <f t="shared" ca="1" si="132"/>
        <v xml:space="preserve">Cotação </v>
      </c>
      <c r="M161" s="122" t="s">
        <v>80</v>
      </c>
      <c r="N161" s="139" t="s">
        <v>159</v>
      </c>
      <c r="O161" s="137" t="str">
        <f t="shared" ca="1" si="138"/>
        <v>Brindes ( descrição nos orçamentos e PTS)</v>
      </c>
      <c r="P161" s="138" t="str">
        <f t="shared" ca="1" si="133"/>
        <v>Unidade</v>
      </c>
      <c r="Q161" s="134">
        <v>4</v>
      </c>
      <c r="R161" s="124">
        <f t="shared" ca="1" si="134"/>
        <v>120</v>
      </c>
      <c r="S161" s="136" t="s">
        <v>62</v>
      </c>
      <c r="T161" s="123">
        <f t="shared" ca="1" si="135"/>
        <v>150</v>
      </c>
      <c r="U161" s="126">
        <f t="shared" ca="1" si="136"/>
        <v>600</v>
      </c>
      <c r="V161" s="1"/>
      <c r="W161" s="39" t="str">
        <f ca="1">IF(OR($A161=0,$A161="S",$A161&gt;CFF!$A$9),"",MAX(W$11:OFFSET(W161,-1,0))+1)</f>
        <v/>
      </c>
      <c r="X161" s="4" t="str">
        <f t="shared" si="137"/>
        <v>Serv. Terc.-010</v>
      </c>
      <c r="Y161" s="39">
        <f t="shared" ca="1" si="126"/>
        <v>90</v>
      </c>
      <c r="Z161" s="1"/>
      <c r="AA161" s="133">
        <f>IF($J161=$G$2,ROUND(IF(ISNUMBER(S161),S161,IF(LEFT(S161,2)="DI",HLOOKUP(S161,DADOS!$T$29:$X$30,2,FALSE),0)),4),"")</f>
        <v>0.25</v>
      </c>
      <c r="AB161" s="2"/>
    </row>
    <row r="162" spans="1:28">
      <c r="A162" t="str">
        <f t="shared" si="123"/>
        <v>S</v>
      </c>
      <c r="B162">
        <f t="shared" si="124"/>
        <v>0</v>
      </c>
      <c r="C162">
        <f t="shared" ca="1" si="127"/>
        <v>2</v>
      </c>
      <c r="D162">
        <f t="shared" ca="1" si="128"/>
        <v>4</v>
      </c>
      <c r="E162">
        <f t="shared" ca="1" si="129"/>
        <v>0</v>
      </c>
      <c r="F162">
        <f t="shared" ca="1" si="130"/>
        <v>0</v>
      </c>
      <c r="G162">
        <f t="shared" ca="1" si="131"/>
        <v>11</v>
      </c>
      <c r="H162">
        <f ca="1">IF(OR($A162="S",$A162=0),0,MATCH(0,OFFSET($B162,1,$A162,ROW($A$1504)-ROW($A162)),0))</f>
        <v>0</v>
      </c>
      <c r="I162">
        <f ca="1">IF(OR($A162="S",$A162=0),0,MATCH(OFFSET($B162,0,$A162)+1,OFFSET($B162,1,$A162,ROW($A$1504)-ROW($A162)),0))</f>
        <v>0</v>
      </c>
      <c r="J162" s="132" t="s">
        <v>29</v>
      </c>
      <c r="K162" s="121" t="str">
        <f t="shared" ca="1" si="125"/>
        <v>2.4.11.</v>
      </c>
      <c r="L162" s="137" t="str">
        <f t="shared" ca="1" si="132"/>
        <v xml:space="preserve">Cotação </v>
      </c>
      <c r="M162" s="122" t="s">
        <v>80</v>
      </c>
      <c r="N162" s="139" t="s">
        <v>160</v>
      </c>
      <c r="O162" s="137" t="str">
        <f t="shared" ca="1" si="138"/>
        <v>Barra de gelo</v>
      </c>
      <c r="P162" s="138" t="str">
        <f t="shared" ca="1" si="133"/>
        <v>Unidade</v>
      </c>
      <c r="Q162" s="134">
        <v>48</v>
      </c>
      <c r="R162" s="124">
        <f t="shared" ca="1" si="134"/>
        <v>12</v>
      </c>
      <c r="S162" s="136" t="s">
        <v>62</v>
      </c>
      <c r="T162" s="123">
        <f t="shared" ca="1" si="135"/>
        <v>15</v>
      </c>
      <c r="U162" s="126">
        <f t="shared" ca="1" si="136"/>
        <v>720</v>
      </c>
      <c r="V162" s="1"/>
      <c r="W162" s="39" t="str">
        <f ca="1">IF(OR($A162=0,$A162="S",$A162&gt;CFF!$A$9),"",MAX(W$11:OFFSET(W162,-1,0))+1)</f>
        <v/>
      </c>
      <c r="X162" s="4" t="str">
        <f t="shared" si="137"/>
        <v>Serv. Terc.-011</v>
      </c>
      <c r="Y162" s="39">
        <f t="shared" ca="1" si="126"/>
        <v>91</v>
      </c>
      <c r="Z162" s="1"/>
      <c r="AA162" s="133">
        <f>IF($J162=$G$2,ROUND(IF(ISNUMBER(S162),S162,IF(LEFT(S162,2)="DI",HLOOKUP(S162,DADOS!$T$29:$X$30,2,FALSE),0)),4),"")</f>
        <v>0.25</v>
      </c>
      <c r="AB162" s="2"/>
    </row>
    <row r="163" spans="1:28">
      <c r="A163" t="str">
        <f t="shared" si="123"/>
        <v>S</v>
      </c>
      <c r="B163">
        <f t="shared" si="124"/>
        <v>0</v>
      </c>
      <c r="C163">
        <f t="shared" ca="1" si="127"/>
        <v>2</v>
      </c>
      <c r="D163">
        <f t="shared" ca="1" si="128"/>
        <v>4</v>
      </c>
      <c r="E163">
        <f t="shared" ca="1" si="129"/>
        <v>0</v>
      </c>
      <c r="F163">
        <f t="shared" ca="1" si="130"/>
        <v>0</v>
      </c>
      <c r="G163">
        <f t="shared" ca="1" si="131"/>
        <v>12</v>
      </c>
      <c r="H163">
        <f ca="1">IF(OR($A163="S",$A163=0),0,MATCH(0,OFFSET($B163,1,$A163,ROW($A$1504)-ROW($A163)),0))</f>
        <v>0</v>
      </c>
      <c r="I163">
        <f ca="1">IF(OR($A163="S",$A163=0),0,MATCH(OFFSET($B163,0,$A163)+1,OFFSET($B163,1,$A163,ROW($A$1504)-ROW($A163)),0))</f>
        <v>0</v>
      </c>
      <c r="J163" s="132" t="s">
        <v>29</v>
      </c>
      <c r="K163" s="121" t="str">
        <f t="shared" ca="1" si="125"/>
        <v>2.4.12.</v>
      </c>
      <c r="L163" s="137" t="str">
        <f t="shared" ca="1" si="132"/>
        <v>Cotação</v>
      </c>
      <c r="M163" s="122" t="s">
        <v>80</v>
      </c>
      <c r="N163" s="139" t="s">
        <v>150</v>
      </c>
      <c r="O163" s="137" t="str">
        <f t="shared" ca="1" si="138"/>
        <v>Sucos</v>
      </c>
      <c r="P163" s="138" t="str">
        <f t="shared" ca="1" si="133"/>
        <v>Unidade</v>
      </c>
      <c r="Q163" s="134">
        <v>12</v>
      </c>
      <c r="R163" s="124">
        <f t="shared" ca="1" si="134"/>
        <v>6.4</v>
      </c>
      <c r="S163" s="136" t="s">
        <v>62</v>
      </c>
      <c r="T163" s="123">
        <f t="shared" ca="1" si="135"/>
        <v>8</v>
      </c>
      <c r="U163" s="126">
        <f t="shared" ca="1" si="136"/>
        <v>96</v>
      </c>
      <c r="V163" s="1"/>
      <c r="W163" s="39" t="str">
        <f ca="1">IF(OR($A163=0,$A163="S",$A163&gt;CFF!$A$9),"",MAX(W$11:OFFSET(W163,-1,0))+1)</f>
        <v/>
      </c>
      <c r="X163" s="4" t="str">
        <f t="shared" si="137"/>
        <v>Serv. Terc.-013</v>
      </c>
      <c r="Y163" s="39">
        <f t="shared" ca="1" si="126"/>
        <v>93</v>
      </c>
      <c r="Z163" s="1"/>
      <c r="AA163" s="133">
        <f>IF($J163=$G$2,ROUND(IF(ISNUMBER(S163),S163,IF(LEFT(S163,2)="DI",HLOOKUP(S163,DADOS!$T$29:$X$30,2,FALSE),0)),4),"")</f>
        <v>0.25</v>
      </c>
      <c r="AB163" s="2"/>
    </row>
    <row r="164" spans="1:28">
      <c r="A164" t="str">
        <f t="shared" si="123"/>
        <v>S</v>
      </c>
      <c r="B164">
        <f t="shared" si="124"/>
        <v>0</v>
      </c>
      <c r="C164">
        <f ca="1">IF($A164=1,OFFSET(C164,-1,0)+1,OFFSET(C164,-1,0))</f>
        <v>2</v>
      </c>
      <c r="D164">
        <f ca="1">IF($A164=1,0,IF($A164=2,OFFSET(D164,-1,0)+1,OFFSET(D164,-1,0)))</f>
        <v>4</v>
      </c>
      <c r="E164">
        <f ca="1">IF(AND($A164&lt;=2,$A164&lt;&gt;0),0,IF($A164=3,OFFSET(E164,-1,0)+1,OFFSET(E164,-1,0)))</f>
        <v>0</v>
      </c>
      <c r="F164">
        <f ca="1">IF(AND($A164&lt;=3,$A164&lt;&gt;0),0,IF($A164=4,OFFSET(F164,-1,0)+1,OFFSET(F164,-1,0)))</f>
        <v>0</v>
      </c>
      <c r="G164">
        <f ca="1">IF(AND($A164&lt;=4,$A164&lt;&gt;0),0,IF($A164="S",OFFSET(G164,-1,0)+1,OFFSET(G164,-1,0)))</f>
        <v>13</v>
      </c>
      <c r="H164">
        <f ca="1">IF(OR($A164="S",$A164=0),0,MATCH(0,OFFSET($B164,1,$A164,ROW($A$1504)-ROW($A164)),0))</f>
        <v>0</v>
      </c>
      <c r="I164">
        <f ca="1">IF(OR($A164="S",$A164=0),0,MATCH(OFFSET($B164,0,$A164)+1,OFFSET($B164,1,$A164,ROW($A$1504)-ROW($A164)),0))</f>
        <v>0</v>
      </c>
      <c r="J164" s="132" t="s">
        <v>29</v>
      </c>
      <c r="K164" s="121" t="str">
        <f t="shared" ca="1" si="125"/>
        <v>2.4.13.</v>
      </c>
      <c r="L164" s="137" t="str">
        <f ca="1">IF(NOT(ISERROR($Y164)),IF($Y164&lt;&gt;FALSE,INDEX(Banco,$Y164,4),""),"")</f>
        <v>Cotação</v>
      </c>
      <c r="M164" s="122" t="s">
        <v>80</v>
      </c>
      <c r="N164" s="139" t="s">
        <v>171</v>
      </c>
      <c r="O164" s="137" t="str">
        <f ca="1">IF(NOT(ISERROR($Y164)),IF($Y164&lt;&gt;FALSE,INDEX(Banco,$Y164,5),""),"")</f>
        <v xml:space="preserve">Refrigerantes (02 litros) </v>
      </c>
      <c r="P164" s="138" t="str">
        <f ca="1">IF(NOT(ISERROR($Y164)),IF($Y164&lt;&gt;FALSE,INDEX(Banco,$Y164,6),""),"")</f>
        <v>Unidade</v>
      </c>
      <c r="Q164" s="134">
        <v>20</v>
      </c>
      <c r="R164" s="124">
        <f ca="1">IF(NOT(ISERROR($Y164)),IF($Y164&lt;&gt;FALSE,INDEX(Banco,$Y164,7),0),0)</f>
        <v>6</v>
      </c>
      <c r="S164" s="136" t="s">
        <v>62</v>
      </c>
      <c r="T164" s="123">
        <f ca="1">IF($J164=$G$2,ROUND(ROUND($R164,2)*IF($R$9="Preço Unitário (R$)",1,1+$AA164),2),0)</f>
        <v>7.5</v>
      </c>
      <c r="U164" s="126">
        <f ca="1">IF($A164="S",VTOTAL1,IF($A164=0,0,ROUND(SomaAgrup,2)))</f>
        <v>150</v>
      </c>
      <c r="V164" s="1"/>
      <c r="W164" s="39" t="str">
        <f ca="1">IF(OR($A164=0,$A164="S",$A164&gt;CFF!$A$9),"",MAX(W$11:OFFSET(W164,-1,0))+1)</f>
        <v/>
      </c>
      <c r="X164" s="4" t="str">
        <f>IF(AND($J164=$G$2,$N164&lt;&gt;"",$M164&lt;&gt;""),CONCATENATE($M164,"-",$N164))</f>
        <v>Serv. Terc.-027</v>
      </c>
      <c r="Y164" s="39">
        <f t="shared" ca="1" si="126"/>
        <v>107</v>
      </c>
      <c r="Z164" s="1"/>
      <c r="AA164" s="133">
        <f>IF($J164=$G$2,ROUND(IF(ISNUMBER(S164),S164,IF(LEFT(S164,2)="DI",HLOOKUP(S164,DADOS!$T$29:$X$30,2,FALSE),0)),4),"")</f>
        <v>0.25</v>
      </c>
      <c r="AB164" s="2"/>
    </row>
    <row r="165" spans="1:28">
      <c r="A165" t="str">
        <f t="shared" si="123"/>
        <v>S</v>
      </c>
      <c r="B165">
        <f t="shared" si="124"/>
        <v>0</v>
      </c>
      <c r="C165">
        <f t="shared" ca="1" si="127"/>
        <v>2</v>
      </c>
      <c r="D165">
        <f t="shared" ca="1" si="128"/>
        <v>4</v>
      </c>
      <c r="E165">
        <f t="shared" ca="1" si="129"/>
        <v>0</v>
      </c>
      <c r="F165">
        <f t="shared" ca="1" si="130"/>
        <v>0</v>
      </c>
      <c r="G165">
        <f t="shared" ca="1" si="131"/>
        <v>14</v>
      </c>
      <c r="H165">
        <f ca="1">IF(OR($A165="S",$A165=0),0,MATCH(0,OFFSET($B165,1,$A165,ROW($A$1504)-ROW($A165)),0))</f>
        <v>0</v>
      </c>
      <c r="I165">
        <f ca="1">IF(OR($A165="S",$A165=0),0,MATCH(OFFSET($B165,0,$A165)+1,OFFSET($B165,1,$A165,ROW($A$1504)-ROW($A165)),0))</f>
        <v>0</v>
      </c>
      <c r="J165" s="132" t="s">
        <v>29</v>
      </c>
      <c r="K165" s="121" t="str">
        <f t="shared" ca="1" si="125"/>
        <v>2.4.14.</v>
      </c>
      <c r="L165" s="137" t="str">
        <f t="shared" ca="1" si="132"/>
        <v>Cotação</v>
      </c>
      <c r="M165" s="122" t="s">
        <v>80</v>
      </c>
      <c r="N165" s="139" t="s">
        <v>162</v>
      </c>
      <c r="O165" s="137" t="str">
        <f t="shared" ca="1" si="138"/>
        <v>Coffee break (salgados)</v>
      </c>
      <c r="P165" s="138" t="str">
        <f t="shared" ca="1" si="133"/>
        <v>Centro</v>
      </c>
      <c r="Q165" s="134">
        <v>15</v>
      </c>
      <c r="R165" s="124">
        <f t="shared" ca="1" si="134"/>
        <v>65</v>
      </c>
      <c r="S165" s="136" t="s">
        <v>62</v>
      </c>
      <c r="T165" s="123">
        <f t="shared" ca="1" si="135"/>
        <v>81.25</v>
      </c>
      <c r="U165" s="126">
        <f t="shared" ca="1" si="136"/>
        <v>1218.75</v>
      </c>
      <c r="V165" s="1"/>
      <c r="W165" s="39" t="str">
        <f ca="1">IF(OR($A165=0,$A165="S",$A165&gt;CFF!$A$9),"",MAX(W$11:OFFSET(W165,-1,0))+1)</f>
        <v/>
      </c>
      <c r="X165" s="4" t="str">
        <f t="shared" si="137"/>
        <v>Serv. Terc.-015</v>
      </c>
      <c r="Y165" s="39">
        <f t="shared" ca="1" si="126"/>
        <v>95</v>
      </c>
      <c r="Z165" s="1"/>
      <c r="AA165" s="133">
        <f>IF($J165=$G$2,ROUND(IF(ISNUMBER(S165),S165,IF(LEFT(S165,2)="DI",HLOOKUP(S165,DADOS!$T$29:$X$30,2,FALSE),0)),4),"")</f>
        <v>0.25</v>
      </c>
      <c r="AB165" s="2"/>
    </row>
    <row r="166" spans="1:28">
      <c r="A166" t="str">
        <f t="shared" si="123"/>
        <v>S</v>
      </c>
      <c r="B166">
        <f t="shared" si="124"/>
        <v>0</v>
      </c>
      <c r="C166">
        <f t="shared" ca="1" si="127"/>
        <v>2</v>
      </c>
      <c r="D166">
        <f t="shared" ca="1" si="128"/>
        <v>4</v>
      </c>
      <c r="E166">
        <f t="shared" ca="1" si="129"/>
        <v>0</v>
      </c>
      <c r="F166">
        <f t="shared" ca="1" si="130"/>
        <v>0</v>
      </c>
      <c r="G166">
        <f t="shared" ca="1" si="131"/>
        <v>15</v>
      </c>
      <c r="H166">
        <f ca="1">IF(OR($A166="S",$A166=0),0,MATCH(0,OFFSET($B166,1,$A166,ROW($A$1504)-ROW($A166)),0))</f>
        <v>0</v>
      </c>
      <c r="I166">
        <f ca="1">IF(OR($A166="S",$A166=0),0,MATCH(OFFSET($B166,0,$A166)+1,OFFSET($B166,1,$A166,ROW($A$1504)-ROW($A166)),0))</f>
        <v>0</v>
      </c>
      <c r="J166" s="132" t="s">
        <v>29</v>
      </c>
      <c r="K166" s="121" t="str">
        <f t="shared" ca="1" si="125"/>
        <v>2.4.15.</v>
      </c>
      <c r="L166" s="137" t="str">
        <f t="shared" ca="1" si="132"/>
        <v>Cotação</v>
      </c>
      <c r="M166" s="122" t="s">
        <v>79</v>
      </c>
      <c r="N166" s="139" t="s">
        <v>163</v>
      </c>
      <c r="O166" s="137" t="str">
        <f ca="1">IF(NOT(ISERROR($Y166)),IF($Y166&lt;&gt;FALSE,INDEX(Banco,$Y166,5),""),"")</f>
        <v>Guloseimas (balas e pirulito)</v>
      </c>
      <c r="P166" s="138" t="str">
        <f t="shared" ca="1" si="133"/>
        <v>Pacote</v>
      </c>
      <c r="Q166" s="134">
        <v>4</v>
      </c>
      <c r="R166" s="124">
        <f t="shared" ca="1" si="134"/>
        <v>12</v>
      </c>
      <c r="S166" s="136" t="s">
        <v>62</v>
      </c>
      <c r="T166" s="123">
        <f t="shared" ca="1" si="135"/>
        <v>15</v>
      </c>
      <c r="U166" s="126">
        <f t="shared" ca="1" si="136"/>
        <v>60</v>
      </c>
      <c r="V166" s="1"/>
      <c r="W166" s="39" t="str">
        <f ca="1">IF(OR($A166=0,$A166="S",$A166&gt;CFF!$A$9),"",MAX(W$11:OFFSET(W166,-1,0))+1)</f>
        <v/>
      </c>
      <c r="X166" s="4" t="str">
        <f t="shared" si="137"/>
        <v>Rec. Materiais-020</v>
      </c>
      <c r="Y166" s="39">
        <f t="shared" ca="1" si="126"/>
        <v>29</v>
      </c>
      <c r="Z166" s="1"/>
      <c r="AA166" s="133">
        <f>IF($J166=$G$2,ROUND(IF(ISNUMBER(S166),S166,IF(LEFT(S166,2)="DI",HLOOKUP(S166,DADOS!$T$29:$X$30,2,FALSE),0)),4),"")</f>
        <v>0.25</v>
      </c>
      <c r="AB166" s="2"/>
    </row>
    <row r="167" spans="1:28">
      <c r="A167" t="str">
        <f t="shared" si="123"/>
        <v>S</v>
      </c>
      <c r="B167">
        <f t="shared" si="124"/>
        <v>0</v>
      </c>
      <c r="C167">
        <f ca="1">IF($A167=1,OFFSET(C167,-1,0)+1,OFFSET(C167,-1,0))</f>
        <v>2</v>
      </c>
      <c r="D167">
        <f ca="1">IF($A167=1,0,IF($A167=2,OFFSET(D167,-1,0)+1,OFFSET(D167,-1,0)))</f>
        <v>4</v>
      </c>
      <c r="E167">
        <f ca="1">IF(AND($A167&lt;=2,$A167&lt;&gt;0),0,IF($A167=3,OFFSET(E167,-1,0)+1,OFFSET(E167,-1,0)))</f>
        <v>0</v>
      </c>
      <c r="F167">
        <f ca="1">IF(AND($A167&lt;=3,$A167&lt;&gt;0),0,IF($A167=4,OFFSET(F167,-1,0)+1,OFFSET(F167,-1,0)))</f>
        <v>0</v>
      </c>
      <c r="G167">
        <f ca="1">IF(AND($A167&lt;=4,$A167&lt;&gt;0),0,IF($A167="S",OFFSET(G167,-1,0)+1,OFFSET(G167,-1,0)))</f>
        <v>16</v>
      </c>
      <c r="H167">
        <f ca="1">IF(OR($A167="S",$A167=0),0,MATCH(0,OFFSET($B167,1,$A167,ROW($A$1504)-ROW($A167)),0))</f>
        <v>0</v>
      </c>
      <c r="I167">
        <f ca="1">IF(OR($A167="S",$A167=0),0,MATCH(OFFSET($B167,0,$A167)+1,OFFSET($B167,1,$A167,ROW($A$1504)-ROW($A167)),0))</f>
        <v>0</v>
      </c>
      <c r="J167" s="132" t="s">
        <v>29</v>
      </c>
      <c r="K167" s="121" t="str">
        <f t="shared" ca="1" si="125"/>
        <v>2.4.16.</v>
      </c>
      <c r="L167" s="137" t="str">
        <f ca="1">IF(NOT(ISERROR($Y167)),IF($Y167&lt;&gt;FALSE,INDEX(Banco,$Y167,4),""),"")</f>
        <v xml:space="preserve">SINAPI </v>
      </c>
      <c r="M167" s="122" t="s">
        <v>80</v>
      </c>
      <c r="N167" s="139" t="s">
        <v>314</v>
      </c>
      <c r="O167" s="137" t="str">
        <f ca="1">IF(NOT(ISERROR($Y167)),IF($Y167&lt;&gt;FALSE,INDEX(Banco,$Y167,5),""),"")</f>
        <v xml:space="preserve">Arquiteto </v>
      </c>
      <c r="P167" s="138" t="str">
        <f ca="1">IF(NOT(ISERROR($Y167)),IF($Y167&lt;&gt;FALSE,INDEX(Banco,$Y167,6),""),"")</f>
        <v>Horas</v>
      </c>
      <c r="Q167" s="134">
        <v>4</v>
      </c>
      <c r="R167" s="124">
        <f ca="1">IF(NOT(ISERROR($Y167)),IF($Y167&lt;&gt;FALSE,INDEX(Banco,$Y167,7),0),0)</f>
        <v>86.85</v>
      </c>
      <c r="S167" s="136" t="s">
        <v>62</v>
      </c>
      <c r="T167" s="123">
        <f ca="1">IF($J167=$G$2,ROUND(ROUND($R167,2)*IF($R$9="Preço Unitário (R$)",1,1+$AA167),2),0)</f>
        <v>108.56</v>
      </c>
      <c r="U167" s="126">
        <f ca="1">IF($A167="S",VTOTAL1,IF($A167=0,0,ROUND(SomaAgrup,2)))</f>
        <v>434.24</v>
      </c>
      <c r="V167" s="1"/>
      <c r="W167" s="39" t="str">
        <f ca="1">IF(OR($A167=0,$A167="S",$A167&gt;CFF!$A$9),"",MAX(W$11:OFFSET(W167,-1,0))+1)</f>
        <v/>
      </c>
      <c r="X167" s="4" t="str">
        <f>IF(AND($J167=$G$2,$N167&lt;&gt;"",$M167&lt;&gt;""),CONCATENATE($M167,"-",$N167))</f>
        <v>Serv. Terc.-041</v>
      </c>
      <c r="Y167" s="39">
        <f t="shared" ca="1" si="126"/>
        <v>121</v>
      </c>
      <c r="Z167" s="1"/>
      <c r="AA167" s="133">
        <f>IF($J167=$G$2,ROUND(IF(ISNUMBER(S167),S167,IF(LEFT(S167,2)="DI",HLOOKUP(S167,DADOS!$T$29:$X$30,2,FALSE),0)),4),"")</f>
        <v>0.25</v>
      </c>
      <c r="AB167" s="2"/>
    </row>
    <row r="168" spans="1:28">
      <c r="A168" t="str">
        <f t="shared" si="123"/>
        <v>S</v>
      </c>
      <c r="B168">
        <f t="shared" si="124"/>
        <v>0</v>
      </c>
      <c r="C168">
        <f t="shared" ca="1" si="127"/>
        <v>2</v>
      </c>
      <c r="D168">
        <f t="shared" ca="1" si="128"/>
        <v>4</v>
      </c>
      <c r="E168">
        <f t="shared" ca="1" si="129"/>
        <v>0</v>
      </c>
      <c r="F168">
        <f t="shared" ca="1" si="130"/>
        <v>0</v>
      </c>
      <c r="G168">
        <f t="shared" ca="1" si="131"/>
        <v>17</v>
      </c>
      <c r="H168">
        <f ca="1">IF(OR($A168="S",$A168=0),0,MATCH(0,OFFSET($B168,1,$A168,ROW($A$1504)-ROW($A168)),0))</f>
        <v>0</v>
      </c>
      <c r="I168">
        <f ca="1">IF(OR($A168="S",$A168=0),0,MATCH(OFFSET($B168,0,$A168)+1,OFFSET($B168,1,$A168,ROW($A$1504)-ROW($A168)),0))</f>
        <v>0</v>
      </c>
      <c r="J168" s="132" t="s">
        <v>29</v>
      </c>
      <c r="K168" s="121" t="str">
        <f t="shared" ca="1" si="125"/>
        <v>2.4.17.</v>
      </c>
      <c r="L168" s="137" t="str">
        <f t="shared" ca="1" si="132"/>
        <v>Cotação</v>
      </c>
      <c r="M168" s="122" t="s">
        <v>79</v>
      </c>
      <c r="N168" s="139" t="s">
        <v>165</v>
      </c>
      <c r="O168" s="137" t="str">
        <f ca="1">IF(NOT(ISERROR($Y168)),IF($Y168&lt;&gt;FALSE,INDEX(Banco,$Y168,5),""),"")</f>
        <v>Papel de presente</v>
      </c>
      <c r="P168" s="138" t="str">
        <f t="shared" ca="1" si="133"/>
        <v>Folhas</v>
      </c>
      <c r="Q168" s="134">
        <v>8</v>
      </c>
      <c r="R168" s="124">
        <f t="shared" ca="1" si="134"/>
        <v>1.5</v>
      </c>
      <c r="S168" s="136" t="s">
        <v>62</v>
      </c>
      <c r="T168" s="123">
        <f t="shared" ca="1" si="135"/>
        <v>1.88</v>
      </c>
      <c r="U168" s="126">
        <f t="shared" ca="1" si="136"/>
        <v>15.04</v>
      </c>
      <c r="V168" s="1"/>
      <c r="W168" s="39" t="str">
        <f ca="1">IF(OR($A168=0,$A168="S",$A168&gt;CFF!$A$9),"",MAX(W$11:OFFSET(W168,-1,0))+1)</f>
        <v/>
      </c>
      <c r="X168" s="4" t="str">
        <f t="shared" si="137"/>
        <v>Rec. Materiais-021</v>
      </c>
      <c r="Y168" s="39">
        <f t="shared" ca="1" si="126"/>
        <v>30</v>
      </c>
      <c r="Z168" s="1"/>
      <c r="AA168" s="133">
        <f>IF($J168=$G$2,ROUND(IF(ISNUMBER(S168),S168,IF(LEFT(S168,2)="DI",HLOOKUP(S168,DADOS!$T$29:$X$30,2,FALSE),0)),4),"")</f>
        <v>0.25</v>
      </c>
      <c r="AB168" s="2"/>
    </row>
    <row r="169" spans="1:28">
      <c r="A169" t="str">
        <f t="shared" si="123"/>
        <v>S</v>
      </c>
      <c r="B169">
        <f t="shared" si="124"/>
        <v>0</v>
      </c>
      <c r="C169">
        <f t="shared" ca="1" si="127"/>
        <v>2</v>
      </c>
      <c r="D169">
        <f t="shared" ca="1" si="128"/>
        <v>4</v>
      </c>
      <c r="E169">
        <f t="shared" ca="1" si="129"/>
        <v>0</v>
      </c>
      <c r="F169">
        <f t="shared" ca="1" si="130"/>
        <v>0</v>
      </c>
      <c r="G169">
        <f t="shared" ca="1" si="131"/>
        <v>18</v>
      </c>
      <c r="H169">
        <f ca="1">IF(OR($A169="S",$A169=0),0,MATCH(0,OFFSET($B169,1,$A169,ROW($A$1504)-ROW($A169)),0))</f>
        <v>0</v>
      </c>
      <c r="I169">
        <f ca="1">IF(OR($A169="S",$A169=0),0,MATCH(OFFSET($B169,0,$A169)+1,OFFSET($B169,1,$A169,ROW($A$1504)-ROW($A169)),0))</f>
        <v>0</v>
      </c>
      <c r="J169" s="132" t="s">
        <v>29</v>
      </c>
      <c r="K169" s="121" t="str">
        <f t="shared" ca="1" si="125"/>
        <v>2.4.18.</v>
      </c>
      <c r="L169" s="137" t="str">
        <f t="shared" ca="1" si="132"/>
        <v>Cotação</v>
      </c>
      <c r="M169" s="122" t="s">
        <v>79</v>
      </c>
      <c r="N169" s="139" t="s">
        <v>170</v>
      </c>
      <c r="O169" s="137" t="str">
        <f ca="1">IF(NOT(ISERROR($Y169)),IF($Y169&lt;&gt;FALSE,INDEX(Banco,$Y169,5),""),"")</f>
        <v>Saco de lixo (100 litros)</v>
      </c>
      <c r="P169" s="138" t="str">
        <f t="shared" ca="1" si="133"/>
        <v>Pacote</v>
      </c>
      <c r="Q169" s="134">
        <v>2</v>
      </c>
      <c r="R169" s="124">
        <f t="shared" ca="1" si="134"/>
        <v>15</v>
      </c>
      <c r="S169" s="136" t="s">
        <v>62</v>
      </c>
      <c r="T169" s="123">
        <f t="shared" ca="1" si="135"/>
        <v>18.75</v>
      </c>
      <c r="U169" s="126">
        <f t="shared" ca="1" si="136"/>
        <v>37.5</v>
      </c>
      <c r="V169" s="1"/>
      <c r="W169" s="39" t="str">
        <f ca="1">IF(OR($A169=0,$A169="S",$A169&gt;CFF!$A$9),"",MAX(W$11:OFFSET(W169,-1,0))+1)</f>
        <v/>
      </c>
      <c r="X169" s="4" t="str">
        <f t="shared" si="137"/>
        <v>Rec. Materiais-026</v>
      </c>
      <c r="Y169" s="39">
        <f t="shared" ca="1" si="126"/>
        <v>35</v>
      </c>
      <c r="Z169" s="1"/>
      <c r="AA169" s="133">
        <f>IF($J169=$G$2,ROUND(IF(ISNUMBER(S169),S169,IF(LEFT(S169,2)="DI",HLOOKUP(S169,DADOS!$T$29:$X$30,2,FALSE),0)),4),"")</f>
        <v>0.25</v>
      </c>
      <c r="AB169" s="2"/>
    </row>
    <row r="170" spans="1:28">
      <c r="A170">
        <f>CHOOSE(1+LOG(1+2*(J170=$C$2)+4*(J170=$D$2)+8*(J170=$E$2)+16*(J170=$F$2)+32*(J170=$G$2),2),0,1,2,3,4,"S")</f>
        <v>2</v>
      </c>
      <c r="B170">
        <f ca="1">IF(OR(A170="S",A170=0),0,IF(ISERROR(I170),H170,SMALL(H170:I170,1)))</f>
        <v>19</v>
      </c>
      <c r="C170">
        <f ca="1">IF($A170=1,OFFSET(C170,-1,0)+1,OFFSET(C170,-1,0))</f>
        <v>2</v>
      </c>
      <c r="D170">
        <f ca="1">IF($A170=1,0,IF($A170=2,OFFSET(D170,-1,0)+1,OFFSET(D170,-1,0)))</f>
        <v>5</v>
      </c>
      <c r="E170">
        <f ca="1">IF(AND($A170&lt;=2,$A170&lt;&gt;0),0,IF($A170=3,OFFSET(E170,-1,0)+1,OFFSET(E170,-1,0)))</f>
        <v>0</v>
      </c>
      <c r="F170">
        <f ca="1">IF(AND($A170&lt;=3,$A170&lt;&gt;0),0,IF($A170=4,OFFSET(F170,-1,0)+1,OFFSET(F170,-1,0)))</f>
        <v>0</v>
      </c>
      <c r="G170">
        <f ca="1">IF(AND($A170&lt;=4,$A170&lt;&gt;0),0,IF($A170="S",OFFSET(G170,-1,0)+1,OFFSET(G170,-1,0)))</f>
        <v>0</v>
      </c>
      <c r="H170">
        <f ca="1">IF(OR($A170="S",$A170=0),0,MATCH(0,OFFSET($B170,1,$A170,ROW($A$1504)-ROW($A170)),0))</f>
        <v>32</v>
      </c>
      <c r="I170">
        <f ca="1">IF(OR($A170="S",$A170=0),0,MATCH(OFFSET($B170,0,$A170)+1,OFFSET($B170,1,$A170,ROW($A$1504)-ROW($A170)),0))</f>
        <v>19</v>
      </c>
      <c r="J170" s="132" t="s">
        <v>68</v>
      </c>
      <c r="K170" s="121" t="str">
        <f ca="1">IF($A170=0,"-",CONCATENATE(C170&amp;".",IF(AND($A$5&gt;=2,$A170&gt;=2),D170&amp;".",""),IF(AND($A$5&gt;=3,$A170&gt;=3),E170&amp;".",""),IF(AND($A$5&gt;=4,$A170&gt;=4),F170&amp;".",""),IF($A170="S",G170&amp;".","")))</f>
        <v>2.5.</v>
      </c>
      <c r="L170" s="137" t="str">
        <f ca="1">IF(NOT(ISERROR($Y170)),IF($Y170&lt;&gt;FALSE,INDEX(Banco,$Y170,4),""),"")</f>
        <v/>
      </c>
      <c r="M170" s="122"/>
      <c r="N170" s="139"/>
      <c r="O170" s="137" t="s">
        <v>355</v>
      </c>
      <c r="P170" s="138" t="str">
        <f ca="1">IF(NOT(ISERROR($Y170)),IF($Y170&lt;&gt;FALSE,INDEX(Banco,$Y170,6),""),"")</f>
        <v/>
      </c>
      <c r="Q170" s="134"/>
      <c r="R170" s="124">
        <f ca="1">IF(NOT(ISERROR($Y170)),IF($Y170&lt;&gt;FALSE,INDEX(Banco,$Y170,7),0),0)</f>
        <v>0</v>
      </c>
      <c r="S170" s="136" t="s">
        <v>62</v>
      </c>
      <c r="T170" s="123">
        <f>IF($J170=$G$2,ROUND(ROUND($R170,2)*IF($R$9="Preço Unitário (R$)",1,1+$AA170),2),0)</f>
        <v>0</v>
      </c>
      <c r="U170" s="126">
        <f ca="1">IF($A170="S",VTOTAL1,IF($A170=0,0,ROUND(SomaAgrup,2)))</f>
        <v>6923.21</v>
      </c>
      <c r="V170" s="1"/>
      <c r="W170" s="39">
        <f ca="1">IF(OR($A170=0,$A170="S",$A170&gt;CFF!$A$9),"",MAX(W$11:OFFSET(W170,-1,0))+1)</f>
        <v>10</v>
      </c>
      <c r="X170" s="4" t="b">
        <f>IF(AND($J170=$G$2,$N170&lt;&gt;"",$M170&lt;&gt;""),CONCATENATE($M170,"-",$N170))</f>
        <v>0</v>
      </c>
      <c r="Y170" s="39" t="b">
        <f ca="1">IF(X170&lt;&gt;FALSE,MATCH(X170,OFFSET(Banco,0,0,,1),0))</f>
        <v>0</v>
      </c>
      <c r="Z170" s="1"/>
      <c r="AA170" s="133" t="str">
        <f>IF($J170=$G$2,ROUND(IF(ISNUMBER(S170),S170,IF(LEFT(S170,2)="DI",HLOOKUP(S170,DADOS!$T$29:$X$30,2,FALSE),0)),4),"")</f>
        <v/>
      </c>
      <c r="AB170" s="2"/>
    </row>
    <row r="171" spans="1:28">
      <c r="A171" t="str">
        <f t="shared" ref="A171:A188" si="139">CHOOSE(1+LOG(1+2*(J171=$C$2)+4*(J171=$D$2)+8*(J171=$E$2)+16*(J171=$F$2)+32*(J171=$G$2),2),0,1,2,3,4,"S")</f>
        <v>S</v>
      </c>
      <c r="B171">
        <f t="shared" ref="B171:B188" si="140">IF(OR(A171="S",A171=0),0,IF(ISERROR(I171),H171,SMALL(H171:I171,1)))</f>
        <v>0</v>
      </c>
      <c r="C171">
        <f t="shared" ca="1" si="127"/>
        <v>2</v>
      </c>
      <c r="D171">
        <f t="shared" ca="1" si="128"/>
        <v>5</v>
      </c>
      <c r="E171">
        <f t="shared" ca="1" si="129"/>
        <v>0</v>
      </c>
      <c r="F171">
        <f t="shared" ca="1" si="130"/>
        <v>0</v>
      </c>
      <c r="G171">
        <f t="shared" ca="1" si="131"/>
        <v>1</v>
      </c>
      <c r="H171">
        <f ca="1">IF(OR($A171="S",$A171=0),0,MATCH(0,OFFSET($B171,1,$A171,ROW($A$1504)-ROW($A171)),0))</f>
        <v>0</v>
      </c>
      <c r="I171">
        <f ca="1">IF(OR($A171="S",$A171=0),0,MATCH(OFFSET($B171,0,$A171)+1,OFFSET($B171,1,$A171,ROW($A$1504)-ROW($A171)),0))</f>
        <v>0</v>
      </c>
      <c r="J171" s="132" t="s">
        <v>29</v>
      </c>
      <c r="K171" s="121" t="str">
        <f t="shared" ref="K171:K188" ca="1" si="141">IF($A171=0,"-",CONCATENATE(C171&amp;".",IF(AND($A$5&gt;=2,$A171&gt;=2),D171&amp;".",""),IF(AND($A$5&gt;=3,$A171&gt;=3),E171&amp;".",""),IF(AND($A$5&gt;=4,$A171&gt;=4),F171&amp;".",""),IF($A171="S",G171&amp;".","")))</f>
        <v>2.5.1.</v>
      </c>
      <c r="L171" s="137" t="str">
        <f t="shared" ca="1" si="132"/>
        <v>CRESS</v>
      </c>
      <c r="M171" s="122" t="s">
        <v>78</v>
      </c>
      <c r="N171" s="139" t="s">
        <v>149</v>
      </c>
      <c r="O171" s="137" t="str">
        <f t="shared" ref="O171:O184" ca="1" si="142">IF(NOT(ISERROR($Y171)),IF($Y171&lt;&gt;FALSE,INDEX(Banco,$Y171,5),""),"")</f>
        <v>Responsável Técnica</v>
      </c>
      <c r="P171" s="138" t="str">
        <f t="shared" ca="1" si="133"/>
        <v>Horas</v>
      </c>
      <c r="Q171" s="134">
        <v>6</v>
      </c>
      <c r="R171" s="124">
        <f t="shared" ca="1" si="134"/>
        <v>150.28</v>
      </c>
      <c r="S171" s="136" t="s">
        <v>62</v>
      </c>
      <c r="T171" s="123">
        <f t="shared" ca="1" si="135"/>
        <v>187.85</v>
      </c>
      <c r="U171" s="126">
        <f t="shared" ca="1" si="136"/>
        <v>1127.0999999999999</v>
      </c>
      <c r="V171" s="1"/>
      <c r="W171" s="39" t="str">
        <f ca="1">IF(OR($A171=0,$A171="S",$A171&gt;CFF!$A$9),"",MAX(W$11:OFFSET(W171,-1,0))+1)</f>
        <v/>
      </c>
      <c r="X171" s="4" t="str">
        <f t="shared" si="137"/>
        <v>Rec. Humanos-001</v>
      </c>
      <c r="Y171" s="39">
        <f t="shared" ref="Y171:Y188" ca="1" si="143">IF(X171&lt;&gt;FALSE,MATCH(X171,OFFSET(Banco,0,0,,1),0))</f>
        <v>3</v>
      </c>
      <c r="Z171" s="1"/>
      <c r="AA171" s="133">
        <f>IF($J171=$G$2,ROUND(IF(ISNUMBER(S171),S171,IF(LEFT(S171,2)="DI",HLOOKUP(S171,DADOS!$T$29:$X$30,2,FALSE),0)),4),"")</f>
        <v>0.25</v>
      </c>
      <c r="AB171" s="2"/>
    </row>
    <row r="172" spans="1:28">
      <c r="A172" t="str">
        <f t="shared" si="139"/>
        <v>S</v>
      </c>
      <c r="B172">
        <f t="shared" si="140"/>
        <v>0</v>
      </c>
      <c r="C172">
        <f t="shared" ca="1" si="127"/>
        <v>2</v>
      </c>
      <c r="D172">
        <f t="shared" ca="1" si="128"/>
        <v>5</v>
      </c>
      <c r="E172">
        <f t="shared" ca="1" si="129"/>
        <v>0</v>
      </c>
      <c r="F172">
        <f t="shared" ca="1" si="130"/>
        <v>0</v>
      </c>
      <c r="G172">
        <f t="shared" ca="1" si="131"/>
        <v>2</v>
      </c>
      <c r="H172">
        <f ca="1">IF(OR($A172="S",$A172=0),0,MATCH(0,OFFSET($B172,1,$A172,ROW($A$1504)-ROW($A172)),0))</f>
        <v>0</v>
      </c>
      <c r="I172">
        <f ca="1">IF(OR($A172="S",$A172=0),0,MATCH(OFFSET($B172,0,$A172)+1,OFFSET($B172,1,$A172,ROW($A$1504)-ROW($A172)),0))</f>
        <v>0</v>
      </c>
      <c r="J172" s="132" t="s">
        <v>29</v>
      </c>
      <c r="K172" s="121" t="str">
        <f t="shared" ca="1" si="141"/>
        <v>2.5.2.</v>
      </c>
      <c r="L172" s="137" t="str">
        <f t="shared" ca="1" si="132"/>
        <v>CRESS</v>
      </c>
      <c r="M172" s="122" t="s">
        <v>78</v>
      </c>
      <c r="N172" s="139" t="s">
        <v>152</v>
      </c>
      <c r="O172" s="137" t="str">
        <f t="shared" ca="1" si="142"/>
        <v>Assistente Social</v>
      </c>
      <c r="P172" s="138" t="str">
        <f t="shared" ca="1" si="133"/>
        <v>Horas</v>
      </c>
      <c r="Q172" s="134">
        <v>4</v>
      </c>
      <c r="R172" s="124">
        <f t="shared" ca="1" si="134"/>
        <v>133.81</v>
      </c>
      <c r="S172" s="136" t="s">
        <v>62</v>
      </c>
      <c r="T172" s="123">
        <f t="shared" ca="1" si="135"/>
        <v>167.26</v>
      </c>
      <c r="U172" s="126">
        <f t="shared" ca="1" si="136"/>
        <v>669.04</v>
      </c>
      <c r="V172" s="1"/>
      <c r="W172" s="39" t="str">
        <f ca="1">IF(OR($A172=0,$A172="S",$A172&gt;CFF!$A$9),"",MAX(W$11:OFFSET(W172,-1,0))+1)</f>
        <v/>
      </c>
      <c r="X172" s="4" t="str">
        <f t="shared" si="137"/>
        <v>Rec. Humanos-002</v>
      </c>
      <c r="Y172" s="39">
        <f t="shared" ca="1" si="143"/>
        <v>4</v>
      </c>
      <c r="Z172" s="1"/>
      <c r="AA172" s="133">
        <f>IF($J172=$G$2,ROUND(IF(ISNUMBER(S172),S172,IF(LEFT(S172,2)="DI",HLOOKUP(S172,DADOS!$T$29:$X$30,2,FALSE),0)),4),"")</f>
        <v>0.25</v>
      </c>
      <c r="AB172" s="2"/>
    </row>
    <row r="173" spans="1:28">
      <c r="A173" t="str">
        <f t="shared" si="139"/>
        <v>S</v>
      </c>
      <c r="B173">
        <f t="shared" si="140"/>
        <v>0</v>
      </c>
      <c r="C173">
        <f t="shared" ca="1" si="127"/>
        <v>2</v>
      </c>
      <c r="D173">
        <f t="shared" ca="1" si="128"/>
        <v>5</v>
      </c>
      <c r="E173">
        <f t="shared" ca="1" si="129"/>
        <v>0</v>
      </c>
      <c r="F173">
        <f t="shared" ca="1" si="130"/>
        <v>0</v>
      </c>
      <c r="G173">
        <f t="shared" ca="1" si="131"/>
        <v>3</v>
      </c>
      <c r="H173">
        <f ca="1">IF(OR($A173="S",$A173=0),0,MATCH(0,OFFSET($B173,1,$A173,ROW($A$1504)-ROW($A173)),0))</f>
        <v>0</v>
      </c>
      <c r="I173">
        <f ca="1">IF(OR($A173="S",$A173=0),0,MATCH(OFFSET($B173,0,$A173)+1,OFFSET($B173,1,$A173,ROW($A$1504)-ROW($A173)),0))</f>
        <v>0</v>
      </c>
      <c r="J173" s="132" t="s">
        <v>29</v>
      </c>
      <c r="K173" s="121" t="str">
        <f t="shared" ca="1" si="141"/>
        <v>2.5.3.</v>
      </c>
      <c r="L173" s="137" t="str">
        <f t="shared" ca="1" si="132"/>
        <v>Cotação</v>
      </c>
      <c r="M173" s="122" t="s">
        <v>78</v>
      </c>
      <c r="N173" s="139" t="s">
        <v>151</v>
      </c>
      <c r="O173" s="137" t="str">
        <f t="shared" ca="1" si="142"/>
        <v xml:space="preserve">Administrador (Técnico de Apoio) </v>
      </c>
      <c r="P173" s="138" t="str">
        <f t="shared" ca="1" si="133"/>
        <v>Horas</v>
      </c>
      <c r="Q173" s="134">
        <v>4</v>
      </c>
      <c r="R173" s="124">
        <f t="shared" ca="1" si="134"/>
        <v>103.65</v>
      </c>
      <c r="S173" s="136" t="s">
        <v>62</v>
      </c>
      <c r="T173" s="123">
        <f t="shared" ca="1" si="135"/>
        <v>129.56</v>
      </c>
      <c r="U173" s="126">
        <f t="shared" ca="1" si="136"/>
        <v>518.24</v>
      </c>
      <c r="V173" s="1"/>
      <c r="W173" s="39" t="str">
        <f ca="1">IF(OR($A173=0,$A173="S",$A173&gt;CFF!$A$9),"",MAX(W$11:OFFSET(W173,-1,0))+1)</f>
        <v/>
      </c>
      <c r="X173" s="4" t="str">
        <f t="shared" si="137"/>
        <v>Rec. Humanos-003</v>
      </c>
      <c r="Y173" s="39">
        <f t="shared" ca="1" si="143"/>
        <v>5</v>
      </c>
      <c r="Z173" s="1"/>
      <c r="AA173" s="133">
        <f>IF($J173=$G$2,ROUND(IF(ISNUMBER(S173),S173,IF(LEFT(S173,2)="DI",HLOOKUP(S173,DADOS!$T$29:$X$30,2,FALSE),0)),4),"")</f>
        <v>0.25</v>
      </c>
      <c r="AB173" s="2"/>
    </row>
    <row r="174" spans="1:28">
      <c r="A174" t="str">
        <f t="shared" si="139"/>
        <v>S</v>
      </c>
      <c r="B174">
        <f t="shared" si="140"/>
        <v>0</v>
      </c>
      <c r="C174">
        <f t="shared" ca="1" si="127"/>
        <v>2</v>
      </c>
      <c r="D174">
        <f t="shared" ca="1" si="128"/>
        <v>5</v>
      </c>
      <c r="E174">
        <f t="shared" ca="1" si="129"/>
        <v>0</v>
      </c>
      <c r="F174">
        <f t="shared" ca="1" si="130"/>
        <v>0</v>
      </c>
      <c r="G174">
        <f t="shared" ca="1" si="131"/>
        <v>4</v>
      </c>
      <c r="H174">
        <f ca="1">IF(OR($A174="S",$A174=0),0,MATCH(0,OFFSET($B174,1,$A174,ROW($A$1504)-ROW($A174)),0))</f>
        <v>0</v>
      </c>
      <c r="I174">
        <f ca="1">IF(OR($A174="S",$A174=0),0,MATCH(OFFSET($B174,0,$A174)+1,OFFSET($B174,1,$A174,ROW($A$1504)-ROW($A174)),0))</f>
        <v>0</v>
      </c>
      <c r="J174" s="132" t="s">
        <v>29</v>
      </c>
      <c r="K174" s="121" t="str">
        <f t="shared" ca="1" si="141"/>
        <v>2.5.4.</v>
      </c>
      <c r="L174" s="137" t="str">
        <f t="shared" ca="1" si="132"/>
        <v>SINE</v>
      </c>
      <c r="M174" s="122" t="s">
        <v>78</v>
      </c>
      <c r="N174" s="139" t="s">
        <v>153</v>
      </c>
      <c r="O174" s="137" t="str">
        <f t="shared" ca="1" si="142"/>
        <v>Estagiários</v>
      </c>
      <c r="P174" s="138" t="str">
        <f t="shared" ca="1" si="133"/>
        <v>Horas</v>
      </c>
      <c r="Q174" s="134">
        <v>10</v>
      </c>
      <c r="R174" s="124">
        <f t="shared" ca="1" si="134"/>
        <v>9.7899999999999991</v>
      </c>
      <c r="S174" s="136" t="s">
        <v>62</v>
      </c>
      <c r="T174" s="123">
        <f t="shared" ca="1" si="135"/>
        <v>12.24</v>
      </c>
      <c r="U174" s="126">
        <f t="shared" ca="1" si="136"/>
        <v>122.4</v>
      </c>
      <c r="V174" s="1"/>
      <c r="W174" s="39" t="str">
        <f ca="1">IF(OR($A174=0,$A174="S",$A174&gt;CFF!$A$9),"",MAX(W$11:OFFSET(W174,-1,0))+1)</f>
        <v/>
      </c>
      <c r="X174" s="4" t="str">
        <f t="shared" si="137"/>
        <v>Rec. Humanos-004</v>
      </c>
      <c r="Y174" s="39">
        <f t="shared" ca="1" si="143"/>
        <v>6</v>
      </c>
      <c r="Z174" s="1"/>
      <c r="AA174" s="133">
        <f>IF($J174=$G$2,ROUND(IF(ISNUMBER(S174),S174,IF(LEFT(S174,2)="DI",HLOOKUP(S174,DADOS!$T$29:$X$30,2,FALSE),0)),4),"")</f>
        <v>0.25</v>
      </c>
      <c r="AB174" s="2"/>
    </row>
    <row r="175" spans="1:28">
      <c r="A175" t="str">
        <f t="shared" si="139"/>
        <v>S</v>
      </c>
      <c r="B175">
        <f t="shared" si="140"/>
        <v>0</v>
      </c>
      <c r="C175">
        <f t="shared" ca="1" si="127"/>
        <v>2</v>
      </c>
      <c r="D175">
        <f t="shared" ca="1" si="128"/>
        <v>5</v>
      </c>
      <c r="E175">
        <f t="shared" ca="1" si="129"/>
        <v>0</v>
      </c>
      <c r="F175">
        <f t="shared" ca="1" si="130"/>
        <v>0</v>
      </c>
      <c r="G175">
        <f t="shared" ca="1" si="131"/>
        <v>5</v>
      </c>
      <c r="H175">
        <f ca="1">IF(OR($A175="S",$A175=0),0,MATCH(0,OFFSET($B175,1,$A175,ROW($A$1504)-ROW($A175)),0))</f>
        <v>0</v>
      </c>
      <c r="I175">
        <f ca="1">IF(OR($A175="S",$A175=0),0,MATCH(OFFSET($B175,0,$A175)+1,OFFSET($B175,1,$A175,ROW($A$1504)-ROW($A175)),0))</f>
        <v>0</v>
      </c>
      <c r="J175" s="132" t="s">
        <v>29</v>
      </c>
      <c r="K175" s="121" t="str">
        <f t="shared" ca="1" si="141"/>
        <v>2.5.5.</v>
      </c>
      <c r="L175" s="137" t="str">
        <f t="shared" ca="1" si="132"/>
        <v>Cotação</v>
      </c>
      <c r="M175" s="122" t="s">
        <v>80</v>
      </c>
      <c r="N175" s="139" t="s">
        <v>149</v>
      </c>
      <c r="O175" s="137" t="str">
        <f t="shared" ca="1" si="142"/>
        <v>Fotocópias</v>
      </c>
      <c r="P175" s="138" t="str">
        <f t="shared" ca="1" si="133"/>
        <v>Unidade</v>
      </c>
      <c r="Q175" s="134">
        <v>105</v>
      </c>
      <c r="R175" s="124">
        <f t="shared" ca="1" si="134"/>
        <v>0.3</v>
      </c>
      <c r="S175" s="136" t="s">
        <v>62</v>
      </c>
      <c r="T175" s="123">
        <f t="shared" ca="1" si="135"/>
        <v>0.38</v>
      </c>
      <c r="U175" s="126">
        <f t="shared" ca="1" si="136"/>
        <v>39.9</v>
      </c>
      <c r="V175" s="1"/>
      <c r="W175" s="39" t="str">
        <f ca="1">IF(OR($A175=0,$A175="S",$A175&gt;CFF!$A$9),"",MAX(W$11:OFFSET(W175,-1,0))+1)</f>
        <v/>
      </c>
      <c r="X175" s="4" t="str">
        <f t="shared" si="137"/>
        <v>Serv. Terc.-001</v>
      </c>
      <c r="Y175" s="39">
        <f t="shared" ca="1" si="143"/>
        <v>81</v>
      </c>
      <c r="Z175" s="1"/>
      <c r="AA175" s="133">
        <f>IF($J175=$G$2,ROUND(IF(ISNUMBER(S175),S175,IF(LEFT(S175,2)="DI",HLOOKUP(S175,DADOS!$T$29:$X$30,2,FALSE),0)),4),"")</f>
        <v>0.25</v>
      </c>
      <c r="AB175" s="2"/>
    </row>
    <row r="176" spans="1:28">
      <c r="A176" t="str">
        <f t="shared" si="139"/>
        <v>S</v>
      </c>
      <c r="B176">
        <f t="shared" si="140"/>
        <v>0</v>
      </c>
      <c r="C176">
        <f t="shared" ca="1" si="127"/>
        <v>2</v>
      </c>
      <c r="D176">
        <f t="shared" ca="1" si="128"/>
        <v>5</v>
      </c>
      <c r="E176">
        <f t="shared" ca="1" si="129"/>
        <v>0</v>
      </c>
      <c r="F176">
        <f t="shared" ca="1" si="130"/>
        <v>0</v>
      </c>
      <c r="G176">
        <f t="shared" ca="1" si="131"/>
        <v>6</v>
      </c>
      <c r="H176">
        <f ca="1">IF(OR($A176="S",$A176=0),0,MATCH(0,OFFSET($B176,1,$A176,ROW($A$1504)-ROW($A176)),0))</f>
        <v>0</v>
      </c>
      <c r="I176">
        <f ca="1">IF(OR($A176="S",$A176=0),0,MATCH(OFFSET($B176,0,$A176)+1,OFFSET($B176,1,$A176,ROW($A$1504)-ROW($A176)),0))</f>
        <v>0</v>
      </c>
      <c r="J176" s="132" t="s">
        <v>29</v>
      </c>
      <c r="K176" s="121" t="str">
        <f t="shared" ca="1" si="141"/>
        <v>2.5.6.</v>
      </c>
      <c r="L176" s="137" t="str">
        <f t="shared" ca="1" si="132"/>
        <v>Cotação</v>
      </c>
      <c r="M176" s="122" t="s">
        <v>80</v>
      </c>
      <c r="N176" s="139" t="s">
        <v>152</v>
      </c>
      <c r="O176" s="137" t="str">
        <f t="shared" ca="1" si="142"/>
        <v>Carro de som com gravação de vinheta</v>
      </c>
      <c r="P176" s="138" t="str">
        <f t="shared" ca="1" si="133"/>
        <v>Horas</v>
      </c>
      <c r="Q176" s="134">
        <v>3</v>
      </c>
      <c r="R176" s="124">
        <f t="shared" ca="1" si="134"/>
        <v>200</v>
      </c>
      <c r="S176" s="136" t="s">
        <v>62</v>
      </c>
      <c r="T176" s="123">
        <f t="shared" ca="1" si="135"/>
        <v>250</v>
      </c>
      <c r="U176" s="126">
        <f t="shared" ca="1" si="136"/>
        <v>750</v>
      </c>
      <c r="V176" s="1"/>
      <c r="W176" s="39" t="str">
        <f ca="1">IF(OR($A176=0,$A176="S",$A176&gt;CFF!$A$9),"",MAX(W$11:OFFSET(W176,-1,0))+1)</f>
        <v/>
      </c>
      <c r="X176" s="4" t="str">
        <f t="shared" si="137"/>
        <v>Serv. Terc.-002</v>
      </c>
      <c r="Y176" s="39">
        <f t="shared" ca="1" si="143"/>
        <v>82</v>
      </c>
      <c r="Z176" s="1"/>
      <c r="AA176" s="133">
        <f>IF($J176=$G$2,ROUND(IF(ISNUMBER(S176),S176,IF(LEFT(S176,2)="DI",HLOOKUP(S176,DADOS!$T$29:$X$30,2,FALSE),0)),4),"")</f>
        <v>0.25</v>
      </c>
      <c r="AB176" s="2"/>
    </row>
    <row r="177" spans="1:28">
      <c r="A177" t="str">
        <f t="shared" si="139"/>
        <v>S</v>
      </c>
      <c r="B177">
        <f t="shared" si="140"/>
        <v>0</v>
      </c>
      <c r="C177">
        <f t="shared" ca="1" si="127"/>
        <v>2</v>
      </c>
      <c r="D177">
        <f t="shared" ca="1" si="128"/>
        <v>5</v>
      </c>
      <c r="E177">
        <f t="shared" ca="1" si="129"/>
        <v>0</v>
      </c>
      <c r="F177">
        <f t="shared" ca="1" si="130"/>
        <v>0</v>
      </c>
      <c r="G177">
        <f t="shared" ca="1" si="131"/>
        <v>7</v>
      </c>
      <c r="H177">
        <f ca="1">IF(OR($A177="S",$A177=0),0,MATCH(0,OFFSET($B177,1,$A177,ROW($A$1504)-ROW($A177)),0))</f>
        <v>0</v>
      </c>
      <c r="I177">
        <f ca="1">IF(OR($A177="S",$A177=0),0,MATCH(OFFSET($B177,0,$A177)+1,OFFSET($B177,1,$A177,ROW($A$1504)-ROW($A177)),0))</f>
        <v>0</v>
      </c>
      <c r="J177" s="132" t="s">
        <v>29</v>
      </c>
      <c r="K177" s="121" t="str">
        <f t="shared" ca="1" si="141"/>
        <v>2.5.7.</v>
      </c>
      <c r="L177" s="137" t="str">
        <f t="shared" ca="1" si="132"/>
        <v>Cotação</v>
      </c>
      <c r="M177" s="122" t="s">
        <v>80</v>
      </c>
      <c r="N177" s="139" t="s">
        <v>256</v>
      </c>
      <c r="O177" s="137" t="str">
        <f ca="1">IF(NOT(ISERROR($Y177)),IF($Y177&lt;&gt;FALSE,INDEX(Banco,$Y177,5),""),"")</f>
        <v>Instrutor/Monitor (Educação Fisíca)</v>
      </c>
      <c r="P177" s="138" t="str">
        <f t="shared" ca="1" si="133"/>
        <v>Horas</v>
      </c>
      <c r="Q177" s="134">
        <v>3</v>
      </c>
      <c r="R177" s="124">
        <f t="shared" ca="1" si="134"/>
        <v>100</v>
      </c>
      <c r="S177" s="136" t="s">
        <v>62</v>
      </c>
      <c r="T177" s="123">
        <f t="shared" ca="1" si="135"/>
        <v>125</v>
      </c>
      <c r="U177" s="126">
        <f t="shared" ca="1" si="136"/>
        <v>375</v>
      </c>
      <c r="V177" s="1"/>
      <c r="W177" s="39" t="str">
        <f ca="1">IF(OR($A177=0,$A177="S",$A177&gt;CFF!$A$9),"",MAX(W$11:OFFSET(W177,-1,0))+1)</f>
        <v/>
      </c>
      <c r="X177" s="4" t="str">
        <f t="shared" si="137"/>
        <v>Serv. Terc.-017</v>
      </c>
      <c r="Y177" s="39">
        <f t="shared" ca="1" si="143"/>
        <v>97</v>
      </c>
      <c r="Z177" s="1"/>
      <c r="AA177" s="133">
        <f>IF($J177=$G$2,ROUND(IF(ISNUMBER(S177),S177,IF(LEFT(S177,2)="DI",HLOOKUP(S177,DADOS!$T$29:$X$30,2,FALSE),0)),4),"")</f>
        <v>0.25</v>
      </c>
      <c r="AB177" s="2"/>
    </row>
    <row r="178" spans="1:28">
      <c r="A178" t="str">
        <f t="shared" si="139"/>
        <v>S</v>
      </c>
      <c r="B178">
        <f t="shared" si="140"/>
        <v>0</v>
      </c>
      <c r="C178">
        <f t="shared" ca="1" si="127"/>
        <v>2</v>
      </c>
      <c r="D178">
        <f t="shared" ca="1" si="128"/>
        <v>5</v>
      </c>
      <c r="E178">
        <f t="shared" ca="1" si="129"/>
        <v>0</v>
      </c>
      <c r="F178">
        <f t="shared" ca="1" si="130"/>
        <v>0</v>
      </c>
      <c r="G178">
        <f t="shared" ca="1" si="131"/>
        <v>8</v>
      </c>
      <c r="H178">
        <f ca="1">IF(OR($A178="S",$A178=0),0,MATCH(0,OFFSET($B178,1,$A178,ROW($A$1504)-ROW($A178)),0))</f>
        <v>0</v>
      </c>
      <c r="I178">
        <f ca="1">IF(OR($A178="S",$A178=0),0,MATCH(OFFSET($B178,0,$A178)+1,OFFSET($B178,1,$A178,ROW($A$1504)-ROW($A178)),0))</f>
        <v>0</v>
      </c>
      <c r="J178" s="132" t="s">
        <v>29</v>
      </c>
      <c r="K178" s="121" t="str">
        <f t="shared" ca="1" si="141"/>
        <v>2.5.8.</v>
      </c>
      <c r="L178" s="137" t="str">
        <f t="shared" ca="1" si="132"/>
        <v>Cotação</v>
      </c>
      <c r="M178" s="122" t="s">
        <v>80</v>
      </c>
      <c r="N178" s="139" t="s">
        <v>154</v>
      </c>
      <c r="O178" s="137" t="str">
        <f t="shared" ca="1" si="142"/>
        <v>Locação de caixa térmica</v>
      </c>
      <c r="P178" s="138" t="str">
        <f t="shared" ca="1" si="133"/>
        <v>Unidade</v>
      </c>
      <c r="Q178" s="134">
        <v>2</v>
      </c>
      <c r="R178" s="124">
        <f t="shared" ca="1" si="134"/>
        <v>40</v>
      </c>
      <c r="S178" s="136" t="s">
        <v>62</v>
      </c>
      <c r="T178" s="123">
        <f t="shared" ca="1" si="135"/>
        <v>50</v>
      </c>
      <c r="U178" s="126">
        <f t="shared" ca="1" si="136"/>
        <v>100</v>
      </c>
      <c r="V178" s="1"/>
      <c r="W178" s="39" t="str">
        <f ca="1">IF(OR($A178=0,$A178="S",$A178&gt;CFF!$A$9),"",MAX(W$11:OFFSET(W178,-1,0))+1)</f>
        <v/>
      </c>
      <c r="X178" s="4" t="str">
        <f t="shared" si="137"/>
        <v>Serv. Terc.-005</v>
      </c>
      <c r="Y178" s="39">
        <f t="shared" ca="1" si="143"/>
        <v>85</v>
      </c>
      <c r="Z178" s="1"/>
      <c r="AA178" s="133">
        <f>IF($J178=$G$2,ROUND(IF(ISNUMBER(S178),S178,IF(LEFT(S178,2)="DI",HLOOKUP(S178,DADOS!$T$29:$X$30,2,FALSE),0)),4),"")</f>
        <v>0.25</v>
      </c>
      <c r="AB178" s="2"/>
    </row>
    <row r="179" spans="1:28">
      <c r="A179" t="str">
        <f t="shared" si="139"/>
        <v>S</v>
      </c>
      <c r="B179">
        <f t="shared" si="140"/>
        <v>0</v>
      </c>
      <c r="C179">
        <f t="shared" ca="1" si="127"/>
        <v>2</v>
      </c>
      <c r="D179">
        <f t="shared" ca="1" si="128"/>
        <v>5</v>
      </c>
      <c r="E179">
        <f t="shared" ca="1" si="129"/>
        <v>0</v>
      </c>
      <c r="F179">
        <f t="shared" ca="1" si="130"/>
        <v>0</v>
      </c>
      <c r="G179">
        <f t="shared" ca="1" si="131"/>
        <v>9</v>
      </c>
      <c r="H179">
        <f ca="1">IF(OR($A179="S",$A179=0),0,MATCH(0,OFFSET($B179,1,$A179,ROW($A$1504)-ROW($A179)),0))</f>
        <v>0</v>
      </c>
      <c r="I179">
        <f ca="1">IF(OR($A179="S",$A179=0),0,MATCH(OFFSET($B179,0,$A179)+1,OFFSET($B179,1,$A179,ROW($A$1504)-ROW($A179)),0))</f>
        <v>0</v>
      </c>
      <c r="J179" s="132" t="s">
        <v>29</v>
      </c>
      <c r="K179" s="121" t="str">
        <f t="shared" ca="1" si="141"/>
        <v>2.5.9.</v>
      </c>
      <c r="L179" s="137" t="str">
        <f t="shared" ca="1" si="132"/>
        <v>Cotação</v>
      </c>
      <c r="M179" s="122" t="s">
        <v>80</v>
      </c>
      <c r="N179" s="139" t="s">
        <v>157</v>
      </c>
      <c r="O179" s="137" t="str">
        <f t="shared" ca="1" si="142"/>
        <v>Locação de pula-pula com monitor</v>
      </c>
      <c r="P179" s="138" t="str">
        <f t="shared" ca="1" si="133"/>
        <v>Unidade</v>
      </c>
      <c r="Q179" s="134">
        <v>2</v>
      </c>
      <c r="R179" s="124">
        <f t="shared" ca="1" si="134"/>
        <v>220</v>
      </c>
      <c r="S179" s="136" t="s">
        <v>62</v>
      </c>
      <c r="T179" s="123">
        <f t="shared" ca="1" si="135"/>
        <v>275</v>
      </c>
      <c r="U179" s="126">
        <f t="shared" ca="1" si="136"/>
        <v>550</v>
      </c>
      <c r="V179" s="1"/>
      <c r="W179" s="39" t="str">
        <f ca="1">IF(OR($A179=0,$A179="S",$A179&gt;CFF!$A$9),"",MAX(W$11:OFFSET(W179,-1,0))+1)</f>
        <v/>
      </c>
      <c r="X179" s="4" t="str">
        <f t="shared" si="137"/>
        <v>Serv. Terc.-008</v>
      </c>
      <c r="Y179" s="39">
        <f t="shared" ca="1" si="143"/>
        <v>88</v>
      </c>
      <c r="Z179" s="1"/>
      <c r="AA179" s="133">
        <f>IF($J179=$G$2,ROUND(IF(ISNUMBER(S179),S179,IF(LEFT(S179,2)="DI",HLOOKUP(S179,DADOS!$T$29:$X$30,2,FALSE),0)),4),"")</f>
        <v>0.25</v>
      </c>
      <c r="AB179" s="2"/>
    </row>
    <row r="180" spans="1:28">
      <c r="A180" t="str">
        <f t="shared" si="139"/>
        <v>S</v>
      </c>
      <c r="B180">
        <f t="shared" si="140"/>
        <v>0</v>
      </c>
      <c r="C180">
        <f t="shared" ca="1" si="127"/>
        <v>2</v>
      </c>
      <c r="D180">
        <f t="shared" ca="1" si="128"/>
        <v>5</v>
      </c>
      <c r="E180">
        <f t="shared" ca="1" si="129"/>
        <v>0</v>
      </c>
      <c r="F180">
        <f t="shared" ca="1" si="130"/>
        <v>0</v>
      </c>
      <c r="G180">
        <f t="shared" ca="1" si="131"/>
        <v>10</v>
      </c>
      <c r="H180">
        <f ca="1">IF(OR($A180="S",$A180=0),0,MATCH(0,OFFSET($B180,1,$A180,ROW($A$1504)-ROW($A180)),0))</f>
        <v>0</v>
      </c>
      <c r="I180">
        <f ca="1">IF(OR($A180="S",$A180=0),0,MATCH(OFFSET($B180,0,$A180)+1,OFFSET($B180,1,$A180,ROW($A$1504)-ROW($A180)),0))</f>
        <v>0</v>
      </c>
      <c r="J180" s="132" t="s">
        <v>29</v>
      </c>
      <c r="K180" s="121" t="str">
        <f t="shared" ca="1" si="141"/>
        <v>2.5.10.</v>
      </c>
      <c r="L180" s="137" t="str">
        <f t="shared" ca="1" si="132"/>
        <v xml:space="preserve">Cotação </v>
      </c>
      <c r="M180" s="122" t="s">
        <v>80</v>
      </c>
      <c r="N180" s="139" t="s">
        <v>159</v>
      </c>
      <c r="O180" s="137" t="str">
        <f t="shared" ca="1" si="142"/>
        <v>Brindes ( descrição nos orçamentos e PTS)</v>
      </c>
      <c r="P180" s="138" t="str">
        <f t="shared" ca="1" si="133"/>
        <v>Unidade</v>
      </c>
      <c r="Q180" s="134">
        <v>4</v>
      </c>
      <c r="R180" s="124">
        <f t="shared" ca="1" si="134"/>
        <v>120</v>
      </c>
      <c r="S180" s="136" t="s">
        <v>62</v>
      </c>
      <c r="T180" s="123">
        <f t="shared" ca="1" si="135"/>
        <v>150</v>
      </c>
      <c r="U180" s="126">
        <f t="shared" ca="1" si="136"/>
        <v>600</v>
      </c>
      <c r="V180" s="1"/>
      <c r="W180" s="39" t="str">
        <f ca="1">IF(OR($A180=0,$A180="S",$A180&gt;CFF!$A$9),"",MAX(W$11:OFFSET(W180,-1,0))+1)</f>
        <v/>
      </c>
      <c r="X180" s="4" t="str">
        <f t="shared" si="137"/>
        <v>Serv. Terc.-010</v>
      </c>
      <c r="Y180" s="39">
        <f t="shared" ca="1" si="143"/>
        <v>90</v>
      </c>
      <c r="Z180" s="1"/>
      <c r="AA180" s="133">
        <f>IF($J180=$G$2,ROUND(IF(ISNUMBER(S180),S180,IF(LEFT(S180,2)="DI",HLOOKUP(S180,DADOS!$T$29:$X$30,2,FALSE),0)),4),"")</f>
        <v>0.25</v>
      </c>
      <c r="AB180" s="2"/>
    </row>
    <row r="181" spans="1:28">
      <c r="A181" t="str">
        <f t="shared" si="139"/>
        <v>S</v>
      </c>
      <c r="B181">
        <f t="shared" si="140"/>
        <v>0</v>
      </c>
      <c r="C181">
        <f t="shared" ca="1" si="127"/>
        <v>2</v>
      </c>
      <c r="D181">
        <f t="shared" ca="1" si="128"/>
        <v>5</v>
      </c>
      <c r="E181">
        <f t="shared" ca="1" si="129"/>
        <v>0</v>
      </c>
      <c r="F181">
        <f t="shared" ca="1" si="130"/>
        <v>0</v>
      </c>
      <c r="G181">
        <f t="shared" ca="1" si="131"/>
        <v>11</v>
      </c>
      <c r="H181">
        <f ca="1">IF(OR($A181="S",$A181=0),0,MATCH(0,OFFSET($B181,1,$A181,ROW($A$1504)-ROW($A181)),0))</f>
        <v>0</v>
      </c>
      <c r="I181">
        <f ca="1">IF(OR($A181="S",$A181=0),0,MATCH(OFFSET($B181,0,$A181)+1,OFFSET($B181,1,$A181,ROW($A$1504)-ROW($A181)),0))</f>
        <v>0</v>
      </c>
      <c r="J181" s="132" t="s">
        <v>29</v>
      </c>
      <c r="K181" s="121" t="str">
        <f t="shared" ca="1" si="141"/>
        <v>2.5.11.</v>
      </c>
      <c r="L181" s="137" t="str">
        <f t="shared" ca="1" si="132"/>
        <v xml:space="preserve">Cotação </v>
      </c>
      <c r="M181" s="122" t="s">
        <v>80</v>
      </c>
      <c r="N181" s="139" t="s">
        <v>160</v>
      </c>
      <c r="O181" s="137" t="str">
        <f t="shared" ca="1" si="142"/>
        <v>Barra de gelo</v>
      </c>
      <c r="P181" s="138" t="str">
        <f t="shared" ca="1" si="133"/>
        <v>Unidade</v>
      </c>
      <c r="Q181" s="134">
        <v>4</v>
      </c>
      <c r="R181" s="124">
        <f t="shared" ca="1" si="134"/>
        <v>12</v>
      </c>
      <c r="S181" s="136" t="s">
        <v>62</v>
      </c>
      <c r="T181" s="123">
        <f t="shared" ca="1" si="135"/>
        <v>15</v>
      </c>
      <c r="U181" s="126">
        <f t="shared" ca="1" si="136"/>
        <v>60</v>
      </c>
      <c r="V181" s="1"/>
      <c r="W181" s="39" t="str">
        <f ca="1">IF(OR($A181=0,$A181="S",$A181&gt;CFF!$A$9),"",MAX(W$11:OFFSET(W181,-1,0))+1)</f>
        <v/>
      </c>
      <c r="X181" s="4" t="str">
        <f t="shared" si="137"/>
        <v>Serv. Terc.-011</v>
      </c>
      <c r="Y181" s="39">
        <f t="shared" ca="1" si="143"/>
        <v>91</v>
      </c>
      <c r="Z181" s="1"/>
      <c r="AA181" s="133">
        <f>IF($J181=$G$2,ROUND(IF(ISNUMBER(S181),S181,IF(LEFT(S181,2)="DI",HLOOKUP(S181,DADOS!$T$29:$X$30,2,FALSE),0)),4),"")</f>
        <v>0.25</v>
      </c>
      <c r="AB181" s="2"/>
    </row>
    <row r="182" spans="1:28">
      <c r="A182" t="str">
        <f t="shared" si="139"/>
        <v>S</v>
      </c>
      <c r="B182">
        <f t="shared" si="140"/>
        <v>0</v>
      </c>
      <c r="C182">
        <f t="shared" ca="1" si="127"/>
        <v>2</v>
      </c>
      <c r="D182">
        <f t="shared" ca="1" si="128"/>
        <v>5</v>
      </c>
      <c r="E182">
        <f t="shared" ca="1" si="129"/>
        <v>0</v>
      </c>
      <c r="F182">
        <f t="shared" ca="1" si="130"/>
        <v>0</v>
      </c>
      <c r="G182">
        <f t="shared" ca="1" si="131"/>
        <v>12</v>
      </c>
      <c r="H182">
        <f ca="1">IF(OR($A182="S",$A182=0),0,MATCH(0,OFFSET($B182,1,$A182,ROW($A$1504)-ROW($A182)),0))</f>
        <v>0</v>
      </c>
      <c r="I182">
        <f ca="1">IF(OR($A182="S",$A182=0),0,MATCH(OFFSET($B182,0,$A182)+1,OFFSET($B182,1,$A182,ROW($A$1504)-ROW($A182)),0))</f>
        <v>0</v>
      </c>
      <c r="J182" s="132" t="s">
        <v>29</v>
      </c>
      <c r="K182" s="121" t="str">
        <f t="shared" ca="1" si="141"/>
        <v>2.5.12.</v>
      </c>
      <c r="L182" s="137" t="str">
        <f t="shared" ca="1" si="132"/>
        <v>Cotação</v>
      </c>
      <c r="M182" s="122" t="s">
        <v>80</v>
      </c>
      <c r="N182" s="139" t="s">
        <v>150</v>
      </c>
      <c r="O182" s="137" t="str">
        <f t="shared" ca="1" si="142"/>
        <v>Sucos</v>
      </c>
      <c r="P182" s="138" t="str">
        <f t="shared" ca="1" si="133"/>
        <v>Unidade</v>
      </c>
      <c r="Q182" s="134">
        <v>12</v>
      </c>
      <c r="R182" s="124">
        <f t="shared" ca="1" si="134"/>
        <v>6.4</v>
      </c>
      <c r="S182" s="136" t="s">
        <v>62</v>
      </c>
      <c r="T182" s="123">
        <f t="shared" ca="1" si="135"/>
        <v>8</v>
      </c>
      <c r="U182" s="126">
        <f t="shared" ca="1" si="136"/>
        <v>96</v>
      </c>
      <c r="V182" s="1"/>
      <c r="W182" s="39" t="str">
        <f ca="1">IF(OR($A182=0,$A182="S",$A182&gt;CFF!$A$9),"",MAX(W$11:OFFSET(W182,-1,0))+1)</f>
        <v/>
      </c>
      <c r="X182" s="4" t="str">
        <f t="shared" si="137"/>
        <v>Serv. Terc.-013</v>
      </c>
      <c r="Y182" s="39">
        <f t="shared" ca="1" si="143"/>
        <v>93</v>
      </c>
      <c r="Z182" s="1"/>
      <c r="AA182" s="133">
        <f>IF($J182=$G$2,ROUND(IF(ISNUMBER(S182),S182,IF(LEFT(S182,2)="DI",HLOOKUP(S182,DADOS!$T$29:$X$30,2,FALSE),0)),4),"")</f>
        <v>0.25</v>
      </c>
      <c r="AB182" s="2"/>
    </row>
    <row r="183" spans="1:28">
      <c r="A183" t="str">
        <f>CHOOSE(1+LOG(1+2*(J183=$C$2)+4*(J183=$D$2)+8*(J183=$E$2)+16*(J183=$F$2)+32*(J183=$G$2),2),0,1,2,3,4,"S")</f>
        <v>S</v>
      </c>
      <c r="B183">
        <f>IF(OR(A183="S",A183=0),0,IF(ISERROR(I183),H183,SMALL(H183:I183,1)))</f>
        <v>0</v>
      </c>
      <c r="C183">
        <f ca="1">IF($A183=1,OFFSET(C183,-1,0)+1,OFFSET(C183,-1,0))</f>
        <v>2</v>
      </c>
      <c r="D183">
        <f ca="1">IF($A183=1,0,IF($A183=2,OFFSET(D183,-1,0)+1,OFFSET(D183,-1,0)))</f>
        <v>5</v>
      </c>
      <c r="E183">
        <f ca="1">IF(AND($A183&lt;=2,$A183&lt;&gt;0),0,IF($A183=3,OFFSET(E183,-1,0)+1,OFFSET(E183,-1,0)))</f>
        <v>0</v>
      </c>
      <c r="F183">
        <f ca="1">IF(AND($A183&lt;=3,$A183&lt;&gt;0),0,IF($A183=4,OFFSET(F183,-1,0)+1,OFFSET(F183,-1,0)))</f>
        <v>0</v>
      </c>
      <c r="G183">
        <f ca="1">IF(AND($A183&lt;=4,$A183&lt;&gt;0),0,IF($A183="S",OFFSET(G183,-1,0)+1,OFFSET(G183,-1,0)))</f>
        <v>13</v>
      </c>
      <c r="H183">
        <f ca="1">IF(OR($A183="S",$A183=0),0,MATCH(0,OFFSET($B183,1,$A183,ROW($A$1504)-ROW($A183)),0))</f>
        <v>0</v>
      </c>
      <c r="I183">
        <f ca="1">IF(OR($A183="S",$A183=0),0,MATCH(OFFSET($B183,0,$A183)+1,OFFSET($B183,1,$A183,ROW($A$1504)-ROW($A183)),0))</f>
        <v>0</v>
      </c>
      <c r="J183" s="132" t="s">
        <v>29</v>
      </c>
      <c r="K183" s="121" t="str">
        <f ca="1">IF($A183=0,"-",CONCATENATE(C183&amp;".",IF(AND($A$5&gt;=2,$A183&gt;=2),D183&amp;".",""),IF(AND($A$5&gt;=3,$A183&gt;=3),E183&amp;".",""),IF(AND($A$5&gt;=4,$A183&gt;=4),F183&amp;".",""),IF($A183="S",G183&amp;".","")))</f>
        <v>2.5.13.</v>
      </c>
      <c r="L183" s="137" t="str">
        <f ca="1">IF(NOT(ISERROR($Y183)),IF($Y183&lt;&gt;FALSE,INDEX(Banco,$Y183,4),""),"")</f>
        <v>Cotação</v>
      </c>
      <c r="M183" s="122" t="s">
        <v>80</v>
      </c>
      <c r="N183" s="139" t="s">
        <v>171</v>
      </c>
      <c r="O183" s="137" t="str">
        <f ca="1">IF(NOT(ISERROR($Y183)),IF($Y183&lt;&gt;FALSE,INDEX(Banco,$Y183,5),""),"")</f>
        <v xml:space="preserve">Refrigerantes (02 litros) </v>
      </c>
      <c r="P183" s="138" t="str">
        <f ca="1">IF(NOT(ISERROR($Y183)),IF($Y183&lt;&gt;FALSE,INDEX(Banco,$Y183,6),""),"")</f>
        <v>Unidade</v>
      </c>
      <c r="Q183" s="134">
        <v>20</v>
      </c>
      <c r="R183" s="124">
        <f ca="1">IF(NOT(ISERROR($Y183)),IF($Y183&lt;&gt;FALSE,INDEX(Banco,$Y183,7),0),0)</f>
        <v>6</v>
      </c>
      <c r="S183" s="136" t="s">
        <v>62</v>
      </c>
      <c r="T183" s="123">
        <f ca="1">IF($J183=$G$2,ROUND(ROUND($R183,2)*IF($R$9="Preço Unitário (R$)",1,1+$AA183),2),0)</f>
        <v>7.5</v>
      </c>
      <c r="U183" s="126">
        <f ca="1">IF($A183="S",VTOTAL1,IF($A183=0,0,ROUND(SomaAgrup,2)))</f>
        <v>150</v>
      </c>
      <c r="V183" s="1"/>
      <c r="W183" s="39" t="str">
        <f ca="1">IF(OR($A183=0,$A183="S",$A183&gt;CFF!$A$9),"",MAX(W$11:OFFSET(W183,-1,0))+1)</f>
        <v/>
      </c>
      <c r="X183" s="4" t="str">
        <f>IF(AND($J183=$G$2,$N183&lt;&gt;"",$M183&lt;&gt;""),CONCATENATE($M183,"-",$N183))</f>
        <v>Serv. Terc.-027</v>
      </c>
      <c r="Y183" s="39">
        <f ca="1">IF(X183&lt;&gt;FALSE,MATCH(X183,OFFSET(Banco,0,0,,1),0))</f>
        <v>107</v>
      </c>
      <c r="Z183" s="1"/>
      <c r="AA183" s="133">
        <f>IF($J183=$G$2,ROUND(IF(ISNUMBER(S183),S183,IF(LEFT(S183,2)="DI",HLOOKUP(S183,DADOS!$T$29:$X$30,2,FALSE),0)),4),"")</f>
        <v>0.25</v>
      </c>
      <c r="AB183" s="2"/>
    </row>
    <row r="184" spans="1:28">
      <c r="A184" t="str">
        <f t="shared" si="139"/>
        <v>S</v>
      </c>
      <c r="B184">
        <f t="shared" si="140"/>
        <v>0</v>
      </c>
      <c r="C184">
        <f t="shared" ca="1" si="127"/>
        <v>2</v>
      </c>
      <c r="D184">
        <f t="shared" ca="1" si="128"/>
        <v>5</v>
      </c>
      <c r="E184">
        <f t="shared" ca="1" si="129"/>
        <v>0</v>
      </c>
      <c r="F184">
        <f t="shared" ca="1" si="130"/>
        <v>0</v>
      </c>
      <c r="G184">
        <f t="shared" ca="1" si="131"/>
        <v>14</v>
      </c>
      <c r="H184">
        <f ca="1">IF(OR($A184="S",$A184=0),0,MATCH(0,OFFSET($B184,1,$A184,ROW($A$1504)-ROW($A184)),0))</f>
        <v>0</v>
      </c>
      <c r="I184">
        <f ca="1">IF(OR($A184="S",$A184=0),0,MATCH(OFFSET($B184,0,$A184)+1,OFFSET($B184,1,$A184,ROW($A$1504)-ROW($A184)),0))</f>
        <v>0</v>
      </c>
      <c r="J184" s="132" t="s">
        <v>29</v>
      </c>
      <c r="K184" s="121" t="str">
        <f t="shared" ca="1" si="141"/>
        <v>2.5.14.</v>
      </c>
      <c r="L184" s="137" t="str">
        <f t="shared" ca="1" si="132"/>
        <v>Cotação</v>
      </c>
      <c r="M184" s="122" t="s">
        <v>80</v>
      </c>
      <c r="N184" s="139" t="s">
        <v>162</v>
      </c>
      <c r="O184" s="137" t="str">
        <f t="shared" ca="1" si="142"/>
        <v>Coffee break (salgados)</v>
      </c>
      <c r="P184" s="138" t="str">
        <f t="shared" ca="1" si="133"/>
        <v>Centro</v>
      </c>
      <c r="Q184" s="134">
        <v>15</v>
      </c>
      <c r="R184" s="124">
        <f t="shared" ca="1" si="134"/>
        <v>65</v>
      </c>
      <c r="S184" s="136" t="s">
        <v>62</v>
      </c>
      <c r="T184" s="123">
        <f t="shared" ca="1" si="135"/>
        <v>81.25</v>
      </c>
      <c r="U184" s="126">
        <f t="shared" ca="1" si="136"/>
        <v>1218.75</v>
      </c>
      <c r="V184" s="1"/>
      <c r="W184" s="39" t="str">
        <f ca="1">IF(OR($A184=0,$A184="S",$A184&gt;CFF!$A$9),"",MAX(W$11:OFFSET(W184,-1,0))+1)</f>
        <v/>
      </c>
      <c r="X184" s="4" t="str">
        <f t="shared" si="137"/>
        <v>Serv. Terc.-015</v>
      </c>
      <c r="Y184" s="39">
        <f t="shared" ca="1" si="143"/>
        <v>95</v>
      </c>
      <c r="Z184" s="1"/>
      <c r="AA184" s="133">
        <f>IF($J184=$G$2,ROUND(IF(ISNUMBER(S184),S184,IF(LEFT(S184,2)="DI",HLOOKUP(S184,DADOS!$T$29:$X$30,2,FALSE),0)),4),"")</f>
        <v>0.25</v>
      </c>
      <c r="AB184" s="2"/>
    </row>
    <row r="185" spans="1:28">
      <c r="A185" t="str">
        <f t="shared" si="139"/>
        <v>S</v>
      </c>
      <c r="B185">
        <f t="shared" si="140"/>
        <v>0</v>
      </c>
      <c r="C185">
        <f t="shared" ca="1" si="127"/>
        <v>2</v>
      </c>
      <c r="D185">
        <f t="shared" ca="1" si="128"/>
        <v>5</v>
      </c>
      <c r="E185">
        <f t="shared" ca="1" si="129"/>
        <v>0</v>
      </c>
      <c r="F185">
        <f t="shared" ca="1" si="130"/>
        <v>0</v>
      </c>
      <c r="G185">
        <f t="shared" ca="1" si="131"/>
        <v>15</v>
      </c>
      <c r="H185">
        <f ca="1">IF(OR($A185="S",$A185=0),0,MATCH(0,OFFSET($B185,1,$A185,ROW($A$1504)-ROW($A185)),0))</f>
        <v>0</v>
      </c>
      <c r="I185">
        <f ca="1">IF(OR($A185="S",$A185=0),0,MATCH(OFFSET($B185,0,$A185)+1,OFFSET($B185,1,$A185,ROW($A$1504)-ROW($A185)),0))</f>
        <v>0</v>
      </c>
      <c r="J185" s="132" t="s">
        <v>29</v>
      </c>
      <c r="K185" s="121" t="str">
        <f t="shared" ca="1" si="141"/>
        <v>2.5.15.</v>
      </c>
      <c r="L185" s="137" t="str">
        <f t="shared" ca="1" si="132"/>
        <v>Cotação</v>
      </c>
      <c r="M185" s="122" t="s">
        <v>79</v>
      </c>
      <c r="N185" s="139" t="s">
        <v>163</v>
      </c>
      <c r="O185" s="137" t="str">
        <f ca="1">IF(NOT(ISERROR($Y185)),IF($Y185&lt;&gt;FALSE,INDEX(Banco,$Y185,5),""),"")</f>
        <v>Guloseimas (balas e pirulito)</v>
      </c>
      <c r="P185" s="138" t="str">
        <f t="shared" ca="1" si="133"/>
        <v>Pacote</v>
      </c>
      <c r="Q185" s="134">
        <v>4</v>
      </c>
      <c r="R185" s="124">
        <f t="shared" ca="1" si="134"/>
        <v>12</v>
      </c>
      <c r="S185" s="136" t="s">
        <v>62</v>
      </c>
      <c r="T185" s="123">
        <f t="shared" ca="1" si="135"/>
        <v>15</v>
      </c>
      <c r="U185" s="126">
        <f t="shared" ca="1" si="136"/>
        <v>60</v>
      </c>
      <c r="V185" s="1"/>
      <c r="W185" s="39" t="str">
        <f ca="1">IF(OR($A185=0,$A185="S",$A185&gt;CFF!$A$9),"",MAX(W$11:OFFSET(W185,-1,0))+1)</f>
        <v/>
      </c>
      <c r="X185" s="4" t="str">
        <f t="shared" si="137"/>
        <v>Rec. Materiais-020</v>
      </c>
      <c r="Y185" s="39">
        <f t="shared" ca="1" si="143"/>
        <v>29</v>
      </c>
      <c r="Z185" s="1"/>
      <c r="AA185" s="133">
        <f>IF($J185=$G$2,ROUND(IF(ISNUMBER(S185),S185,IF(LEFT(S185,2)="DI",HLOOKUP(S185,DADOS!$T$29:$X$30,2,FALSE),0)),4),"")</f>
        <v>0.25</v>
      </c>
      <c r="AB185" s="2"/>
    </row>
    <row r="186" spans="1:28">
      <c r="A186" t="str">
        <f>CHOOSE(1+LOG(1+2*(J186=$C$2)+4*(J186=$D$2)+8*(J186=$E$2)+16*(J186=$F$2)+32*(J186=$G$2),2),0,1,2,3,4,"S")</f>
        <v>S</v>
      </c>
      <c r="B186">
        <f>IF(OR(A186="S",A186=0),0,IF(ISERROR(I186),H186,SMALL(H186:I186,1)))</f>
        <v>0</v>
      </c>
      <c r="C186">
        <f ca="1">IF($A186=1,OFFSET(C186,-1,0)+1,OFFSET(C186,-1,0))</f>
        <v>2</v>
      </c>
      <c r="D186">
        <f ca="1">IF($A186=1,0,IF($A186=2,OFFSET(D186,-1,0)+1,OFFSET(D186,-1,0)))</f>
        <v>5</v>
      </c>
      <c r="E186">
        <f ca="1">IF(AND($A186&lt;=2,$A186&lt;&gt;0),0,IF($A186=3,OFFSET(E186,-1,0)+1,OFFSET(E186,-1,0)))</f>
        <v>0</v>
      </c>
      <c r="F186">
        <f ca="1">IF(AND($A186&lt;=3,$A186&lt;&gt;0),0,IF($A186=4,OFFSET(F186,-1,0)+1,OFFSET(F186,-1,0)))</f>
        <v>0</v>
      </c>
      <c r="G186">
        <f ca="1">IF(AND($A186&lt;=4,$A186&lt;&gt;0),0,IF($A186="S",OFFSET(G186,-1,0)+1,OFFSET(G186,-1,0)))</f>
        <v>16</v>
      </c>
      <c r="H186">
        <f ca="1">IF(OR($A186="S",$A186=0),0,MATCH(0,OFFSET($B186,1,$A186,ROW($A$1504)-ROW($A186)),0))</f>
        <v>0</v>
      </c>
      <c r="I186">
        <f ca="1">IF(OR($A186="S",$A186=0),0,MATCH(OFFSET($B186,0,$A186)+1,OFFSET($B186,1,$A186,ROW($A$1504)-ROW($A186)),0))</f>
        <v>0</v>
      </c>
      <c r="J186" s="132" t="s">
        <v>29</v>
      </c>
      <c r="K186" s="121" t="str">
        <f ca="1">IF($A186=0,"-",CONCATENATE(C186&amp;".",IF(AND($A$5&gt;=2,$A186&gt;=2),D186&amp;".",""),IF(AND($A$5&gt;=3,$A186&gt;=3),E186&amp;".",""),IF(AND($A$5&gt;=4,$A186&gt;=4),F186&amp;".",""),IF($A186="S",G186&amp;".","")))</f>
        <v>2.5.16.</v>
      </c>
      <c r="L186" s="137" t="str">
        <f ca="1">IF(NOT(ISERROR($Y186)),IF($Y186&lt;&gt;FALSE,INDEX(Banco,$Y186,4),""),"")</f>
        <v xml:space="preserve">SINAPI </v>
      </c>
      <c r="M186" s="122" t="s">
        <v>80</v>
      </c>
      <c r="N186" s="139" t="s">
        <v>314</v>
      </c>
      <c r="O186" s="137" t="str">
        <f ca="1">IF(NOT(ISERROR($Y186)),IF($Y186&lt;&gt;FALSE,INDEX(Banco,$Y186,5),""),"")</f>
        <v xml:space="preserve">Arquiteto </v>
      </c>
      <c r="P186" s="138" t="str">
        <f ca="1">IF(NOT(ISERROR($Y186)),IF($Y186&lt;&gt;FALSE,INDEX(Banco,$Y186,6),""),"")</f>
        <v>Horas</v>
      </c>
      <c r="Q186" s="134">
        <v>4</v>
      </c>
      <c r="R186" s="124">
        <f ca="1">IF(NOT(ISERROR($Y186)),IF($Y186&lt;&gt;FALSE,INDEX(Banco,$Y186,7),0),0)</f>
        <v>86.85</v>
      </c>
      <c r="S186" s="136" t="s">
        <v>62</v>
      </c>
      <c r="T186" s="123">
        <f ca="1">IF($J186=$G$2,ROUND(ROUND($R186,2)*IF($R$9="Preço Unitário (R$)",1,1+$AA186),2),0)</f>
        <v>108.56</v>
      </c>
      <c r="U186" s="126">
        <f ca="1">IF($A186="S",VTOTAL1,IF($A186=0,0,ROUND(SomaAgrup,2)))</f>
        <v>434.24</v>
      </c>
      <c r="V186" s="1"/>
      <c r="W186" s="39" t="str">
        <f ca="1">IF(OR($A186=0,$A186="S",$A186&gt;CFF!$A$9),"",MAX(W$11:OFFSET(W186,-1,0))+1)</f>
        <v/>
      </c>
      <c r="X186" s="4" t="str">
        <f>IF(AND($J186=$G$2,$N186&lt;&gt;"",$M186&lt;&gt;""),CONCATENATE($M186,"-",$N186))</f>
        <v>Serv. Terc.-041</v>
      </c>
      <c r="Y186" s="39">
        <f ca="1">IF(X186&lt;&gt;FALSE,MATCH(X186,OFFSET(Banco,0,0,,1),0))</f>
        <v>121</v>
      </c>
      <c r="Z186" s="1"/>
      <c r="AA186" s="133">
        <f>IF($J186=$G$2,ROUND(IF(ISNUMBER(S186),S186,IF(LEFT(S186,2)="DI",HLOOKUP(S186,DADOS!$T$29:$X$30,2,FALSE),0)),4),"")</f>
        <v>0.25</v>
      </c>
      <c r="AB186" s="2"/>
    </row>
    <row r="187" spans="1:28">
      <c r="A187" t="str">
        <f t="shared" si="139"/>
        <v>S</v>
      </c>
      <c r="B187">
        <f t="shared" si="140"/>
        <v>0</v>
      </c>
      <c r="C187">
        <f t="shared" ca="1" si="127"/>
        <v>2</v>
      </c>
      <c r="D187">
        <f t="shared" ca="1" si="128"/>
        <v>5</v>
      </c>
      <c r="E187">
        <f t="shared" ca="1" si="129"/>
        <v>0</v>
      </c>
      <c r="F187">
        <f t="shared" ca="1" si="130"/>
        <v>0</v>
      </c>
      <c r="G187">
        <f t="shared" ca="1" si="131"/>
        <v>17</v>
      </c>
      <c r="H187">
        <f ca="1">IF(OR($A187="S",$A187=0),0,MATCH(0,OFFSET($B187,1,$A187,ROW($A$1504)-ROW($A187)),0))</f>
        <v>0</v>
      </c>
      <c r="I187">
        <f ca="1">IF(OR($A187="S",$A187=0),0,MATCH(OFFSET($B187,0,$A187)+1,OFFSET($B187,1,$A187,ROW($A$1504)-ROW($A187)),0))</f>
        <v>0</v>
      </c>
      <c r="J187" s="132" t="s">
        <v>29</v>
      </c>
      <c r="K187" s="121" t="str">
        <f t="shared" ca="1" si="141"/>
        <v>2.5.17.</v>
      </c>
      <c r="L187" s="137" t="str">
        <f t="shared" ca="1" si="132"/>
        <v>Cotação</v>
      </c>
      <c r="M187" s="122" t="s">
        <v>79</v>
      </c>
      <c r="N187" s="139" t="s">
        <v>165</v>
      </c>
      <c r="O187" s="137" t="str">
        <f ca="1">IF(NOT(ISERROR($Y187)),IF($Y187&lt;&gt;FALSE,INDEX(Banco,$Y187,5),""),"")</f>
        <v>Papel de presente</v>
      </c>
      <c r="P187" s="138" t="str">
        <f t="shared" ca="1" si="133"/>
        <v>Folhas</v>
      </c>
      <c r="Q187" s="134">
        <v>8</v>
      </c>
      <c r="R187" s="124">
        <f t="shared" ca="1" si="134"/>
        <v>1.5</v>
      </c>
      <c r="S187" s="136" t="s">
        <v>62</v>
      </c>
      <c r="T187" s="123">
        <f t="shared" ca="1" si="135"/>
        <v>1.88</v>
      </c>
      <c r="U187" s="126">
        <f t="shared" ca="1" si="136"/>
        <v>15.04</v>
      </c>
      <c r="V187" s="1"/>
      <c r="W187" s="39" t="str">
        <f ca="1">IF(OR($A187=0,$A187="S",$A187&gt;CFF!$A$9),"",MAX(W$11:OFFSET(W187,-1,0))+1)</f>
        <v/>
      </c>
      <c r="X187" s="4" t="str">
        <f t="shared" si="137"/>
        <v>Rec. Materiais-021</v>
      </c>
      <c r="Y187" s="39">
        <f t="shared" ca="1" si="143"/>
        <v>30</v>
      </c>
      <c r="Z187" s="1"/>
      <c r="AA187" s="133">
        <f>IF($J187=$G$2,ROUND(IF(ISNUMBER(S187),S187,IF(LEFT(S187,2)="DI",HLOOKUP(S187,DADOS!$T$29:$X$30,2,FALSE),0)),4),"")</f>
        <v>0.25</v>
      </c>
      <c r="AB187" s="2"/>
    </row>
    <row r="188" spans="1:28">
      <c r="A188" t="str">
        <f t="shared" si="139"/>
        <v>S</v>
      </c>
      <c r="B188">
        <f t="shared" si="140"/>
        <v>0</v>
      </c>
      <c r="C188">
        <f t="shared" ca="1" si="127"/>
        <v>2</v>
      </c>
      <c r="D188">
        <f t="shared" ca="1" si="128"/>
        <v>5</v>
      </c>
      <c r="E188">
        <f t="shared" ca="1" si="129"/>
        <v>0</v>
      </c>
      <c r="F188">
        <f t="shared" ca="1" si="130"/>
        <v>0</v>
      </c>
      <c r="G188">
        <f t="shared" ca="1" si="131"/>
        <v>18</v>
      </c>
      <c r="H188">
        <f ca="1">IF(OR($A188="S",$A188=0),0,MATCH(0,OFFSET($B188,1,$A188,ROW($A$1504)-ROW($A188)),0))</f>
        <v>0</v>
      </c>
      <c r="I188">
        <f ca="1">IF(OR($A188="S",$A188=0),0,MATCH(OFFSET($B188,0,$A188)+1,OFFSET($B188,1,$A188,ROW($A$1504)-ROW($A188)),0))</f>
        <v>0</v>
      </c>
      <c r="J188" s="132" t="s">
        <v>29</v>
      </c>
      <c r="K188" s="121" t="str">
        <f t="shared" ca="1" si="141"/>
        <v>2.5.18.</v>
      </c>
      <c r="L188" s="137" t="str">
        <f t="shared" ca="1" si="132"/>
        <v>Cotação</v>
      </c>
      <c r="M188" s="122" t="s">
        <v>79</v>
      </c>
      <c r="N188" s="139" t="s">
        <v>170</v>
      </c>
      <c r="O188" s="137" t="str">
        <f ca="1">IF(NOT(ISERROR($Y188)),IF($Y188&lt;&gt;FALSE,INDEX(Banco,$Y188,5),""),"")</f>
        <v>Saco de lixo (100 litros)</v>
      </c>
      <c r="P188" s="138" t="str">
        <f t="shared" ca="1" si="133"/>
        <v>Pacote</v>
      </c>
      <c r="Q188" s="134">
        <v>2</v>
      </c>
      <c r="R188" s="124">
        <f t="shared" ca="1" si="134"/>
        <v>15</v>
      </c>
      <c r="S188" s="136" t="s">
        <v>62</v>
      </c>
      <c r="T188" s="123">
        <f t="shared" ca="1" si="135"/>
        <v>18.75</v>
      </c>
      <c r="U188" s="126">
        <f t="shared" ca="1" si="136"/>
        <v>37.5</v>
      </c>
      <c r="V188" s="1"/>
      <c r="W188" s="39" t="str">
        <f ca="1">IF(OR($A188=0,$A188="S",$A188&gt;CFF!$A$9),"",MAX(W$11:OFFSET(W188,-1,0))+1)</f>
        <v/>
      </c>
      <c r="X188" s="4" t="str">
        <f t="shared" si="137"/>
        <v>Rec. Materiais-026</v>
      </c>
      <c r="Y188" s="39">
        <f t="shared" ca="1" si="143"/>
        <v>35</v>
      </c>
      <c r="Z188" s="1"/>
      <c r="AA188" s="133">
        <f>IF($J188=$G$2,ROUND(IF(ISNUMBER(S188),S188,IF(LEFT(S188,2)="DI",HLOOKUP(S188,DADOS!$T$29:$X$30,2,FALSE),0)),4),"")</f>
        <v>0.25</v>
      </c>
      <c r="AB188" s="2"/>
    </row>
    <row r="189" spans="1:28">
      <c r="A189">
        <f>CHOOSE(1+LOG(1+2*(J189=$C$2)+4*(J189=$D$2)+8*(J189=$E$2)+16*(J189=$F$2)+32*(J189=$G$2),2),0,1,2,3,4,"S")</f>
        <v>2</v>
      </c>
      <c r="B189">
        <f ca="1">IF(OR(A189="S",A189=0),0,IF(ISERROR(I189),H189,SMALL(H189:I189,1)))</f>
        <v>9</v>
      </c>
      <c r="C189">
        <f ca="1">IF($A189=1,OFFSET(C189,-1,0)+1,OFFSET(C189,-1,0))</f>
        <v>2</v>
      </c>
      <c r="D189">
        <f ca="1">IF($A189=1,0,IF($A189=2,OFFSET(D189,-1,0)+1,OFFSET(D189,-1,0)))</f>
        <v>6</v>
      </c>
      <c r="E189">
        <f ca="1">IF(AND($A189&lt;=2,$A189&lt;&gt;0),0,IF($A189=3,OFFSET(E189,-1,0)+1,OFFSET(E189,-1,0)))</f>
        <v>0</v>
      </c>
      <c r="F189">
        <f ca="1">IF(AND($A189&lt;=3,$A189&lt;&gt;0),0,IF($A189=4,OFFSET(F189,-1,0)+1,OFFSET(F189,-1,0)))</f>
        <v>0</v>
      </c>
      <c r="G189">
        <f ca="1">IF(AND($A189&lt;=4,$A189&lt;&gt;0),0,IF($A189="S",OFFSET(G189,-1,0)+1,OFFSET(G189,-1,0)))</f>
        <v>0</v>
      </c>
      <c r="H189">
        <f ca="1">IF(OR($A189="S",$A189=0),0,MATCH(0,OFFSET($B189,1,$A189,ROW($A$1504)-ROW($A189)),0))</f>
        <v>13</v>
      </c>
      <c r="I189">
        <f ca="1">IF(OR($A189="S",$A189=0),0,MATCH(OFFSET($B189,0,$A189)+1,OFFSET($B189,1,$A189,ROW($A$1504)-ROW($A189)),0))</f>
        <v>9</v>
      </c>
      <c r="J189" s="132" t="s">
        <v>68</v>
      </c>
      <c r="K189" s="121" t="str">
        <f ca="1">IF($A189=0,"-",CONCATENATE(C189&amp;".",IF(AND($A$5&gt;=2,$A189&gt;=2),D189&amp;".",""),IF(AND($A$5&gt;=3,$A189&gt;=3),E189&amp;".",""),IF(AND($A$5&gt;=4,$A189&gt;=4),F189&amp;".",""),IF($A189="S",G189&amp;".","")))</f>
        <v>2.6.</v>
      </c>
      <c r="L189" s="137" t="str">
        <f ca="1">IF(NOT(ISERROR($Y189)),IF($Y189&lt;&gt;FALSE,INDEX(Banco,$Y189,4),""),"")</f>
        <v/>
      </c>
      <c r="M189" s="122"/>
      <c r="N189" s="139"/>
      <c r="O189" s="137" t="s">
        <v>356</v>
      </c>
      <c r="P189" s="138" t="str">
        <f ca="1">IF(NOT(ISERROR($Y189)),IF($Y189&lt;&gt;FALSE,INDEX(Banco,$Y189,6),""),"")</f>
        <v/>
      </c>
      <c r="Q189" s="134"/>
      <c r="R189" s="124">
        <f ca="1">IF(NOT(ISERROR($Y189)),IF($Y189&lt;&gt;FALSE,INDEX(Banco,$Y189,7),0),0)</f>
        <v>0</v>
      </c>
      <c r="S189" s="136" t="s">
        <v>62</v>
      </c>
      <c r="T189" s="123">
        <f>IF($J189=$G$2,ROUND(ROUND($R189,2)*IF($R$9="Preço Unitário (R$)",1,1+$AA189),2),0)</f>
        <v>0</v>
      </c>
      <c r="U189" s="126">
        <f ca="1">IF($A189="S",VTOTAL1,IF($A189=0,0,ROUND(SomaAgrup,2)))</f>
        <v>4465.74</v>
      </c>
      <c r="V189" s="1"/>
      <c r="W189" s="39">
        <f ca="1">IF(OR($A189=0,$A189="S",$A189&gt;CFF!$A$9),"",MAX(W$11:OFFSET(W189,-1,0))+1)</f>
        <v>11</v>
      </c>
      <c r="X189" s="4" t="b">
        <f>IF(AND($J189=$G$2,$N189&lt;&gt;"",$M189&lt;&gt;""),CONCATENATE($M189,"-",$N189))</f>
        <v>0</v>
      </c>
      <c r="Y189" s="39" t="b">
        <f ca="1">IF(X189&lt;&gt;FALSE,MATCH(X189,OFFSET(Banco,0,0,,1),0))</f>
        <v>0</v>
      </c>
      <c r="Z189" s="1"/>
      <c r="AA189" s="133" t="str">
        <f>IF($J189=$G$2,ROUND(IF(ISNUMBER(S189),S189,IF(LEFT(S189,2)="DI",HLOOKUP(S189,DADOS!$T$29:$X$30,2,FALSE),0)),4),"")</f>
        <v/>
      </c>
      <c r="AB189" s="2"/>
    </row>
    <row r="190" spans="1:28">
      <c r="A190" t="str">
        <f t="shared" ref="A190:A197" si="144">CHOOSE(1+LOG(1+2*(J190=$C$2)+4*(J190=$D$2)+8*(J190=$E$2)+16*(J190=$F$2)+32*(J190=$G$2),2),0,1,2,3,4,"S")</f>
        <v>S</v>
      </c>
      <c r="B190">
        <f t="shared" ref="B190:B197" si="145">IF(OR(A190="S",A190=0),0,IF(ISERROR(I190),H190,SMALL(H190:I190,1)))</f>
        <v>0</v>
      </c>
      <c r="C190">
        <f t="shared" ca="1" si="127"/>
        <v>2</v>
      </c>
      <c r="D190">
        <f t="shared" ca="1" si="128"/>
        <v>6</v>
      </c>
      <c r="E190">
        <f t="shared" ca="1" si="129"/>
        <v>0</v>
      </c>
      <c r="F190">
        <f t="shared" ca="1" si="130"/>
        <v>0</v>
      </c>
      <c r="G190">
        <f t="shared" ca="1" si="131"/>
        <v>1</v>
      </c>
      <c r="H190">
        <f ca="1">IF(OR($A190="S",$A190=0),0,MATCH(0,OFFSET($B190,1,$A190,ROW($A$1504)-ROW($A190)),0))</f>
        <v>0</v>
      </c>
      <c r="I190">
        <f ca="1">IF(OR($A190="S",$A190=0),0,MATCH(OFFSET($B190,0,$A190)+1,OFFSET($B190,1,$A190,ROW($A$1504)-ROW($A190)),0))</f>
        <v>0</v>
      </c>
      <c r="J190" s="132" t="s">
        <v>29</v>
      </c>
      <c r="K190" s="121" t="str">
        <f t="shared" ref="K190:K197" ca="1" si="146">IF($A190=0,"-",CONCATENATE(C190&amp;".",IF(AND($A$5&gt;=2,$A190&gt;=2),D190&amp;".",""),IF(AND($A$5&gt;=3,$A190&gt;=3),E190&amp;".",""),IF(AND($A$5&gt;=4,$A190&gt;=4),F190&amp;".",""),IF($A190="S",G190&amp;".","")))</f>
        <v>2.6.1.</v>
      </c>
      <c r="L190" s="137" t="str">
        <f t="shared" ca="1" si="132"/>
        <v>CRESS</v>
      </c>
      <c r="M190" s="122" t="s">
        <v>78</v>
      </c>
      <c r="N190" s="139" t="s">
        <v>149</v>
      </c>
      <c r="O190" s="137" t="str">
        <f t="shared" ref="O190:O195" ca="1" si="147">IF(NOT(ISERROR($Y190)),IF($Y190&lt;&gt;FALSE,INDEX(Banco,$Y190,5),""),"")</f>
        <v>Responsável Técnica</v>
      </c>
      <c r="P190" s="138" t="str">
        <f t="shared" ca="1" si="133"/>
        <v>Horas</v>
      </c>
      <c r="Q190" s="134">
        <v>4</v>
      </c>
      <c r="R190" s="124">
        <f t="shared" ca="1" si="134"/>
        <v>150.28</v>
      </c>
      <c r="S190" s="136" t="s">
        <v>62</v>
      </c>
      <c r="T190" s="123">
        <f t="shared" ca="1" si="135"/>
        <v>187.85</v>
      </c>
      <c r="U190" s="126">
        <f t="shared" ca="1" si="136"/>
        <v>751.4</v>
      </c>
      <c r="V190" s="1"/>
      <c r="W190" s="39" t="str">
        <f ca="1">IF(OR($A190=0,$A190="S",$A190&gt;CFF!$A$9),"",MAX(W$11:OFFSET(W190,-1,0))+1)</f>
        <v/>
      </c>
      <c r="X190" s="4" t="str">
        <f t="shared" si="137"/>
        <v>Rec. Humanos-001</v>
      </c>
      <c r="Y190" s="39">
        <f t="shared" ref="Y190:Y197" ca="1" si="148">IF(X190&lt;&gt;FALSE,MATCH(X190,OFFSET(Banco,0,0,,1),0))</f>
        <v>3</v>
      </c>
      <c r="Z190" s="1"/>
      <c r="AA190" s="133">
        <f>IF($J190=$G$2,ROUND(IF(ISNUMBER(S190),S190,IF(LEFT(S190,2)="DI",HLOOKUP(S190,DADOS!$T$29:$X$30,2,FALSE),0)),4),"")</f>
        <v>0.25</v>
      </c>
      <c r="AB190" s="2"/>
    </row>
    <row r="191" spans="1:28">
      <c r="A191" t="str">
        <f t="shared" si="144"/>
        <v>S</v>
      </c>
      <c r="B191">
        <f t="shared" si="145"/>
        <v>0</v>
      </c>
      <c r="C191">
        <f t="shared" ca="1" si="127"/>
        <v>2</v>
      </c>
      <c r="D191">
        <f t="shared" ca="1" si="128"/>
        <v>6</v>
      </c>
      <c r="E191">
        <f t="shared" ca="1" si="129"/>
        <v>0</v>
      </c>
      <c r="F191">
        <f t="shared" ca="1" si="130"/>
        <v>0</v>
      </c>
      <c r="G191">
        <f t="shared" ca="1" si="131"/>
        <v>2</v>
      </c>
      <c r="H191">
        <f ca="1">IF(OR($A191="S",$A191=0),0,MATCH(0,OFFSET($B191,1,$A191,ROW($A$1504)-ROW($A191)),0))</f>
        <v>0</v>
      </c>
      <c r="I191">
        <f ca="1">IF(OR($A191="S",$A191=0),0,MATCH(OFFSET($B191,0,$A191)+1,OFFSET($B191,1,$A191,ROW($A$1504)-ROW($A191)),0))</f>
        <v>0</v>
      </c>
      <c r="J191" s="132" t="s">
        <v>29</v>
      </c>
      <c r="K191" s="121" t="str">
        <f t="shared" ca="1" si="146"/>
        <v>2.6.2.</v>
      </c>
      <c r="L191" s="137" t="str">
        <f t="shared" ca="1" si="132"/>
        <v>CRESS</v>
      </c>
      <c r="M191" s="122" t="s">
        <v>78</v>
      </c>
      <c r="N191" s="139" t="s">
        <v>152</v>
      </c>
      <c r="O191" s="137" t="str">
        <f t="shared" ca="1" si="147"/>
        <v>Assistente Social</v>
      </c>
      <c r="P191" s="138" t="str">
        <f t="shared" ca="1" si="133"/>
        <v>Horas</v>
      </c>
      <c r="Q191" s="134">
        <v>4</v>
      </c>
      <c r="R191" s="124">
        <f t="shared" ca="1" si="134"/>
        <v>133.81</v>
      </c>
      <c r="S191" s="136" t="s">
        <v>62</v>
      </c>
      <c r="T191" s="123">
        <f t="shared" ca="1" si="135"/>
        <v>167.26</v>
      </c>
      <c r="U191" s="126">
        <f t="shared" ca="1" si="136"/>
        <v>669.04</v>
      </c>
      <c r="V191" s="1"/>
      <c r="W191" s="39" t="str">
        <f ca="1">IF(OR($A191=0,$A191="S",$A191&gt;CFF!$A$9),"",MAX(W$11:OFFSET(W191,-1,0))+1)</f>
        <v/>
      </c>
      <c r="X191" s="4" t="str">
        <f t="shared" si="137"/>
        <v>Rec. Humanos-002</v>
      </c>
      <c r="Y191" s="39">
        <f t="shared" ca="1" si="148"/>
        <v>4</v>
      </c>
      <c r="Z191" s="1"/>
      <c r="AA191" s="133">
        <f>IF($J191=$G$2,ROUND(IF(ISNUMBER(S191),S191,IF(LEFT(S191,2)="DI",HLOOKUP(S191,DADOS!$T$29:$X$30,2,FALSE),0)),4),"")</f>
        <v>0.25</v>
      </c>
      <c r="AB191" s="2"/>
    </row>
    <row r="192" spans="1:28">
      <c r="A192" t="str">
        <f t="shared" si="144"/>
        <v>S</v>
      </c>
      <c r="B192">
        <f t="shared" si="145"/>
        <v>0</v>
      </c>
      <c r="C192">
        <f t="shared" ca="1" si="127"/>
        <v>2</v>
      </c>
      <c r="D192">
        <f t="shared" ca="1" si="128"/>
        <v>6</v>
      </c>
      <c r="E192">
        <f t="shared" ca="1" si="129"/>
        <v>0</v>
      </c>
      <c r="F192">
        <f t="shared" ca="1" si="130"/>
        <v>0</v>
      </c>
      <c r="G192">
        <f t="shared" ca="1" si="131"/>
        <v>3</v>
      </c>
      <c r="H192">
        <f ca="1">IF(OR($A192="S",$A192=0),0,MATCH(0,OFFSET($B192,1,$A192,ROW($A$1504)-ROW($A192)),0))</f>
        <v>0</v>
      </c>
      <c r="I192">
        <f ca="1">IF(OR($A192="S",$A192=0),0,MATCH(OFFSET($B192,0,$A192)+1,OFFSET($B192,1,$A192,ROW($A$1504)-ROW($A192)),0))</f>
        <v>0</v>
      </c>
      <c r="J192" s="132" t="s">
        <v>29</v>
      </c>
      <c r="K192" s="121" t="str">
        <f t="shared" ca="1" si="146"/>
        <v>2.6.3.</v>
      </c>
      <c r="L192" s="137" t="str">
        <f t="shared" ca="1" si="132"/>
        <v>Cotação</v>
      </c>
      <c r="M192" s="122" t="s">
        <v>80</v>
      </c>
      <c r="N192" s="139" t="s">
        <v>201</v>
      </c>
      <c r="O192" s="137" t="str">
        <f t="shared" ca="1" si="147"/>
        <v xml:space="preserve">Coffe break (salgados) </v>
      </c>
      <c r="P192" s="138" t="str">
        <f t="shared" ca="1" si="133"/>
        <v>Centro</v>
      </c>
      <c r="Q192" s="134">
        <v>4</v>
      </c>
      <c r="R192" s="124">
        <f t="shared" ca="1" si="134"/>
        <v>65</v>
      </c>
      <c r="S192" s="136" t="s">
        <v>62</v>
      </c>
      <c r="T192" s="123">
        <f t="shared" ca="1" si="135"/>
        <v>81.25</v>
      </c>
      <c r="U192" s="126">
        <f t="shared" ca="1" si="136"/>
        <v>325</v>
      </c>
      <c r="V192" s="1"/>
      <c r="W192" s="39" t="str">
        <f ca="1">IF(OR($A192=0,$A192="S",$A192&gt;CFF!$A$9),"",MAX(W$11:OFFSET(W192,-1,0))+1)</f>
        <v/>
      </c>
      <c r="X192" s="4" t="str">
        <f t="shared" si="137"/>
        <v>Serv. Terc.-033</v>
      </c>
      <c r="Y192" s="39">
        <f t="shared" ca="1" si="148"/>
        <v>113</v>
      </c>
      <c r="Z192" s="1"/>
      <c r="AA192" s="133">
        <f>IF($J192=$G$2,ROUND(IF(ISNUMBER(S192),S192,IF(LEFT(S192,2)="DI",HLOOKUP(S192,DADOS!$T$29:$X$30,2,FALSE),0)),4),"")</f>
        <v>0.25</v>
      </c>
      <c r="AB192" s="2"/>
    </row>
    <row r="193" spans="1:28">
      <c r="A193" t="str">
        <f t="shared" si="144"/>
        <v>S</v>
      </c>
      <c r="B193">
        <f t="shared" si="145"/>
        <v>0</v>
      </c>
      <c r="C193">
        <f ca="1">IF($A193=1,OFFSET(C193,-1,0)+1,OFFSET(C193,-1,0))</f>
        <v>2</v>
      </c>
      <c r="D193">
        <f ca="1">IF($A193=1,0,IF($A193=2,OFFSET(D193,-1,0)+1,OFFSET(D193,-1,0)))</f>
        <v>6</v>
      </c>
      <c r="E193">
        <f ca="1">IF(AND($A193&lt;=2,$A193&lt;&gt;0),0,IF($A193=3,OFFSET(E193,-1,0)+1,OFFSET(E193,-1,0)))</f>
        <v>0</v>
      </c>
      <c r="F193">
        <f ca="1">IF(AND($A193&lt;=3,$A193&lt;&gt;0),0,IF($A193=4,OFFSET(F193,-1,0)+1,OFFSET(F193,-1,0)))</f>
        <v>0</v>
      </c>
      <c r="G193">
        <f ca="1">IF(AND($A193&lt;=4,$A193&lt;&gt;0),0,IF($A193="S",OFFSET(G193,-1,0)+1,OFFSET(G193,-1,0)))</f>
        <v>4</v>
      </c>
      <c r="H193">
        <f ca="1">IF(OR($A193="S",$A193=0),0,MATCH(0,OFFSET($B193,1,$A193,ROW($A$1504)-ROW($A193)),0))</f>
        <v>0</v>
      </c>
      <c r="I193">
        <f ca="1">IF(OR($A193="S",$A193=0),0,MATCH(OFFSET($B193,0,$A193)+1,OFFSET($B193,1,$A193,ROW($A$1504)-ROW($A193)),0))</f>
        <v>0</v>
      </c>
      <c r="J193" s="132" t="s">
        <v>29</v>
      </c>
      <c r="K193" s="121" t="str">
        <f t="shared" ca="1" si="146"/>
        <v>2.6.4.</v>
      </c>
      <c r="L193" s="137" t="str">
        <f ca="1">IF(NOT(ISERROR($Y193)),IF($Y193&lt;&gt;FALSE,INDEX(Banco,$Y193,4),""),"")</f>
        <v>Cotação</v>
      </c>
      <c r="M193" s="122" t="s">
        <v>80</v>
      </c>
      <c r="N193" s="139" t="s">
        <v>171</v>
      </c>
      <c r="O193" s="137" t="str">
        <f ca="1">IF(NOT(ISERROR($Y193)),IF($Y193&lt;&gt;FALSE,INDEX(Banco,$Y193,5),""),"")</f>
        <v xml:space="preserve">Refrigerantes (02 litros) </v>
      </c>
      <c r="P193" s="138" t="str">
        <f ca="1">IF(NOT(ISERROR($Y193)),IF($Y193&lt;&gt;FALSE,INDEX(Banco,$Y193,6),""),"")</f>
        <v>Unidade</v>
      </c>
      <c r="Q193" s="134">
        <v>4</v>
      </c>
      <c r="R193" s="124">
        <f ca="1">IF(NOT(ISERROR($Y193)),IF($Y193&lt;&gt;FALSE,INDEX(Banco,$Y193,7),0),0)</f>
        <v>6</v>
      </c>
      <c r="S193" s="136" t="s">
        <v>62</v>
      </c>
      <c r="T193" s="123">
        <f ca="1">IF($J193=$G$2,ROUND(ROUND($R193,2)*IF($R$9="Preço Unitário (R$)",1,1+$AA193),2),0)</f>
        <v>7.5</v>
      </c>
      <c r="U193" s="126">
        <f ca="1">IF($A193="S",VTOTAL1,IF($A193=0,0,ROUND(SomaAgrup,2)))</f>
        <v>30</v>
      </c>
      <c r="V193" s="1"/>
      <c r="W193" s="39" t="str">
        <f ca="1">IF(OR($A193=0,$A193="S",$A193&gt;CFF!$A$9),"",MAX(W$11:OFFSET(W193,-1,0))+1)</f>
        <v/>
      </c>
      <c r="X193" s="4" t="str">
        <f>IF(AND($J193=$G$2,$N193&lt;&gt;"",$M193&lt;&gt;""),CONCATENATE($M193,"-",$N193))</f>
        <v>Serv. Terc.-027</v>
      </c>
      <c r="Y193" s="39">
        <f t="shared" ca="1" si="148"/>
        <v>107</v>
      </c>
      <c r="Z193" s="1"/>
      <c r="AA193" s="133">
        <f>IF($J193=$G$2,ROUND(IF(ISNUMBER(S193),S193,IF(LEFT(S193,2)="DI",HLOOKUP(S193,DADOS!$T$29:$X$30,2,FALSE),0)),4),"")</f>
        <v>0.25</v>
      </c>
      <c r="AB193" s="2"/>
    </row>
    <row r="194" spans="1:28">
      <c r="A194" t="str">
        <f t="shared" si="144"/>
        <v>S</v>
      </c>
      <c r="B194">
        <f t="shared" si="145"/>
        <v>0</v>
      </c>
      <c r="C194">
        <f t="shared" ca="1" si="127"/>
        <v>2</v>
      </c>
      <c r="D194">
        <f t="shared" ca="1" si="128"/>
        <v>6</v>
      </c>
      <c r="E194">
        <f t="shared" ca="1" si="129"/>
        <v>0</v>
      </c>
      <c r="F194">
        <f t="shared" ca="1" si="130"/>
        <v>0</v>
      </c>
      <c r="G194">
        <f t="shared" ca="1" si="131"/>
        <v>5</v>
      </c>
      <c r="H194">
        <f ca="1">IF(OR($A194="S",$A194=0),0,MATCH(0,OFFSET($B194,1,$A194,ROW($A$1504)-ROW($A194)),0))</f>
        <v>0</v>
      </c>
      <c r="I194">
        <f ca="1">IF(OR($A194="S",$A194=0),0,MATCH(OFFSET($B194,0,$A194)+1,OFFSET($B194,1,$A194,ROW($A$1504)-ROW($A194)),0))</f>
        <v>0</v>
      </c>
      <c r="J194" s="132" t="s">
        <v>29</v>
      </c>
      <c r="K194" s="121" t="str">
        <f t="shared" ca="1" si="146"/>
        <v>2.6.5.</v>
      </c>
      <c r="L194" s="137" t="str">
        <f t="shared" ca="1" si="132"/>
        <v>CREFITO</v>
      </c>
      <c r="M194" s="122" t="s">
        <v>80</v>
      </c>
      <c r="N194" s="139" t="s">
        <v>260</v>
      </c>
      <c r="O194" s="137" t="str">
        <f t="shared" ca="1" si="147"/>
        <v>Fisioterapeuta (Massagem terapêutica)</v>
      </c>
      <c r="P194" s="138" t="str">
        <f t="shared" ca="1" si="133"/>
        <v>Vagas</v>
      </c>
      <c r="Q194" s="134">
        <v>40</v>
      </c>
      <c r="R194" s="124">
        <f t="shared" ca="1" si="134"/>
        <v>41.6</v>
      </c>
      <c r="S194" s="136" t="s">
        <v>62</v>
      </c>
      <c r="T194" s="123">
        <f t="shared" ca="1" si="135"/>
        <v>52</v>
      </c>
      <c r="U194" s="126">
        <f t="shared" ca="1" si="136"/>
        <v>2080</v>
      </c>
      <c r="V194" s="1"/>
      <c r="W194" s="39" t="str">
        <f ca="1">IF(OR($A194=0,$A194="S",$A194&gt;CFF!$A$9),"",MAX(W$11:OFFSET(W194,-1,0))+1)</f>
        <v/>
      </c>
      <c r="X194" s="4" t="str">
        <f t="shared" si="137"/>
        <v>Serv. Terc.-085</v>
      </c>
      <c r="Y194" s="39">
        <f t="shared" ca="1" si="148"/>
        <v>165</v>
      </c>
      <c r="Z194" s="1"/>
      <c r="AA194" s="133">
        <f>IF($J194=$G$2,ROUND(IF(ISNUMBER(S194),S194,IF(LEFT(S194,2)="DI",HLOOKUP(S194,DADOS!$T$29:$X$30,2,FALSE),0)),4),"")</f>
        <v>0.25</v>
      </c>
      <c r="AB194" s="2"/>
    </row>
    <row r="195" spans="1:28">
      <c r="A195" t="str">
        <f t="shared" si="144"/>
        <v>S</v>
      </c>
      <c r="B195">
        <f t="shared" si="145"/>
        <v>0</v>
      </c>
      <c r="C195">
        <f ca="1">IF($A195=1,OFFSET(C195,-1,0)+1,OFFSET(C195,-1,0))</f>
        <v>2</v>
      </c>
      <c r="D195">
        <f ca="1">IF($A195=1,0,IF($A195=2,OFFSET(D195,-1,0)+1,OFFSET(D195,-1,0)))</f>
        <v>6</v>
      </c>
      <c r="E195">
        <f ca="1">IF(AND($A195&lt;=2,$A195&lt;&gt;0),0,IF($A195=3,OFFSET(E195,-1,0)+1,OFFSET(E195,-1,0)))</f>
        <v>0</v>
      </c>
      <c r="F195">
        <f ca="1">IF(AND($A195&lt;=3,$A195&lt;&gt;0),0,IF($A195=4,OFFSET(F195,-1,0)+1,OFFSET(F195,-1,0)))</f>
        <v>0</v>
      </c>
      <c r="G195">
        <f ca="1">IF(AND($A195&lt;=4,$A195&lt;&gt;0),0,IF($A195="S",OFFSET(G195,-1,0)+1,OFFSET(G195,-1,0)))</f>
        <v>6</v>
      </c>
      <c r="H195">
        <f ca="1">IF(OR($A195="S",$A195=0),0,MATCH(0,OFFSET($B195,1,$A195,ROW($A$1504)-ROW($A195)),0))</f>
        <v>0</v>
      </c>
      <c r="I195">
        <f ca="1">IF(OR($A195="S",$A195=0),0,MATCH(OFFSET($B195,0,$A195)+1,OFFSET($B195,1,$A195,ROW($A$1504)-ROW($A195)),0))</f>
        <v>0</v>
      </c>
      <c r="J195" s="132" t="s">
        <v>29</v>
      </c>
      <c r="K195" s="121" t="str">
        <f t="shared" ca="1" si="146"/>
        <v>2.6.6.</v>
      </c>
      <c r="L195" s="137" t="str">
        <f ca="1">IF(NOT(ISERROR($Y195)),IF($Y195&lt;&gt;FALSE,INDEX(Banco,$Y195,4),""),"")</f>
        <v>COREN</v>
      </c>
      <c r="M195" s="122" t="s">
        <v>80</v>
      </c>
      <c r="N195" s="139" t="s">
        <v>261</v>
      </c>
      <c r="O195" s="137" t="str">
        <f t="shared" ca="1" si="147"/>
        <v>Técnica de Enfermagem (Instrutor)</v>
      </c>
      <c r="P195" s="138" t="str">
        <f ca="1">IF(NOT(ISERROR($Y195)),IF($Y195&lt;&gt;FALSE,INDEX(Banco,$Y195,6),""),"")</f>
        <v>Horas</v>
      </c>
      <c r="Q195" s="134">
        <v>2</v>
      </c>
      <c r="R195" s="124">
        <f ca="1">IF(NOT(ISERROR($Y195)),IF($Y195&lt;&gt;FALSE,INDEX(Banco,$Y195,7),0),0)</f>
        <v>92.65</v>
      </c>
      <c r="S195" s="136" t="s">
        <v>62</v>
      </c>
      <c r="T195" s="123">
        <f ca="1">IF($J195=$G$2,ROUND(ROUND($R195,2)*IF($R$9="Preço Unitário (R$)",1,1+$AA195),2),0)</f>
        <v>115.81</v>
      </c>
      <c r="U195" s="126">
        <f ca="1">IF($A195="S",VTOTAL1,IF($A195=0,0,ROUND(SomaAgrup,2)))</f>
        <v>231.62</v>
      </c>
      <c r="V195" s="1"/>
      <c r="W195" s="39" t="str">
        <f ca="1">IF(OR($A195=0,$A195="S",$A195&gt;CFF!$A$9),"",MAX(W$11:OFFSET(W195,-1,0))+1)</f>
        <v/>
      </c>
      <c r="X195" s="4" t="str">
        <f>IF(AND($J195=$G$2,$N195&lt;&gt;"",$M195&lt;&gt;""),CONCATENATE($M195,"-",$N195))</f>
        <v>Serv. Terc.-086</v>
      </c>
      <c r="Y195" s="39">
        <f t="shared" ca="1" si="148"/>
        <v>166</v>
      </c>
      <c r="Z195" s="1"/>
      <c r="AA195" s="133">
        <f>IF($J195=$G$2,ROUND(IF(ISNUMBER(S195),S195,IF(LEFT(S195,2)="DI",HLOOKUP(S195,DADOS!$T$29:$X$30,2,FALSE),0)),4),"")</f>
        <v>0.25</v>
      </c>
      <c r="AB195" s="2"/>
    </row>
    <row r="196" spans="1:28">
      <c r="A196" t="str">
        <f t="shared" si="144"/>
        <v>S</v>
      </c>
      <c r="B196">
        <f t="shared" si="145"/>
        <v>0</v>
      </c>
      <c r="C196">
        <f ca="1">IF($A196=1,OFFSET(C196,-1,0)+1,OFFSET(C196,-1,0))</f>
        <v>2</v>
      </c>
      <c r="D196">
        <f ca="1">IF($A196=1,0,IF($A196=2,OFFSET(D196,-1,0)+1,OFFSET(D196,-1,0)))</f>
        <v>6</v>
      </c>
      <c r="E196">
        <f ca="1">IF(AND($A196&lt;=2,$A196&lt;&gt;0),0,IF($A196=3,OFFSET(E196,-1,0)+1,OFFSET(E196,-1,0)))</f>
        <v>0</v>
      </c>
      <c r="F196">
        <f ca="1">IF(AND($A196&lt;=3,$A196&lt;&gt;0),0,IF($A196=4,OFFSET(F196,-1,0)+1,OFFSET(F196,-1,0)))</f>
        <v>0</v>
      </c>
      <c r="G196">
        <f ca="1">IF(AND($A196&lt;=4,$A196&lt;&gt;0),0,IF($A196="S",OFFSET(G196,-1,0)+1,OFFSET(G196,-1,0)))</f>
        <v>7</v>
      </c>
      <c r="H196">
        <f ca="1">IF(OR($A196="S",$A196=0),0,MATCH(0,OFFSET($B196,1,$A196,ROW($A$1504)-ROW($A196)),0))</f>
        <v>0</v>
      </c>
      <c r="I196">
        <f ca="1">IF(OR($A196="S",$A196=0),0,MATCH(OFFSET($B196,0,$A196)+1,OFFSET($B196,1,$A196,ROW($A$1504)-ROW($A196)),0))</f>
        <v>0</v>
      </c>
      <c r="J196" s="132" t="s">
        <v>29</v>
      </c>
      <c r="K196" s="121" t="str">
        <f t="shared" ca="1" si="146"/>
        <v>2.6.7.</v>
      </c>
      <c r="L196" s="137" t="str">
        <f ca="1">IF(NOT(ISERROR($Y196)),IF($Y196&lt;&gt;FALSE,INDEX(Banco,$Y196,4),""),"")</f>
        <v>Cotação</v>
      </c>
      <c r="M196" s="122" t="s">
        <v>80</v>
      </c>
      <c r="N196" s="139" t="s">
        <v>256</v>
      </c>
      <c r="O196" s="137" t="str">
        <f ca="1">IF(NOT(ISERROR($Y196)),IF($Y196&lt;&gt;FALSE,INDEX(Banco,$Y196,5),""),"")</f>
        <v>Instrutor/Monitor (Educação Fisíca)</v>
      </c>
      <c r="P196" s="138" t="str">
        <f ca="1">IF(NOT(ISERROR($Y196)),IF($Y196&lt;&gt;FALSE,INDEX(Banco,$Y196,6),""),"")</f>
        <v>Horas</v>
      </c>
      <c r="Q196" s="134">
        <v>2</v>
      </c>
      <c r="R196" s="124">
        <f ca="1">IF(NOT(ISERROR($Y196)),IF($Y196&lt;&gt;FALSE,INDEX(Banco,$Y196,7),0),0)</f>
        <v>100</v>
      </c>
      <c r="S196" s="136" t="s">
        <v>62</v>
      </c>
      <c r="T196" s="123">
        <f ca="1">IF($J196=$G$2,ROUND(ROUND($R196,2)*IF($R$9="Preço Unitário (R$)",1,1+$AA196),2),0)</f>
        <v>125</v>
      </c>
      <c r="U196" s="126">
        <f ca="1">IF($A196="S",VTOTAL1,IF($A196=0,0,ROUND(SomaAgrup,2)))</f>
        <v>250</v>
      </c>
      <c r="V196" s="1"/>
      <c r="W196" s="39" t="str">
        <f ca="1">IF(OR($A196=0,$A196="S",$A196&gt;CFF!$A$9),"",MAX(W$11:OFFSET(W196,-1,0))+1)</f>
        <v/>
      </c>
      <c r="X196" s="4" t="str">
        <f>IF(AND($J196=$G$2,$N196&lt;&gt;"",$M196&lt;&gt;""),CONCATENATE($M196,"-",$N196))</f>
        <v>Serv. Terc.-017</v>
      </c>
      <c r="Y196" s="39">
        <f t="shared" ca="1" si="148"/>
        <v>97</v>
      </c>
      <c r="Z196" s="1"/>
      <c r="AA196" s="133">
        <f>IF($J196=$G$2,ROUND(IF(ISNUMBER(S196),S196,IF(LEFT(S196,2)="DI",HLOOKUP(S196,DADOS!$T$29:$X$30,2,FALSE),0)),4),"")</f>
        <v>0.25</v>
      </c>
      <c r="AB196" s="2"/>
    </row>
    <row r="197" spans="1:28">
      <c r="A197" t="str">
        <f t="shared" si="144"/>
        <v>S</v>
      </c>
      <c r="B197">
        <f t="shared" si="145"/>
        <v>0</v>
      </c>
      <c r="C197">
        <f ca="1">IF($A197=1,OFFSET(C197,-1,0)+1,OFFSET(C197,-1,0))</f>
        <v>2</v>
      </c>
      <c r="D197">
        <f ca="1">IF($A197=1,0,IF($A197=2,OFFSET(D197,-1,0)+1,OFFSET(D197,-1,0)))</f>
        <v>6</v>
      </c>
      <c r="E197">
        <f ca="1">IF(AND($A197&lt;=2,$A197&lt;&gt;0),0,IF($A197=3,OFFSET(E197,-1,0)+1,OFFSET(E197,-1,0)))</f>
        <v>0</v>
      </c>
      <c r="F197">
        <f ca="1">IF(AND($A197&lt;=3,$A197&lt;&gt;0),0,IF($A197=4,OFFSET(F197,-1,0)+1,OFFSET(F197,-1,0)))</f>
        <v>0</v>
      </c>
      <c r="G197">
        <f ca="1">IF(AND($A197&lt;=4,$A197&lt;&gt;0),0,IF($A197="S",OFFSET(G197,-1,0)+1,OFFSET(G197,-1,0)))</f>
        <v>8</v>
      </c>
      <c r="H197">
        <f ca="1">IF(OR($A197="S",$A197=0),0,MATCH(0,OFFSET($B197,1,$A197,ROW($A$1504)-ROW($A197)),0))</f>
        <v>0</v>
      </c>
      <c r="I197">
        <f ca="1">IF(OR($A197="S",$A197=0),0,MATCH(OFFSET($B197,0,$A197)+1,OFFSET($B197,1,$A197,ROW($A$1504)-ROW($A197)),0))</f>
        <v>0</v>
      </c>
      <c r="J197" s="132" t="s">
        <v>29</v>
      </c>
      <c r="K197" s="121" t="str">
        <f t="shared" ca="1" si="146"/>
        <v>2.6.8.</v>
      </c>
      <c r="L197" s="137" t="str">
        <f ca="1">IF(NOT(ISERROR($Y197)),IF($Y197&lt;&gt;FALSE,INDEX(Banco,$Y197,4),""),"")</f>
        <v>Cotação</v>
      </c>
      <c r="M197" s="122" t="s">
        <v>80</v>
      </c>
      <c r="N197" s="139" t="s">
        <v>294</v>
      </c>
      <c r="O197" s="137" t="str">
        <f ca="1">IF(NOT(ISERROR($Y197)),IF($Y197&lt;&gt;FALSE,INDEX(Banco,$Y197,5),""),"")</f>
        <v>KIT (massagem terapêutica)</v>
      </c>
      <c r="P197" s="138" t="str">
        <f ca="1">IF(NOT(ISERROR($Y197)),IF($Y197&lt;&gt;FALSE,INDEX(Banco,$Y197,6),""),"")</f>
        <v>KIT</v>
      </c>
      <c r="Q197" s="134">
        <v>1</v>
      </c>
      <c r="R197" s="124">
        <f ca="1">IF(NOT(ISERROR($Y197)),IF($Y197&lt;&gt;FALSE,INDEX(Banco,$Y197,7),0),0)</f>
        <v>102.94</v>
      </c>
      <c r="S197" s="136" t="s">
        <v>62</v>
      </c>
      <c r="T197" s="123">
        <f ca="1">IF($J197=$G$2,ROUND(ROUND($R197,2)*IF($R$9="Preço Unitário (R$)",1,1+$AA197),2),0)</f>
        <v>128.68</v>
      </c>
      <c r="U197" s="126">
        <f ca="1">IF($A197="S",VTOTAL1,IF($A197=0,0,ROUND(SomaAgrup,2)))</f>
        <v>128.68</v>
      </c>
      <c r="V197" s="1"/>
      <c r="W197" s="39" t="str">
        <f ca="1">IF(OR($A197=0,$A197="S",$A197&gt;CFF!$A$9),"",MAX(W$11:OFFSET(W197,-1,0))+1)</f>
        <v/>
      </c>
      <c r="X197" s="4" t="str">
        <f>IF(AND($J197=$G$2,$N197&lt;&gt;"",$M197&lt;&gt;""),CONCATENATE($M197,"-",$N197))</f>
        <v>Serv. Terc.-061</v>
      </c>
      <c r="Y197" s="39">
        <f t="shared" ca="1" si="148"/>
        <v>141</v>
      </c>
      <c r="Z197" s="1"/>
      <c r="AA197" s="133">
        <f>IF($J197=$G$2,ROUND(IF(ISNUMBER(S197),S197,IF(LEFT(S197,2)="DI",HLOOKUP(S197,DADOS!$T$29:$X$30,2,FALSE),0)),4),"")</f>
        <v>0.25</v>
      </c>
      <c r="AB197" s="2"/>
    </row>
    <row r="198" spans="1:28">
      <c r="A198">
        <f>CHOOSE(1+LOG(1+2*(J198=$C$2)+4*(J198=$D$2)+8*(J198=$E$2)+16*(J198=$F$2)+32*(J198=$G$2),2),0,1,2,3,4,"S")</f>
        <v>2</v>
      </c>
      <c r="B198">
        <f ca="1">IF(OR(A198="S",A198=0),0,IF(ISERROR(I198),H198,SMALL(H198:I198,1)))</f>
        <v>4</v>
      </c>
      <c r="C198">
        <f ca="1">IF($A198=1,OFFSET(C198,-1,0)+1,OFFSET(C198,-1,0))</f>
        <v>2</v>
      </c>
      <c r="D198">
        <f ca="1">IF($A198=1,0,IF($A198=2,OFFSET(D198,-1,0)+1,OFFSET(D198,-1,0)))</f>
        <v>7</v>
      </c>
      <c r="E198">
        <f ca="1">IF(AND($A198&lt;=2,$A198&lt;&gt;0),0,IF($A198=3,OFFSET(E198,-1,0)+1,OFFSET(E198,-1,0)))</f>
        <v>0</v>
      </c>
      <c r="F198">
        <f ca="1">IF(AND($A198&lt;=3,$A198&lt;&gt;0),0,IF($A198=4,OFFSET(F198,-1,0)+1,OFFSET(F198,-1,0)))</f>
        <v>0</v>
      </c>
      <c r="G198">
        <f ca="1">IF(AND($A198&lt;=4,$A198&lt;&gt;0),0,IF($A198="S",OFFSET(G198,-1,0)+1,OFFSET(G198,-1,0)))</f>
        <v>0</v>
      </c>
      <c r="H198">
        <f ca="1">IF(OR($A198="S",$A198=0),0,MATCH(0,OFFSET($B198,1,$A198,ROW($A$1504)-ROW($A198)),0))</f>
        <v>4</v>
      </c>
      <c r="I198">
        <f ca="1">IF(OR($A198="S",$A198=0),0,MATCH(OFFSET($B198,0,$A198)+1,OFFSET($B198,1,$A198,ROW($A$1504)-ROW($A198)),0))</f>
        <v>125</v>
      </c>
      <c r="J198" s="132" t="s">
        <v>68</v>
      </c>
      <c r="K198" s="121" t="str">
        <f ca="1">IF($A198=0,"-",CONCATENATE(C198&amp;".",IF(AND($A$5&gt;=2,$A198&gt;=2),D198&amp;".",""),IF(AND($A$5&gt;=3,$A198&gt;=3),E198&amp;".",""),IF(AND($A$5&gt;=4,$A198&gt;=4),F198&amp;".",""),IF($A198="S",G198&amp;".","")))</f>
        <v>2.7.</v>
      </c>
      <c r="L198" s="137" t="str">
        <f ca="1">IF(NOT(ISERROR($Y198)),IF($Y198&lt;&gt;FALSE,INDEX(Banco,$Y198,4),""),"")</f>
        <v/>
      </c>
      <c r="M198" s="122"/>
      <c r="N198" s="139"/>
      <c r="O198" s="137" t="s">
        <v>357</v>
      </c>
      <c r="P198" s="138" t="str">
        <f ca="1">IF(NOT(ISERROR($Y198)),IF($Y198&lt;&gt;FALSE,INDEX(Banco,$Y198,6),""),"")</f>
        <v/>
      </c>
      <c r="Q198" s="134"/>
      <c r="R198" s="124">
        <f ca="1">IF(NOT(ISERROR($Y198)),IF($Y198&lt;&gt;FALSE,INDEX(Banco,$Y198,7),0),0)</f>
        <v>0</v>
      </c>
      <c r="S198" s="136" t="s">
        <v>62</v>
      </c>
      <c r="T198" s="123">
        <f>IF($J198=$G$2,ROUND(ROUND($R198,2)*IF($R$9="Preço Unitário (R$)",1,1+$AA198),2),0)</f>
        <v>0</v>
      </c>
      <c r="U198" s="126">
        <f ca="1">IF($A198="S",VTOTAL1,IF($A198=0,0,ROUND(SomaAgrup,2)))</f>
        <v>1958.58</v>
      </c>
      <c r="V198" s="1"/>
      <c r="W198" s="39">
        <f ca="1">IF(OR($A198=0,$A198="S",$A198&gt;CFF!$A$9),"",MAX(W$11:OFFSET(W198,-1,0))+1)</f>
        <v>12</v>
      </c>
      <c r="X198" s="4" t="b">
        <f>IF(AND($J198=$G$2,$N198&lt;&gt;"",$M198&lt;&gt;""),CONCATENATE($M198,"-",$N198))</f>
        <v>0</v>
      </c>
      <c r="Y198" s="39" t="b">
        <f ca="1">IF(X198&lt;&gt;FALSE,MATCH(X198,OFFSET(Banco,0,0,,1),0))</f>
        <v>0</v>
      </c>
      <c r="Z198" s="1"/>
      <c r="AA198" s="133" t="str">
        <f>IF($J198=$G$2,ROUND(IF(ISNUMBER(S198),S198,IF(LEFT(S198,2)="DI",HLOOKUP(S198,DADOS!$T$29:$X$30,2,FALSE),0)),4),"")</f>
        <v/>
      </c>
      <c r="AB198" s="2"/>
    </row>
    <row r="199" spans="1:28">
      <c r="A199" t="str">
        <f t="shared" ref="A199:A218" si="149">CHOOSE(1+LOG(1+2*(J199=$C$2)+4*(J199=$D$2)+8*(J199=$E$2)+16*(J199=$F$2)+32*(J199=$G$2),2),0,1,2,3,4,"S")</f>
        <v>S</v>
      </c>
      <c r="B199">
        <f t="shared" ref="B199:B218" si="150">IF(OR(A199="S",A199=0),0,IF(ISERROR(I199),H199,SMALL(H199:I199,1)))</f>
        <v>0</v>
      </c>
      <c r="C199">
        <f t="shared" ref="C199:C218" ca="1" si="151">IF($A199=1,OFFSET(C199,-1,0)+1,OFFSET(C199,-1,0))</f>
        <v>2</v>
      </c>
      <c r="D199">
        <f t="shared" ref="D199:D218" ca="1" si="152">IF($A199=1,0,IF($A199=2,OFFSET(D199,-1,0)+1,OFFSET(D199,-1,0)))</f>
        <v>7</v>
      </c>
      <c r="E199">
        <f t="shared" ref="E199:E218" ca="1" si="153">IF(AND($A199&lt;=2,$A199&lt;&gt;0),0,IF($A199=3,OFFSET(E199,-1,0)+1,OFFSET(E199,-1,0)))</f>
        <v>0</v>
      </c>
      <c r="F199">
        <f t="shared" ref="F199:F218" ca="1" si="154">IF(AND($A199&lt;=3,$A199&lt;&gt;0),0,IF($A199=4,OFFSET(F199,-1,0)+1,OFFSET(F199,-1,0)))</f>
        <v>0</v>
      </c>
      <c r="G199">
        <f t="shared" ref="G199:G218" ca="1" si="155">IF(AND($A199&lt;=4,$A199&lt;&gt;0),0,IF($A199="S",OFFSET(G199,-1,0)+1,OFFSET(G199,-1,0)))</f>
        <v>1</v>
      </c>
      <c r="H199">
        <f ca="1">IF(OR($A199="S",$A199=0),0,MATCH(0,OFFSET($B199,1,$A199,ROW($A$1504)-ROW($A199)),0))</f>
        <v>0</v>
      </c>
      <c r="I199">
        <f ca="1">IF(OR($A199="S",$A199=0),0,MATCH(OFFSET($B199,0,$A199)+1,OFFSET($B199,1,$A199,ROW($A$1504)-ROW($A199)),0))</f>
        <v>0</v>
      </c>
      <c r="J199" s="132" t="s">
        <v>29</v>
      </c>
      <c r="K199" s="121" t="str">
        <f t="shared" ref="K199:K218" ca="1" si="156">IF($A199=0,"-",CONCATENATE(C199&amp;".",IF(AND($A$5&gt;=2,$A199&gt;=2),D199&amp;".",""),IF(AND($A$5&gt;=3,$A199&gt;=3),E199&amp;".",""),IF(AND($A$5&gt;=4,$A199&gt;=4),F199&amp;".",""),IF($A199="S",G199&amp;".","")))</f>
        <v>2.7.1.</v>
      </c>
      <c r="L199" s="137" t="str">
        <f t="shared" ref="L199:L218" ca="1" si="157">IF(NOT(ISERROR($Y199)),IF($Y199&lt;&gt;FALSE,INDEX(Banco,$Y199,4),""),"")</f>
        <v>CRESS</v>
      </c>
      <c r="M199" s="122" t="s">
        <v>78</v>
      </c>
      <c r="N199" s="139" t="s">
        <v>149</v>
      </c>
      <c r="O199" s="137" t="str">
        <f ca="1">IF(NOT(ISERROR($Y199)),IF($Y199&lt;&gt;FALSE,INDEX(Banco,$Y199,5),""),"")</f>
        <v>Responsável Técnica</v>
      </c>
      <c r="P199" s="138" t="str">
        <f t="shared" ref="P199:P218" ca="1" si="158">IF(NOT(ISERROR($Y199)),IF($Y199&lt;&gt;FALSE,INDEX(Banco,$Y199,6),""),"")</f>
        <v>Horas</v>
      </c>
      <c r="Q199" s="134">
        <v>2</v>
      </c>
      <c r="R199" s="124">
        <f t="shared" ref="R199:R218" ca="1" si="159">IF(NOT(ISERROR($Y199)),IF($Y199&lt;&gt;FALSE,INDEX(Banco,$Y199,7),0),0)</f>
        <v>150.28</v>
      </c>
      <c r="S199" s="136" t="s">
        <v>62</v>
      </c>
      <c r="T199" s="123">
        <f t="shared" ref="T199:T218" ca="1" si="160">IF($J199=$G$2,ROUND(ROUND($R199,2)*IF($R$9="Preço Unitário (R$)",1,1+$AA199),2),0)</f>
        <v>187.85</v>
      </c>
      <c r="U199" s="126">
        <f t="shared" ref="U199:U218" ca="1" si="161">IF($A199="S",VTOTAL1,IF($A199=0,0,ROUND(SomaAgrup,2)))</f>
        <v>375.7</v>
      </c>
      <c r="V199" s="1"/>
      <c r="W199" s="39" t="str">
        <f ca="1">IF(OR($A199=0,$A199="S",$A199&gt;CFF!$A$9),"",MAX(W$11:OFFSET(W199,-1,0))+1)</f>
        <v/>
      </c>
      <c r="X199" s="4" t="str">
        <f t="shared" ref="X199:X218" si="162">IF(AND($J199=$G$2,$N199&lt;&gt;"",$M199&lt;&gt;""),CONCATENATE($M199,"-",$N199))</f>
        <v>Rec. Humanos-001</v>
      </c>
      <c r="Y199" s="39">
        <f t="shared" ref="Y199:Y218" ca="1" si="163">IF(X199&lt;&gt;FALSE,MATCH(X199,OFFSET(Banco,0,0,,1),0))</f>
        <v>3</v>
      </c>
      <c r="Z199" s="1"/>
      <c r="AA199" s="133">
        <f>IF($J199=$G$2,ROUND(IF(ISNUMBER(S199),S199,IF(LEFT(S199,2)="DI",HLOOKUP(S199,DADOS!$T$29:$X$30,2,FALSE),0)),4),"")</f>
        <v>0.25</v>
      </c>
      <c r="AB199" s="2"/>
    </row>
    <row r="200" spans="1:28">
      <c r="A200" t="str">
        <f t="shared" si="149"/>
        <v>S</v>
      </c>
      <c r="B200">
        <f t="shared" si="150"/>
        <v>0</v>
      </c>
      <c r="C200">
        <f t="shared" ca="1" si="151"/>
        <v>2</v>
      </c>
      <c r="D200">
        <f t="shared" ca="1" si="152"/>
        <v>7</v>
      </c>
      <c r="E200">
        <f t="shared" ca="1" si="153"/>
        <v>0</v>
      </c>
      <c r="F200">
        <f t="shared" ca="1" si="154"/>
        <v>0</v>
      </c>
      <c r="G200">
        <f t="shared" ca="1" si="155"/>
        <v>2</v>
      </c>
      <c r="H200">
        <f ca="1">IF(OR($A200="S",$A200=0),0,MATCH(0,OFFSET($B200,1,$A200,ROW($A$1504)-ROW($A200)),0))</f>
        <v>0</v>
      </c>
      <c r="I200">
        <f ca="1">IF(OR($A200="S",$A200=0),0,MATCH(OFFSET($B200,0,$A200)+1,OFFSET($B200,1,$A200,ROW($A$1504)-ROW($A200)),0))</f>
        <v>0</v>
      </c>
      <c r="J200" s="132" t="s">
        <v>29</v>
      </c>
      <c r="K200" s="121" t="str">
        <f t="shared" ca="1" si="156"/>
        <v>2.7.2.</v>
      </c>
      <c r="L200" s="137" t="str">
        <f t="shared" ca="1" si="157"/>
        <v>CRESS</v>
      </c>
      <c r="M200" s="122" t="s">
        <v>78</v>
      </c>
      <c r="N200" s="139" t="s">
        <v>152</v>
      </c>
      <c r="O200" s="137" t="str">
        <f ca="1">IF(NOT(ISERROR($Y200)),IF($Y200&lt;&gt;FALSE,INDEX(Banco,$Y200,5),""),"")</f>
        <v>Assistente Social</v>
      </c>
      <c r="P200" s="138" t="str">
        <f t="shared" ca="1" si="158"/>
        <v>Horas</v>
      </c>
      <c r="Q200" s="134">
        <v>8</v>
      </c>
      <c r="R200" s="124">
        <f t="shared" ca="1" si="159"/>
        <v>133.81</v>
      </c>
      <c r="S200" s="136" t="s">
        <v>62</v>
      </c>
      <c r="T200" s="123">
        <f t="shared" ca="1" si="160"/>
        <v>167.26</v>
      </c>
      <c r="U200" s="126">
        <f t="shared" ca="1" si="161"/>
        <v>1338.08</v>
      </c>
      <c r="V200" s="1"/>
      <c r="W200" s="39" t="str">
        <f ca="1">IF(OR($A200=0,$A200="S",$A200&gt;CFF!$A$9),"",MAX(W$11:OFFSET(W200,-1,0))+1)</f>
        <v/>
      </c>
      <c r="X200" s="4" t="str">
        <f t="shared" si="162"/>
        <v>Rec. Humanos-002</v>
      </c>
      <c r="Y200" s="39">
        <f t="shared" ca="1" si="163"/>
        <v>4</v>
      </c>
      <c r="Z200" s="1"/>
      <c r="AA200" s="133">
        <f>IF($J200=$G$2,ROUND(IF(ISNUMBER(S200),S200,IF(LEFT(S200,2)="DI",HLOOKUP(S200,DADOS!$T$29:$X$30,2,FALSE),0)),4),"")</f>
        <v>0.25</v>
      </c>
      <c r="AB200" s="2"/>
    </row>
    <row r="201" spans="1:28">
      <c r="A201" t="str">
        <f>CHOOSE(1+LOG(1+2*(J201=$C$2)+4*(J201=$D$2)+8*(J201=$E$2)+16*(J201=$F$2)+32*(J201=$G$2),2),0,1,2,3,4,"S")</f>
        <v>S</v>
      </c>
      <c r="B201">
        <f>IF(OR(A201="S",A201=0),0,IF(ISERROR(I201),H201,SMALL(H201:I201,1)))</f>
        <v>0</v>
      </c>
      <c r="C201">
        <f ca="1">IF($A201=1,OFFSET(C201,-1,0)+1,OFFSET(C201,-1,0))</f>
        <v>2</v>
      </c>
      <c r="D201">
        <f ca="1">IF($A201=1,0,IF($A201=2,OFFSET(D201,-1,0)+1,OFFSET(D201,-1,0)))</f>
        <v>7</v>
      </c>
      <c r="E201">
        <f ca="1">IF(AND($A201&lt;=2,$A201&lt;&gt;0),0,IF($A201=3,OFFSET(E201,-1,0)+1,OFFSET(E201,-1,0)))</f>
        <v>0</v>
      </c>
      <c r="F201">
        <f ca="1">IF(AND($A201&lt;=3,$A201&lt;&gt;0),0,IF($A201=4,OFFSET(F201,-1,0)+1,OFFSET(F201,-1,0)))</f>
        <v>0</v>
      </c>
      <c r="G201">
        <f ca="1">IF(AND($A201&lt;=4,$A201&lt;&gt;0),0,IF($A201="S",OFFSET(G201,-1,0)+1,OFFSET(G201,-1,0)))</f>
        <v>3</v>
      </c>
      <c r="H201">
        <f ca="1">IF(OR($A201="S",$A201=0),0,MATCH(0,OFFSET($B201,1,$A201,ROW($A$1504)-ROW($A201)),0))</f>
        <v>0</v>
      </c>
      <c r="I201">
        <f ca="1">IF(OR($A201="S",$A201=0),0,MATCH(OFFSET($B201,0,$A201)+1,OFFSET($B201,1,$A201,ROW($A$1504)-ROW($A201)),0))</f>
        <v>0</v>
      </c>
      <c r="J201" s="132" t="s">
        <v>29</v>
      </c>
      <c r="K201" s="121" t="str">
        <f ca="1">IF($A201=0,"-",CONCATENATE(C201&amp;".",IF(AND($A$5&gt;=2,$A201&gt;=2),D201&amp;".",""),IF(AND($A$5&gt;=3,$A201&gt;=3),E201&amp;".",""),IF(AND($A$5&gt;=4,$A201&gt;=4),F201&amp;".",""),IF($A201="S",G201&amp;".","")))</f>
        <v>2.7.3.</v>
      </c>
      <c r="L201" s="137" t="str">
        <f ca="1">IF(NOT(ISERROR($Y201)),IF($Y201&lt;&gt;FALSE,INDEX(Banco,$Y201,4),""),"")</f>
        <v>SINE</v>
      </c>
      <c r="M201" s="122" t="s">
        <v>78</v>
      </c>
      <c r="N201" s="139" t="s">
        <v>153</v>
      </c>
      <c r="O201" s="137" t="str">
        <f ca="1">IF(NOT(ISERROR($Y201)),IF($Y201&lt;&gt;FALSE,INDEX(Banco,$Y201,5),""),"")</f>
        <v>Estagiários</v>
      </c>
      <c r="P201" s="138" t="str">
        <f ca="1">IF(NOT(ISERROR($Y201)),IF($Y201&lt;&gt;FALSE,INDEX(Banco,$Y201,6),""),"")</f>
        <v>Horas</v>
      </c>
      <c r="Q201" s="134">
        <v>20</v>
      </c>
      <c r="R201" s="124">
        <f ca="1">IF(NOT(ISERROR($Y201)),IF($Y201&lt;&gt;FALSE,INDEX(Banco,$Y201,7),0),0)</f>
        <v>9.7899999999999991</v>
      </c>
      <c r="S201" s="136" t="s">
        <v>62</v>
      </c>
      <c r="T201" s="123">
        <f ca="1">IF($J201=$G$2,ROUND(ROUND($R201,2)*IF($R$9="Preço Unitário (R$)",1,1+$AA201),2),0)</f>
        <v>12.24</v>
      </c>
      <c r="U201" s="126">
        <f ca="1">IF($A201="S",VTOTAL1,IF($A201=0,0,ROUND(SomaAgrup,2)))</f>
        <v>244.8</v>
      </c>
      <c r="V201" s="1"/>
      <c r="W201" s="39" t="str">
        <f ca="1">IF(OR($A201=0,$A201="S",$A201&gt;CFF!$A$9),"",MAX(W$11:OFFSET(W201,-1,0))+1)</f>
        <v/>
      </c>
      <c r="X201" s="4" t="str">
        <f>IF(AND($J201=$G$2,$N201&lt;&gt;"",$M201&lt;&gt;""),CONCATENATE($M201,"-",$N201))</f>
        <v>Rec. Humanos-004</v>
      </c>
      <c r="Y201" s="39">
        <f ca="1">IF(X201&lt;&gt;FALSE,MATCH(X201,OFFSET(Banco,0,0,,1),0))</f>
        <v>6</v>
      </c>
      <c r="Z201" s="1"/>
      <c r="AA201" s="133">
        <f>IF($J201=$G$2,ROUND(IF(ISNUMBER(S201),S201,IF(LEFT(S201,2)="DI",HLOOKUP(S201,DADOS!$T$29:$X$30,2,FALSE),0)),4),"")</f>
        <v>0.25</v>
      </c>
      <c r="AB201" s="2"/>
    </row>
    <row r="202" spans="1:28">
      <c r="A202">
        <f>CHOOSE(1+LOG(1+2*(J202=$C$2)+4*(J202=$D$2)+8*(J202=$E$2)+16*(J202=$F$2)+32*(J202=$G$2),2),0,1,2,3,4,"S")</f>
        <v>1</v>
      </c>
      <c r="B202">
        <f ca="1">IF(OR(A202="S",A202=0),0,IF(ISERROR(I202),H202,SMALL(H202:I202,1)))</f>
        <v>68</v>
      </c>
      <c r="C202">
        <f ca="1">IF($A202=1,OFFSET(C202,-1,0)+1,OFFSET(C202,-1,0))</f>
        <v>3</v>
      </c>
      <c r="D202">
        <f ca="1">IF($A202=1,0,IF($A202=2,OFFSET(D202,-1,0)+1,OFFSET(D202,-1,0)))</f>
        <v>0</v>
      </c>
      <c r="E202">
        <f ca="1">IF(AND($A202&lt;=2,$A202&lt;&gt;0),0,IF($A202=3,OFFSET(E202,-1,0)+1,OFFSET(E202,-1,0)))</f>
        <v>0</v>
      </c>
      <c r="F202">
        <f ca="1">IF(AND($A202&lt;=3,$A202&lt;&gt;0),0,IF($A202=4,OFFSET(F202,-1,0)+1,OFFSET(F202,-1,0)))</f>
        <v>0</v>
      </c>
      <c r="G202">
        <f ca="1">IF(AND($A202&lt;=4,$A202&lt;&gt;0),0,IF($A202="S",OFFSET(G202,-1,0)+1,OFFSET(G202,-1,0)))</f>
        <v>0</v>
      </c>
      <c r="H202">
        <f ca="1">IF(OR($A202="S",$A202=0),0,MATCH(0,OFFSET($B202,1,$A202,ROW($A$1504)-ROW($A202)),0))</f>
        <v>1302</v>
      </c>
      <c r="I202">
        <f ca="1">IF(OR($A202="S",$A202=0),0,MATCH(OFFSET($B202,0,$A202)+1,OFFSET($B202,1,$A202,ROW($A$1504)-ROW($A202)),0))</f>
        <v>68</v>
      </c>
      <c r="J202" s="132" t="s">
        <v>67</v>
      </c>
      <c r="K202" s="121" t="str">
        <f ca="1">IF($A202=0,"-",CONCATENATE(C202&amp;".",IF(AND($A$5&gt;=2,$A202&gt;=2),D202&amp;".",""),IF(AND($A$5&gt;=3,$A202&gt;=3),E202&amp;".",""),IF(AND($A$5&gt;=4,$A202&gt;=4),F202&amp;".",""),IF($A202="S",G202&amp;".","")))</f>
        <v>3.</v>
      </c>
      <c r="L202" s="137" t="str">
        <f ca="1">IF(NOT(ISERROR($Y202)),IF($Y202&lt;&gt;FALSE,INDEX(Banco,$Y202,4),""),"")</f>
        <v/>
      </c>
      <c r="M202" s="122"/>
      <c r="N202" s="139"/>
      <c r="O202" s="137" t="s">
        <v>264</v>
      </c>
      <c r="P202" s="138" t="str">
        <f ca="1">IF(NOT(ISERROR($Y202)),IF($Y202&lt;&gt;FALSE,INDEX(Banco,$Y202,6),""),"")</f>
        <v/>
      </c>
      <c r="Q202" s="134"/>
      <c r="R202" s="124">
        <f ca="1">IF(NOT(ISERROR($Y202)),IF($Y202&lt;&gt;FALSE,INDEX(Banco,$Y202,7),0),0)</f>
        <v>0</v>
      </c>
      <c r="S202" s="136" t="s">
        <v>62</v>
      </c>
      <c r="T202" s="123">
        <f>IF($J202=$G$2,ROUND(ROUND($R202,2)*IF($R$9="Preço Unitário (R$)",1,1+$AA202),2),0)</f>
        <v>0</v>
      </c>
      <c r="U202" s="126">
        <f ca="1">IF($A202="S",VTOTAL1,IF($A202=0,0,ROUND(SomaAgrup,2)))</f>
        <v>56911.66</v>
      </c>
      <c r="V202" s="1"/>
      <c r="W202" s="39">
        <f ca="1">IF(OR($A202=0,$A202="S",$A202&gt;CFF!$A$9),"",MAX(W$11:OFFSET(W202,-1,0))+1)</f>
        <v>13</v>
      </c>
      <c r="X202" s="4" t="b">
        <f>IF(AND($J202=$G$2,$N202&lt;&gt;"",$M202&lt;&gt;""),CONCATENATE($M202,"-",$N202))</f>
        <v>0</v>
      </c>
      <c r="Y202" s="39" t="b">
        <f ca="1">IF(X202&lt;&gt;FALSE,MATCH(X202,OFFSET(Banco,0,0,,1),0))</f>
        <v>0</v>
      </c>
      <c r="Z202" s="1"/>
      <c r="AA202" s="133" t="str">
        <f>IF($J202=$G$2,ROUND(IF(ISNUMBER(S202),S202,IF(LEFT(S202,2)="DI",HLOOKUP(S202,DADOS!$T$29:$X$30,2,FALSE),0)),4),"")</f>
        <v/>
      </c>
      <c r="AB202" s="2"/>
    </row>
    <row r="203" spans="1:28" ht="25.5">
      <c r="A203">
        <f>CHOOSE(1+LOG(1+2*(J203=$C$2)+4*(J203=$D$2)+8*(J203=$E$2)+16*(J203=$F$2)+32*(J203=$G$2),2),0,1,2,3,4,"S")</f>
        <v>2</v>
      </c>
      <c r="B203">
        <f ca="1">IF(OR(A203="S",A203=0),0,IF(ISERROR(I203),H203,SMALL(H203:I203,1)))</f>
        <v>27</v>
      </c>
      <c r="C203">
        <f ca="1">IF($A203=1,OFFSET(C203,-1,0)+1,OFFSET(C203,-1,0))</f>
        <v>3</v>
      </c>
      <c r="D203">
        <f ca="1">IF($A203=1,0,IF($A203=2,OFFSET(D203,-1,0)+1,OFFSET(D203,-1,0)))</f>
        <v>1</v>
      </c>
      <c r="E203">
        <f ca="1">IF(AND($A203&lt;=2,$A203&lt;&gt;0),0,IF($A203=3,OFFSET(E203,-1,0)+1,OFFSET(E203,-1,0)))</f>
        <v>0</v>
      </c>
      <c r="F203">
        <f ca="1">IF(AND($A203&lt;=3,$A203&lt;&gt;0),0,IF($A203=4,OFFSET(F203,-1,0)+1,OFFSET(F203,-1,0)))</f>
        <v>0</v>
      </c>
      <c r="G203">
        <f ca="1">IF(AND($A203&lt;=4,$A203&lt;&gt;0),0,IF($A203="S",OFFSET(G203,-1,0)+1,OFFSET(G203,-1,0)))</f>
        <v>0</v>
      </c>
      <c r="H203">
        <f ca="1">IF(OR($A203="S",$A203=0),0,MATCH(0,OFFSET($B203,1,$A203,ROW($A$1504)-ROW($A203)),0))</f>
        <v>67</v>
      </c>
      <c r="I203">
        <f ca="1">IF(OR($A203="S",$A203=0),0,MATCH(OFFSET($B203,0,$A203)+1,OFFSET($B203,1,$A203,ROW($A$1504)-ROW($A203)),0))</f>
        <v>27</v>
      </c>
      <c r="J203" s="132" t="s">
        <v>68</v>
      </c>
      <c r="K203" s="121" t="str">
        <f ca="1">IF($A203=0,"-",CONCATENATE(C203&amp;".",IF(AND($A$5&gt;=2,$A203&gt;=2),D203&amp;".",""),IF(AND($A$5&gt;=3,$A203&gt;=3),E203&amp;".",""),IF(AND($A$5&gt;=4,$A203&gt;=4),F203&amp;".",""),IF($A203="S",G203&amp;".","")))</f>
        <v>3.1.</v>
      </c>
      <c r="L203" s="137" t="str">
        <f ca="1">IF(NOT(ISERROR($Y203)),IF($Y203&lt;&gt;FALSE,INDEX(Banco,$Y203,4),""),"")</f>
        <v/>
      </c>
      <c r="M203" s="122"/>
      <c r="N203" s="139"/>
      <c r="O203" s="137" t="s">
        <v>358</v>
      </c>
      <c r="P203" s="138" t="str">
        <f ca="1">IF(NOT(ISERROR($Y203)),IF($Y203&lt;&gt;FALSE,INDEX(Banco,$Y203,6),""),"")</f>
        <v/>
      </c>
      <c r="Q203" s="134"/>
      <c r="R203" s="124">
        <f ca="1">IF(NOT(ISERROR($Y203)),IF($Y203&lt;&gt;FALSE,INDEX(Banco,$Y203,7),0),0)</f>
        <v>0</v>
      </c>
      <c r="S203" s="136" t="s">
        <v>62</v>
      </c>
      <c r="T203" s="123">
        <f>IF($J203=$G$2,ROUND(ROUND($R203,2)*IF($R$9="Preço Unitário (R$)",1,1+$AA203),2),0)</f>
        <v>0</v>
      </c>
      <c r="U203" s="126">
        <f ca="1">IF($A203="S",VTOTAL1,IF($A203=0,0,ROUND(SomaAgrup,2)))</f>
        <v>29341.67</v>
      </c>
      <c r="V203" s="1"/>
      <c r="W203" s="39">
        <f ca="1">IF(OR($A203=0,$A203="S",$A203&gt;CFF!$A$9),"",MAX(W$11:OFFSET(W203,-1,0))+1)</f>
        <v>14</v>
      </c>
      <c r="X203" s="4" t="b">
        <f>IF(AND($J203=$G$2,$N203&lt;&gt;"",$M203&lt;&gt;""),CONCATENATE($M203,"-",$N203))</f>
        <v>0</v>
      </c>
      <c r="Y203" s="39" t="b">
        <f ca="1">IF(X203&lt;&gt;FALSE,MATCH(X203,OFFSET(Banco,0,0,,1),0))</f>
        <v>0</v>
      </c>
      <c r="Z203" s="1"/>
      <c r="AA203" s="133" t="str">
        <f>IF($J203=$G$2,ROUND(IF(ISNUMBER(S203),S203,IF(LEFT(S203,2)="DI",HLOOKUP(S203,DADOS!$T$29:$X$30,2,FALSE),0)),4),"")</f>
        <v/>
      </c>
      <c r="AB203" s="2"/>
    </row>
    <row r="204" spans="1:28">
      <c r="A204" t="str">
        <f>CHOOSE(1+LOG(1+2*(J204=$C$2)+4*(J204=$D$2)+8*(J204=$E$2)+16*(J204=$F$2)+32*(J204=$G$2),2),0,1,2,3,4,"S")</f>
        <v>S</v>
      </c>
      <c r="B204">
        <f>IF(OR(A204="S",A204=0),0,IF(ISERROR(I204),H204,SMALL(H204:I204,1)))</f>
        <v>0</v>
      </c>
      <c r="C204">
        <f ca="1">IF($A204=1,OFFSET(C204,-1,0)+1,OFFSET(C204,-1,0))</f>
        <v>3</v>
      </c>
      <c r="D204">
        <f ca="1">IF($A204=1,0,IF($A204=2,OFFSET(D204,-1,0)+1,OFFSET(D204,-1,0)))</f>
        <v>1</v>
      </c>
      <c r="E204">
        <f ca="1">IF(AND($A204&lt;=2,$A204&lt;&gt;0),0,IF($A204=3,OFFSET(E204,-1,0)+1,OFFSET(E204,-1,0)))</f>
        <v>0</v>
      </c>
      <c r="F204">
        <f ca="1">IF(AND($A204&lt;=3,$A204&lt;&gt;0),0,IF($A204=4,OFFSET(F204,-1,0)+1,OFFSET(F204,-1,0)))</f>
        <v>0</v>
      </c>
      <c r="G204">
        <f ca="1">IF(AND($A204&lt;=4,$A204&lt;&gt;0),0,IF($A204="S",OFFSET(G204,-1,0)+1,OFFSET(G204,-1,0)))</f>
        <v>1</v>
      </c>
      <c r="H204">
        <f ca="1">IF(OR($A204="S",$A204=0),0,MATCH(0,OFFSET($B204,1,$A204,ROW($A$1504)-ROW($A204)),0))</f>
        <v>0</v>
      </c>
      <c r="I204">
        <f ca="1">IF(OR($A204="S",$A204=0),0,MATCH(OFFSET($B204,0,$A204)+1,OFFSET($B204,1,$A204,ROW($A$1504)-ROW($A204)),0))</f>
        <v>0</v>
      </c>
      <c r="J204" s="132" t="s">
        <v>29</v>
      </c>
      <c r="K204" s="121" t="str">
        <f ca="1">IF($A204=0,"-",CONCATENATE(C204&amp;".",IF(AND($A$5&gt;=2,$A204&gt;=2),D204&amp;".",""),IF(AND($A$5&gt;=3,$A204&gt;=3),E204&amp;".",""),IF(AND($A$5&gt;=4,$A204&gt;=4),F204&amp;".",""),IF($A204="S",G204&amp;".","")))</f>
        <v>3.1.1.</v>
      </c>
      <c r="L204" s="137" t="str">
        <f ca="1">IF(NOT(ISERROR($Y204)),IF($Y204&lt;&gt;FALSE,INDEX(Banco,$Y204,4),""),"")</f>
        <v>CRESS</v>
      </c>
      <c r="M204" s="122" t="s">
        <v>78</v>
      </c>
      <c r="N204" s="139" t="s">
        <v>149</v>
      </c>
      <c r="O204" s="137" t="str">
        <f ca="1">IF(NOT(ISERROR($Y204)),IF($Y204&lt;&gt;FALSE,INDEX(Banco,$Y204,5),""),"")</f>
        <v>Responsável Técnica</v>
      </c>
      <c r="P204" s="138" t="str">
        <f ca="1">IF(NOT(ISERROR($Y204)),IF($Y204&lt;&gt;FALSE,INDEX(Banco,$Y204,6),""),"")</f>
        <v>Horas</v>
      </c>
      <c r="Q204" s="134">
        <v>11</v>
      </c>
      <c r="R204" s="124">
        <f ca="1">IF(NOT(ISERROR($Y204)),IF($Y204&lt;&gt;FALSE,INDEX(Banco,$Y204,7),0),0)</f>
        <v>150.28</v>
      </c>
      <c r="S204" s="136" t="s">
        <v>62</v>
      </c>
      <c r="T204" s="123">
        <f ca="1">IF($J204=$G$2,ROUND(ROUND($R204,2)*IF($R$9="Preço Unitário (R$)",1,1+$AA204),2),0)</f>
        <v>187.85</v>
      </c>
      <c r="U204" s="126">
        <f ca="1">IF($A204="S",VTOTAL1,IF($A204=0,0,ROUND(SomaAgrup,2)))</f>
        <v>2066.35</v>
      </c>
      <c r="V204" s="1"/>
      <c r="W204" s="39" t="str">
        <f ca="1">IF(OR($A204=0,$A204="S",$A204&gt;CFF!$A$9),"",MAX(W$11:OFFSET(W204,-1,0))+1)</f>
        <v/>
      </c>
      <c r="X204" s="4" t="str">
        <f>IF(AND($J204=$G$2,$N204&lt;&gt;"",$M204&lt;&gt;""),CONCATENATE($M204,"-",$N204))</f>
        <v>Rec. Humanos-001</v>
      </c>
      <c r="Y204" s="39">
        <f ca="1">IF(X204&lt;&gt;FALSE,MATCH(X204,OFFSET(Banco,0,0,,1),0))</f>
        <v>3</v>
      </c>
      <c r="Z204" s="1"/>
      <c r="AA204" s="133">
        <f>IF($J204=$G$2,ROUND(IF(ISNUMBER(S204),S204,IF(LEFT(S204,2)="DI",HLOOKUP(S204,DADOS!$T$29:$X$30,2,FALSE),0)),4),"")</f>
        <v>0.25</v>
      </c>
      <c r="AB204" s="2"/>
    </row>
    <row r="205" spans="1:28">
      <c r="A205" t="str">
        <f t="shared" si="149"/>
        <v>S</v>
      </c>
      <c r="B205">
        <f t="shared" si="150"/>
        <v>0</v>
      </c>
      <c r="C205">
        <f t="shared" ca="1" si="151"/>
        <v>3</v>
      </c>
      <c r="D205">
        <f t="shared" ca="1" si="152"/>
        <v>1</v>
      </c>
      <c r="E205">
        <f t="shared" ca="1" si="153"/>
        <v>0</v>
      </c>
      <c r="F205">
        <f t="shared" ca="1" si="154"/>
        <v>0</v>
      </c>
      <c r="G205">
        <f t="shared" ca="1" si="155"/>
        <v>2</v>
      </c>
      <c r="H205">
        <f ca="1">IF(OR($A205="S",$A205=0),0,MATCH(0,OFFSET($B205,1,$A205,ROW($A$1504)-ROW($A205)),0))</f>
        <v>0</v>
      </c>
      <c r="I205">
        <f ca="1">IF(OR($A205="S",$A205=0),0,MATCH(OFFSET($B205,0,$A205)+1,OFFSET($B205,1,$A205,ROW($A$1504)-ROW($A205)),0))</f>
        <v>0</v>
      </c>
      <c r="J205" s="132" t="s">
        <v>29</v>
      </c>
      <c r="K205" s="121" t="str">
        <f t="shared" ca="1" si="156"/>
        <v>3.1.2.</v>
      </c>
      <c r="L205" s="137" t="str">
        <f t="shared" ca="1" si="157"/>
        <v>CRESS</v>
      </c>
      <c r="M205" s="122" t="s">
        <v>78</v>
      </c>
      <c r="N205" s="139" t="s">
        <v>152</v>
      </c>
      <c r="O205" s="137" t="str">
        <f t="shared" ref="O205:O218" ca="1" si="164">IF(NOT(ISERROR($Y205)),IF($Y205&lt;&gt;FALSE,INDEX(Banco,$Y205,5),""),"")</f>
        <v>Assistente Social</v>
      </c>
      <c r="P205" s="138" t="str">
        <f t="shared" ca="1" si="158"/>
        <v>Horas</v>
      </c>
      <c r="Q205" s="134">
        <v>7</v>
      </c>
      <c r="R205" s="124">
        <f t="shared" ca="1" si="159"/>
        <v>133.81</v>
      </c>
      <c r="S205" s="136" t="s">
        <v>62</v>
      </c>
      <c r="T205" s="123">
        <f t="shared" ca="1" si="160"/>
        <v>167.26</v>
      </c>
      <c r="U205" s="126">
        <f t="shared" ca="1" si="161"/>
        <v>1170.82</v>
      </c>
      <c r="V205" s="1"/>
      <c r="W205" s="39" t="str">
        <f ca="1">IF(OR($A205=0,$A205="S",$A205&gt;CFF!$A$9),"",MAX(W$11:OFFSET(W205,-1,0))+1)</f>
        <v/>
      </c>
      <c r="X205" s="4" t="str">
        <f t="shared" si="162"/>
        <v>Rec. Humanos-002</v>
      </c>
      <c r="Y205" s="39">
        <f t="shared" ca="1" si="163"/>
        <v>4</v>
      </c>
      <c r="Z205" s="1"/>
      <c r="AA205" s="133">
        <f>IF($J205=$G$2,ROUND(IF(ISNUMBER(S205),S205,IF(LEFT(S205,2)="DI",HLOOKUP(S205,DADOS!$T$29:$X$30,2,FALSE),0)),4),"")</f>
        <v>0.25</v>
      </c>
      <c r="AB205" s="2"/>
    </row>
    <row r="206" spans="1:28">
      <c r="A206" t="str">
        <f t="shared" si="149"/>
        <v>S</v>
      </c>
      <c r="B206">
        <f t="shared" si="150"/>
        <v>0</v>
      </c>
      <c r="C206">
        <f t="shared" ca="1" si="151"/>
        <v>3</v>
      </c>
      <c r="D206">
        <f t="shared" ca="1" si="152"/>
        <v>1</v>
      </c>
      <c r="E206">
        <f t="shared" ca="1" si="153"/>
        <v>0</v>
      </c>
      <c r="F206">
        <f t="shared" ca="1" si="154"/>
        <v>0</v>
      </c>
      <c r="G206">
        <f t="shared" ca="1" si="155"/>
        <v>3</v>
      </c>
      <c r="H206">
        <f ca="1">IF(OR($A206="S",$A206=0),0,MATCH(0,OFFSET($B206,1,$A206,ROW($A$1504)-ROW($A206)),0))</f>
        <v>0</v>
      </c>
      <c r="I206">
        <f ca="1">IF(OR($A206="S",$A206=0),0,MATCH(OFFSET($B206,0,$A206)+1,OFFSET($B206,1,$A206,ROW($A$1504)-ROW($A206)),0))</f>
        <v>0</v>
      </c>
      <c r="J206" s="132" t="s">
        <v>29</v>
      </c>
      <c r="K206" s="121" t="str">
        <f t="shared" ca="1" si="156"/>
        <v>3.1.3.</v>
      </c>
      <c r="L206" s="137" t="str">
        <f t="shared" ca="1" si="157"/>
        <v>Cotação</v>
      </c>
      <c r="M206" s="122" t="s">
        <v>78</v>
      </c>
      <c r="N206" s="139" t="s">
        <v>151</v>
      </c>
      <c r="O206" s="137" t="str">
        <f t="shared" ca="1" si="164"/>
        <v xml:space="preserve">Administrador (Técnico de Apoio) </v>
      </c>
      <c r="P206" s="138" t="str">
        <f t="shared" ca="1" si="158"/>
        <v>Horas</v>
      </c>
      <c r="Q206" s="134">
        <v>4</v>
      </c>
      <c r="R206" s="124">
        <f t="shared" ca="1" si="159"/>
        <v>103.65</v>
      </c>
      <c r="S206" s="136" t="s">
        <v>62</v>
      </c>
      <c r="T206" s="123">
        <f t="shared" ca="1" si="160"/>
        <v>129.56</v>
      </c>
      <c r="U206" s="126">
        <f t="shared" ca="1" si="161"/>
        <v>518.24</v>
      </c>
      <c r="V206" s="1"/>
      <c r="W206" s="39" t="str">
        <f ca="1">IF(OR($A206=0,$A206="S",$A206&gt;CFF!$A$9),"",MAX(W$11:OFFSET(W206,-1,0))+1)</f>
        <v/>
      </c>
      <c r="X206" s="4" t="str">
        <f t="shared" si="162"/>
        <v>Rec. Humanos-003</v>
      </c>
      <c r="Y206" s="39">
        <f t="shared" ca="1" si="163"/>
        <v>5</v>
      </c>
      <c r="Z206" s="1"/>
      <c r="AA206" s="133">
        <f>IF($J206=$G$2,ROUND(IF(ISNUMBER(S206),S206,IF(LEFT(S206,2)="DI",HLOOKUP(S206,DADOS!$T$29:$X$30,2,FALSE),0)),4),"")</f>
        <v>0.25</v>
      </c>
      <c r="AB206" s="2"/>
    </row>
    <row r="207" spans="1:28">
      <c r="A207" t="str">
        <f t="shared" si="149"/>
        <v>S</v>
      </c>
      <c r="B207">
        <f t="shared" si="150"/>
        <v>0</v>
      </c>
      <c r="C207">
        <f t="shared" ca="1" si="151"/>
        <v>3</v>
      </c>
      <c r="D207">
        <f t="shared" ca="1" si="152"/>
        <v>1</v>
      </c>
      <c r="E207">
        <f t="shared" ca="1" si="153"/>
        <v>0</v>
      </c>
      <c r="F207">
        <f t="shared" ca="1" si="154"/>
        <v>0</v>
      </c>
      <c r="G207">
        <f t="shared" ca="1" si="155"/>
        <v>4</v>
      </c>
      <c r="H207">
        <f ca="1">IF(OR($A207="S",$A207=0),0,MATCH(0,OFFSET($B207,1,$A207,ROW($A$1504)-ROW($A207)),0))</f>
        <v>0</v>
      </c>
      <c r="I207">
        <f ca="1">IF(OR($A207="S",$A207=0),0,MATCH(OFFSET($B207,0,$A207)+1,OFFSET($B207,1,$A207,ROW($A$1504)-ROW($A207)),0))</f>
        <v>0</v>
      </c>
      <c r="J207" s="132" t="s">
        <v>29</v>
      </c>
      <c r="K207" s="121" t="str">
        <f t="shared" ca="1" si="156"/>
        <v>3.1.4.</v>
      </c>
      <c r="L207" s="137" t="str">
        <f t="shared" ca="1" si="157"/>
        <v>SINE</v>
      </c>
      <c r="M207" s="122" t="s">
        <v>78</v>
      </c>
      <c r="N207" s="139" t="s">
        <v>153</v>
      </c>
      <c r="O207" s="137" t="str">
        <f t="shared" ca="1" si="164"/>
        <v>Estagiários</v>
      </c>
      <c r="P207" s="138" t="str">
        <f t="shared" ca="1" si="158"/>
        <v>Horas</v>
      </c>
      <c r="Q207" s="134">
        <v>22</v>
      </c>
      <c r="R207" s="124">
        <f t="shared" ca="1" si="159"/>
        <v>9.7899999999999991</v>
      </c>
      <c r="S207" s="136" t="s">
        <v>62</v>
      </c>
      <c r="T207" s="123">
        <f t="shared" ca="1" si="160"/>
        <v>12.24</v>
      </c>
      <c r="U207" s="126">
        <f t="shared" ca="1" si="161"/>
        <v>269.27999999999997</v>
      </c>
      <c r="V207" s="1"/>
      <c r="W207" s="39" t="str">
        <f ca="1">IF(OR($A207=0,$A207="S",$A207&gt;CFF!$A$9),"",MAX(W$11:OFFSET(W207,-1,0))+1)</f>
        <v/>
      </c>
      <c r="X207" s="4" t="str">
        <f t="shared" si="162"/>
        <v>Rec. Humanos-004</v>
      </c>
      <c r="Y207" s="39">
        <f t="shared" ca="1" si="163"/>
        <v>6</v>
      </c>
      <c r="Z207" s="1"/>
      <c r="AA207" s="133">
        <f>IF($J207=$G$2,ROUND(IF(ISNUMBER(S207),S207,IF(LEFT(S207,2)="DI",HLOOKUP(S207,DADOS!$T$29:$X$30,2,FALSE),0)),4),"")</f>
        <v>0.25</v>
      </c>
      <c r="AB207" s="2"/>
    </row>
    <row r="208" spans="1:28">
      <c r="A208" t="str">
        <f t="shared" si="149"/>
        <v>S</v>
      </c>
      <c r="B208">
        <f t="shared" si="150"/>
        <v>0</v>
      </c>
      <c r="C208">
        <f t="shared" ca="1" si="151"/>
        <v>3</v>
      </c>
      <c r="D208">
        <f t="shared" ca="1" si="152"/>
        <v>1</v>
      </c>
      <c r="E208">
        <f t="shared" ca="1" si="153"/>
        <v>0</v>
      </c>
      <c r="F208">
        <f t="shared" ca="1" si="154"/>
        <v>0</v>
      </c>
      <c r="G208">
        <f t="shared" ca="1" si="155"/>
        <v>5</v>
      </c>
      <c r="H208">
        <f ca="1">IF(OR($A208="S",$A208=0),0,MATCH(0,OFFSET($B208,1,$A208,ROW($A$1504)-ROW($A208)),0))</f>
        <v>0</v>
      </c>
      <c r="I208">
        <f ca="1">IF(OR($A208="S",$A208=0),0,MATCH(OFFSET($B208,0,$A208)+1,OFFSET($B208,1,$A208,ROW($A$1504)-ROW($A208)),0))</f>
        <v>0</v>
      </c>
      <c r="J208" s="132" t="s">
        <v>29</v>
      </c>
      <c r="K208" s="121" t="str">
        <f t="shared" ca="1" si="156"/>
        <v>3.1.5.</v>
      </c>
      <c r="L208" s="137" t="str">
        <f t="shared" ca="1" si="157"/>
        <v>Cotação</v>
      </c>
      <c r="M208" s="122" t="s">
        <v>80</v>
      </c>
      <c r="N208" s="139" t="s">
        <v>149</v>
      </c>
      <c r="O208" s="137" t="str">
        <f t="shared" ca="1" si="164"/>
        <v>Fotocópias</v>
      </c>
      <c r="P208" s="138" t="str">
        <f t="shared" ca="1" si="158"/>
        <v>Unidade</v>
      </c>
      <c r="Q208" s="134">
        <v>200</v>
      </c>
      <c r="R208" s="124">
        <f t="shared" ca="1" si="159"/>
        <v>0.3</v>
      </c>
      <c r="S208" s="136" t="s">
        <v>62</v>
      </c>
      <c r="T208" s="123">
        <f t="shared" ca="1" si="160"/>
        <v>0.38</v>
      </c>
      <c r="U208" s="126">
        <f t="shared" ca="1" si="161"/>
        <v>76</v>
      </c>
      <c r="V208" s="1"/>
      <c r="W208" s="39" t="str">
        <f ca="1">IF(OR($A208=0,$A208="S",$A208&gt;CFF!$A$9),"",MAX(W$11:OFFSET(W208,-1,0))+1)</f>
        <v/>
      </c>
      <c r="X208" s="4" t="str">
        <f t="shared" si="162"/>
        <v>Serv. Terc.-001</v>
      </c>
      <c r="Y208" s="39">
        <f t="shared" ca="1" si="163"/>
        <v>81</v>
      </c>
      <c r="Z208" s="1"/>
      <c r="AA208" s="133">
        <f>IF($J208=$G$2,ROUND(IF(ISNUMBER(S208),S208,IF(LEFT(S208,2)="DI",HLOOKUP(S208,DADOS!$T$29:$X$30,2,FALSE),0)),4),"")</f>
        <v>0.25</v>
      </c>
      <c r="AB208" s="2"/>
    </row>
    <row r="209" spans="1:28">
      <c r="A209" t="str">
        <f t="shared" si="149"/>
        <v>S</v>
      </c>
      <c r="B209">
        <f t="shared" si="150"/>
        <v>0</v>
      </c>
      <c r="C209">
        <f t="shared" ca="1" si="151"/>
        <v>3</v>
      </c>
      <c r="D209">
        <f t="shared" ca="1" si="152"/>
        <v>1</v>
      </c>
      <c r="E209">
        <f t="shared" ca="1" si="153"/>
        <v>0</v>
      </c>
      <c r="F209">
        <f t="shared" ca="1" si="154"/>
        <v>0</v>
      </c>
      <c r="G209">
        <f t="shared" ca="1" si="155"/>
        <v>6</v>
      </c>
      <c r="H209">
        <f ca="1">IF(OR($A209="S",$A209=0),0,MATCH(0,OFFSET($B209,1,$A209,ROW($A$1504)-ROW($A209)),0))</f>
        <v>0</v>
      </c>
      <c r="I209">
        <f ca="1">IF(OR($A209="S",$A209=0),0,MATCH(OFFSET($B209,0,$A209)+1,OFFSET($B209,1,$A209,ROW($A$1504)-ROW($A209)),0))</f>
        <v>0</v>
      </c>
      <c r="J209" s="132" t="s">
        <v>29</v>
      </c>
      <c r="K209" s="121" t="str">
        <f t="shared" ca="1" si="156"/>
        <v>3.1.6.</v>
      </c>
      <c r="L209" s="137" t="str">
        <f t="shared" ca="1" si="157"/>
        <v>Cotação</v>
      </c>
      <c r="M209" s="122" t="s">
        <v>80</v>
      </c>
      <c r="N209" s="139" t="s">
        <v>256</v>
      </c>
      <c r="O209" s="137" t="str">
        <f ca="1">IF(NOT(ISERROR($Y209)),IF($Y209&lt;&gt;FALSE,INDEX(Banco,$Y209,5),""),"")</f>
        <v>Instrutor/Monitor (Educação Fisíca)</v>
      </c>
      <c r="P209" s="138" t="str">
        <f t="shared" ca="1" si="158"/>
        <v>Horas</v>
      </c>
      <c r="Q209" s="134">
        <v>3</v>
      </c>
      <c r="R209" s="124">
        <f t="shared" ca="1" si="159"/>
        <v>100</v>
      </c>
      <c r="S209" s="136" t="s">
        <v>62</v>
      </c>
      <c r="T209" s="123">
        <f t="shared" ca="1" si="160"/>
        <v>125</v>
      </c>
      <c r="U209" s="126">
        <f t="shared" ca="1" si="161"/>
        <v>375</v>
      </c>
      <c r="V209" s="1"/>
      <c r="W209" s="39" t="str">
        <f ca="1">IF(OR($A209=0,$A209="S",$A209&gt;CFF!$A$9),"",MAX(W$11:OFFSET(W209,-1,0))+1)</f>
        <v/>
      </c>
      <c r="X209" s="4" t="str">
        <f t="shared" si="162"/>
        <v>Serv. Terc.-017</v>
      </c>
      <c r="Y209" s="39">
        <f t="shared" ca="1" si="163"/>
        <v>97</v>
      </c>
      <c r="Z209" s="1"/>
      <c r="AA209" s="133">
        <f>IF($J209=$G$2,ROUND(IF(ISNUMBER(S209),S209,IF(LEFT(S209,2)="DI",HLOOKUP(S209,DADOS!$T$29:$X$30,2,FALSE),0)),4),"")</f>
        <v>0.25</v>
      </c>
      <c r="AB209" s="2"/>
    </row>
    <row r="210" spans="1:28">
      <c r="A210" t="str">
        <f t="shared" si="149"/>
        <v>S</v>
      </c>
      <c r="B210">
        <f t="shared" si="150"/>
        <v>0</v>
      </c>
      <c r="C210">
        <f t="shared" ca="1" si="151"/>
        <v>3</v>
      </c>
      <c r="D210">
        <f t="shared" ca="1" si="152"/>
        <v>1</v>
      </c>
      <c r="E210">
        <f t="shared" ca="1" si="153"/>
        <v>0</v>
      </c>
      <c r="F210">
        <f t="shared" ca="1" si="154"/>
        <v>0</v>
      </c>
      <c r="G210">
        <f t="shared" ca="1" si="155"/>
        <v>7</v>
      </c>
      <c r="H210">
        <f ca="1">IF(OR($A210="S",$A210=0),0,MATCH(0,OFFSET($B210,1,$A210,ROW($A$1504)-ROW($A210)),0))</f>
        <v>0</v>
      </c>
      <c r="I210">
        <f ca="1">IF(OR($A210="S",$A210=0),0,MATCH(OFFSET($B210,0,$A210)+1,OFFSET($B210,1,$A210,ROW($A$1504)-ROW($A210)),0))</f>
        <v>0</v>
      </c>
      <c r="J210" s="132" t="s">
        <v>29</v>
      </c>
      <c r="K210" s="121" t="str">
        <f t="shared" ca="1" si="156"/>
        <v>3.1.7.</v>
      </c>
      <c r="L210" s="137" t="str">
        <f t="shared" ca="1" si="157"/>
        <v>Cotação</v>
      </c>
      <c r="M210" s="122" t="s">
        <v>80</v>
      </c>
      <c r="N210" s="139" t="s">
        <v>152</v>
      </c>
      <c r="O210" s="137" t="str">
        <f t="shared" ca="1" si="164"/>
        <v>Carro de som com gravação de vinheta</v>
      </c>
      <c r="P210" s="138" t="str">
        <f t="shared" ca="1" si="158"/>
        <v>Horas</v>
      </c>
      <c r="Q210" s="134">
        <v>6</v>
      </c>
      <c r="R210" s="124">
        <f t="shared" ca="1" si="159"/>
        <v>200</v>
      </c>
      <c r="S210" s="136" t="s">
        <v>62</v>
      </c>
      <c r="T210" s="123">
        <f t="shared" ca="1" si="160"/>
        <v>250</v>
      </c>
      <c r="U210" s="126">
        <f t="shared" ca="1" si="161"/>
        <v>1500</v>
      </c>
      <c r="V210" s="1"/>
      <c r="W210" s="39" t="str">
        <f ca="1">IF(OR($A210=0,$A210="S",$A210&gt;CFF!$A$9),"",MAX(W$11:OFFSET(W210,-1,0))+1)</f>
        <v/>
      </c>
      <c r="X210" s="4" t="str">
        <f t="shared" si="162"/>
        <v>Serv. Terc.-002</v>
      </c>
      <c r="Y210" s="39">
        <f t="shared" ca="1" si="163"/>
        <v>82</v>
      </c>
      <c r="Z210" s="1"/>
      <c r="AA210" s="133">
        <f>IF($J210=$G$2,ROUND(IF(ISNUMBER(S210),S210,IF(LEFT(S210,2)="DI",HLOOKUP(S210,DADOS!$T$29:$X$30,2,FALSE),0)),4),"")</f>
        <v>0.25</v>
      </c>
      <c r="AB210" s="2"/>
    </row>
    <row r="211" spans="1:28">
      <c r="A211" t="str">
        <f t="shared" si="149"/>
        <v>S</v>
      </c>
      <c r="B211">
        <f t="shared" si="150"/>
        <v>0</v>
      </c>
      <c r="C211">
        <f t="shared" ca="1" si="151"/>
        <v>3</v>
      </c>
      <c r="D211">
        <f t="shared" ca="1" si="152"/>
        <v>1</v>
      </c>
      <c r="E211">
        <f t="shared" ca="1" si="153"/>
        <v>0</v>
      </c>
      <c r="F211">
        <f t="shared" ca="1" si="154"/>
        <v>0</v>
      </c>
      <c r="G211">
        <f t="shared" ca="1" si="155"/>
        <v>8</v>
      </c>
      <c r="H211">
        <f ca="1">IF(OR($A211="S",$A211=0),0,MATCH(0,OFFSET($B211,1,$A211,ROW($A$1504)-ROW($A211)),0))</f>
        <v>0</v>
      </c>
      <c r="I211">
        <f ca="1">IF(OR($A211="S",$A211=0),0,MATCH(OFFSET($B211,0,$A211)+1,OFFSET($B211,1,$A211,ROW($A$1504)-ROW($A211)),0))</f>
        <v>0</v>
      </c>
      <c r="J211" s="132" t="s">
        <v>29</v>
      </c>
      <c r="K211" s="121" t="str">
        <f t="shared" ca="1" si="156"/>
        <v>3.1.8.</v>
      </c>
      <c r="L211" s="137" t="str">
        <f t="shared" ca="1" si="157"/>
        <v>Cotação</v>
      </c>
      <c r="M211" s="122" t="s">
        <v>80</v>
      </c>
      <c r="N211" s="139" t="s">
        <v>151</v>
      </c>
      <c r="O211" s="137" t="str">
        <f t="shared" ca="1" si="164"/>
        <v>Locação de mesas</v>
      </c>
      <c r="P211" s="138" t="str">
        <f t="shared" ca="1" si="158"/>
        <v>Unidade</v>
      </c>
      <c r="Q211" s="134">
        <v>20</v>
      </c>
      <c r="R211" s="124">
        <f t="shared" ca="1" si="159"/>
        <v>3</v>
      </c>
      <c r="S211" s="136" t="s">
        <v>62</v>
      </c>
      <c r="T211" s="123">
        <f t="shared" ca="1" si="160"/>
        <v>3.75</v>
      </c>
      <c r="U211" s="126">
        <f t="shared" ca="1" si="161"/>
        <v>75</v>
      </c>
      <c r="V211" s="1"/>
      <c r="W211" s="39" t="str">
        <f ca="1">IF(OR($A211=0,$A211="S",$A211&gt;CFF!$A$9),"",MAX(W$11:OFFSET(W211,-1,0))+1)</f>
        <v/>
      </c>
      <c r="X211" s="4" t="str">
        <f t="shared" si="162"/>
        <v>Serv. Terc.-003</v>
      </c>
      <c r="Y211" s="39">
        <f t="shared" ca="1" si="163"/>
        <v>83</v>
      </c>
      <c r="Z211" s="1"/>
      <c r="AA211" s="133">
        <f>IF($J211=$G$2,ROUND(IF(ISNUMBER(S211),S211,IF(LEFT(S211,2)="DI",HLOOKUP(S211,DADOS!$T$29:$X$30,2,FALSE),0)),4),"")</f>
        <v>0.25</v>
      </c>
      <c r="AB211" s="2"/>
    </row>
    <row r="212" spans="1:28">
      <c r="A212" t="str">
        <f t="shared" si="149"/>
        <v>S</v>
      </c>
      <c r="B212">
        <f t="shared" si="150"/>
        <v>0</v>
      </c>
      <c r="C212">
        <f t="shared" ca="1" si="151"/>
        <v>3</v>
      </c>
      <c r="D212">
        <f t="shared" ca="1" si="152"/>
        <v>1</v>
      </c>
      <c r="E212">
        <f t="shared" ca="1" si="153"/>
        <v>0</v>
      </c>
      <c r="F212">
        <f t="shared" ca="1" si="154"/>
        <v>0</v>
      </c>
      <c r="G212">
        <f t="shared" ca="1" si="155"/>
        <v>9</v>
      </c>
      <c r="H212">
        <f ca="1">IF(OR($A212="S",$A212=0),0,MATCH(0,OFFSET($B212,1,$A212,ROW($A$1504)-ROW($A212)),0))</f>
        <v>0</v>
      </c>
      <c r="I212">
        <f ca="1">IF(OR($A212="S",$A212=0),0,MATCH(OFFSET($B212,0,$A212)+1,OFFSET($B212,1,$A212,ROW($A$1504)-ROW($A212)),0))</f>
        <v>0</v>
      </c>
      <c r="J212" s="132" t="s">
        <v>29</v>
      </c>
      <c r="K212" s="121" t="str">
        <f t="shared" ca="1" si="156"/>
        <v>3.1.9.</v>
      </c>
      <c r="L212" s="137" t="str">
        <f t="shared" ca="1" si="157"/>
        <v>Cotação</v>
      </c>
      <c r="M212" s="122" t="s">
        <v>80</v>
      </c>
      <c r="N212" s="139" t="s">
        <v>153</v>
      </c>
      <c r="O212" s="137" t="str">
        <f t="shared" ca="1" si="164"/>
        <v>Locação de cadeiras</v>
      </c>
      <c r="P212" s="138" t="str">
        <f t="shared" ca="1" si="158"/>
        <v>Unidade</v>
      </c>
      <c r="Q212" s="134">
        <v>400</v>
      </c>
      <c r="R212" s="124">
        <f t="shared" ca="1" si="159"/>
        <v>2</v>
      </c>
      <c r="S212" s="136" t="s">
        <v>62</v>
      </c>
      <c r="T212" s="123">
        <f t="shared" ca="1" si="160"/>
        <v>2.5</v>
      </c>
      <c r="U212" s="126">
        <f t="shared" ca="1" si="161"/>
        <v>1000</v>
      </c>
      <c r="V212" s="1"/>
      <c r="W212" s="39" t="str">
        <f ca="1">IF(OR($A212=0,$A212="S",$A212&gt;CFF!$A$9),"",MAX(W$11:OFFSET(W212,-1,0))+1)</f>
        <v/>
      </c>
      <c r="X212" s="4" t="str">
        <f t="shared" si="162"/>
        <v>Serv. Terc.-004</v>
      </c>
      <c r="Y212" s="39">
        <f t="shared" ca="1" si="163"/>
        <v>84</v>
      </c>
      <c r="Z212" s="1"/>
      <c r="AA212" s="133">
        <f>IF($J212=$G$2,ROUND(IF(ISNUMBER(S212),S212,IF(LEFT(S212,2)="DI",HLOOKUP(S212,DADOS!$T$29:$X$30,2,FALSE),0)),4),"")</f>
        <v>0.25</v>
      </c>
      <c r="AB212" s="2"/>
    </row>
    <row r="213" spans="1:28">
      <c r="A213" t="str">
        <f t="shared" si="149"/>
        <v>S</v>
      </c>
      <c r="B213">
        <f t="shared" si="150"/>
        <v>0</v>
      </c>
      <c r="C213">
        <f t="shared" ca="1" si="151"/>
        <v>3</v>
      </c>
      <c r="D213">
        <f t="shared" ca="1" si="152"/>
        <v>1</v>
      </c>
      <c r="E213">
        <f t="shared" ca="1" si="153"/>
        <v>0</v>
      </c>
      <c r="F213">
        <f t="shared" ca="1" si="154"/>
        <v>0</v>
      </c>
      <c r="G213">
        <f t="shared" ca="1" si="155"/>
        <v>10</v>
      </c>
      <c r="H213">
        <f ca="1">IF(OR($A213="S",$A213=0),0,MATCH(0,OFFSET($B213,1,$A213,ROW($A$1504)-ROW($A213)),0))</f>
        <v>0</v>
      </c>
      <c r="I213">
        <f ca="1">IF(OR($A213="S",$A213=0),0,MATCH(OFFSET($B213,0,$A213)+1,OFFSET($B213,1,$A213,ROW($A$1504)-ROW($A213)),0))</f>
        <v>0</v>
      </c>
      <c r="J213" s="132" t="s">
        <v>29</v>
      </c>
      <c r="K213" s="121" t="str">
        <f t="shared" ca="1" si="156"/>
        <v>3.1.10.</v>
      </c>
      <c r="L213" s="137" t="str">
        <f t="shared" ca="1" si="157"/>
        <v>Cotação</v>
      </c>
      <c r="M213" s="122" t="s">
        <v>80</v>
      </c>
      <c r="N213" s="139" t="s">
        <v>154</v>
      </c>
      <c r="O213" s="137" t="str">
        <f t="shared" ca="1" si="164"/>
        <v>Locação de caixa térmica</v>
      </c>
      <c r="P213" s="138" t="str">
        <f t="shared" ca="1" si="158"/>
        <v>Unidade</v>
      </c>
      <c r="Q213" s="134">
        <v>2</v>
      </c>
      <c r="R213" s="124">
        <f t="shared" ca="1" si="159"/>
        <v>40</v>
      </c>
      <c r="S213" s="136" t="s">
        <v>62</v>
      </c>
      <c r="T213" s="123">
        <f t="shared" ca="1" si="160"/>
        <v>50</v>
      </c>
      <c r="U213" s="126">
        <f t="shared" ca="1" si="161"/>
        <v>100</v>
      </c>
      <c r="V213" s="1"/>
      <c r="W213" s="39" t="str">
        <f ca="1">IF(OR($A213=0,$A213="S",$A213&gt;CFF!$A$9),"",MAX(W$11:OFFSET(W213,-1,0))+1)</f>
        <v/>
      </c>
      <c r="X213" s="4" t="str">
        <f t="shared" si="162"/>
        <v>Serv. Terc.-005</v>
      </c>
      <c r="Y213" s="39">
        <f t="shared" ca="1" si="163"/>
        <v>85</v>
      </c>
      <c r="Z213" s="1"/>
      <c r="AA213" s="133">
        <f>IF($J213=$G$2,ROUND(IF(ISNUMBER(S213),S213,IF(LEFT(S213,2)="DI",HLOOKUP(S213,DADOS!$T$29:$X$30,2,FALSE),0)),4),"")</f>
        <v>0.25</v>
      </c>
      <c r="AB213" s="2"/>
    </row>
    <row r="214" spans="1:28">
      <c r="A214" t="str">
        <f t="shared" si="149"/>
        <v>S</v>
      </c>
      <c r="B214">
        <f t="shared" si="150"/>
        <v>0</v>
      </c>
      <c r="C214">
        <f t="shared" ca="1" si="151"/>
        <v>3</v>
      </c>
      <c r="D214">
        <f t="shared" ca="1" si="152"/>
        <v>1</v>
      </c>
      <c r="E214">
        <f t="shared" ca="1" si="153"/>
        <v>0</v>
      </c>
      <c r="F214">
        <f t="shared" ca="1" si="154"/>
        <v>0</v>
      </c>
      <c r="G214">
        <f t="shared" ca="1" si="155"/>
        <v>11</v>
      </c>
      <c r="H214">
        <f ca="1">IF(OR($A214="S",$A214=0),0,MATCH(0,OFFSET($B214,1,$A214,ROW($A$1504)-ROW($A214)),0))</f>
        <v>0</v>
      </c>
      <c r="I214">
        <f ca="1">IF(OR($A214="S",$A214=0),0,MATCH(OFFSET($B214,0,$A214)+1,OFFSET($B214,1,$A214,ROW($A$1504)-ROW($A214)),0))</f>
        <v>0</v>
      </c>
      <c r="J214" s="132" t="s">
        <v>29</v>
      </c>
      <c r="K214" s="121" t="str">
        <f t="shared" ca="1" si="156"/>
        <v>3.1.11.</v>
      </c>
      <c r="L214" s="137" t="str">
        <f t="shared" ca="1" si="157"/>
        <v>Cotação</v>
      </c>
      <c r="M214" s="122" t="s">
        <v>80</v>
      </c>
      <c r="N214" s="139" t="s">
        <v>155</v>
      </c>
      <c r="O214" s="137" t="str">
        <f t="shared" ca="1" si="164"/>
        <v>Locação de tendas</v>
      </c>
      <c r="P214" s="138" t="str">
        <f t="shared" ca="1" si="158"/>
        <v>Unidade</v>
      </c>
      <c r="Q214" s="134">
        <v>3</v>
      </c>
      <c r="R214" s="124">
        <f t="shared" ca="1" si="159"/>
        <v>250</v>
      </c>
      <c r="S214" s="136" t="s">
        <v>62</v>
      </c>
      <c r="T214" s="123">
        <f t="shared" ca="1" si="160"/>
        <v>312.5</v>
      </c>
      <c r="U214" s="126">
        <f t="shared" ca="1" si="161"/>
        <v>937.5</v>
      </c>
      <c r="V214" s="1"/>
      <c r="W214" s="39" t="str">
        <f ca="1">IF(OR($A214=0,$A214="S",$A214&gt;CFF!$A$9),"",MAX(W$11:OFFSET(W214,-1,0))+1)</f>
        <v/>
      </c>
      <c r="X214" s="4" t="str">
        <f t="shared" si="162"/>
        <v>Serv. Terc.-006</v>
      </c>
      <c r="Y214" s="39">
        <f t="shared" ca="1" si="163"/>
        <v>86</v>
      </c>
      <c r="Z214" s="1"/>
      <c r="AA214" s="133">
        <f>IF($J214=$G$2,ROUND(IF(ISNUMBER(S214),S214,IF(LEFT(S214,2)="DI",HLOOKUP(S214,DADOS!$T$29:$X$30,2,FALSE),0)),4),"")</f>
        <v>0.25</v>
      </c>
      <c r="AB214" s="2"/>
    </row>
    <row r="215" spans="1:28">
      <c r="A215" t="str">
        <f t="shared" si="149"/>
        <v>S</v>
      </c>
      <c r="B215">
        <f t="shared" si="150"/>
        <v>0</v>
      </c>
      <c r="C215">
        <f t="shared" ca="1" si="151"/>
        <v>3</v>
      </c>
      <c r="D215">
        <f t="shared" ca="1" si="152"/>
        <v>1</v>
      </c>
      <c r="E215">
        <f t="shared" ca="1" si="153"/>
        <v>0</v>
      </c>
      <c r="F215">
        <f t="shared" ca="1" si="154"/>
        <v>0</v>
      </c>
      <c r="G215">
        <f t="shared" ca="1" si="155"/>
        <v>12</v>
      </c>
      <c r="H215">
        <f ca="1">IF(OR($A215="S",$A215=0),0,MATCH(0,OFFSET($B215,1,$A215,ROW($A$1504)-ROW($A215)),0))</f>
        <v>0</v>
      </c>
      <c r="I215">
        <f ca="1">IF(OR($A215="S",$A215=0),0,MATCH(OFFSET($B215,0,$A215)+1,OFFSET($B215,1,$A215,ROW($A$1504)-ROW($A215)),0))</f>
        <v>0</v>
      </c>
      <c r="J215" s="132" t="s">
        <v>29</v>
      </c>
      <c r="K215" s="121" t="str">
        <f t="shared" ca="1" si="156"/>
        <v>3.1.12.</v>
      </c>
      <c r="L215" s="137" t="str">
        <f t="shared" ca="1" si="157"/>
        <v>Cotação</v>
      </c>
      <c r="M215" s="122" t="s">
        <v>80</v>
      </c>
      <c r="N215" s="139" t="s">
        <v>157</v>
      </c>
      <c r="O215" s="137" t="str">
        <f t="shared" ca="1" si="164"/>
        <v>Locação de pula-pula com monitor</v>
      </c>
      <c r="P215" s="138" t="str">
        <f t="shared" ca="1" si="158"/>
        <v>Unidade</v>
      </c>
      <c r="Q215" s="134">
        <v>2</v>
      </c>
      <c r="R215" s="124">
        <f t="shared" ca="1" si="159"/>
        <v>220</v>
      </c>
      <c r="S215" s="136" t="s">
        <v>62</v>
      </c>
      <c r="T215" s="123">
        <f t="shared" ca="1" si="160"/>
        <v>275</v>
      </c>
      <c r="U215" s="126">
        <f t="shared" ca="1" si="161"/>
        <v>550</v>
      </c>
      <c r="V215" s="1"/>
      <c r="W215" s="39" t="str">
        <f ca="1">IF(OR($A215=0,$A215="S",$A215&gt;CFF!$A$9),"",MAX(W$11:OFFSET(W215,-1,0))+1)</f>
        <v/>
      </c>
      <c r="X215" s="4" t="str">
        <f t="shared" si="162"/>
        <v>Serv. Terc.-008</v>
      </c>
      <c r="Y215" s="39">
        <f t="shared" ca="1" si="163"/>
        <v>88</v>
      </c>
      <c r="Z215" s="1"/>
      <c r="AA215" s="133">
        <f>IF($J215=$G$2,ROUND(IF(ISNUMBER(S215),S215,IF(LEFT(S215,2)="DI",HLOOKUP(S215,DADOS!$T$29:$X$30,2,FALSE),0)),4),"")</f>
        <v>0.25</v>
      </c>
      <c r="AB215" s="2"/>
    </row>
    <row r="216" spans="1:28">
      <c r="A216" t="str">
        <f t="shared" si="149"/>
        <v>S</v>
      </c>
      <c r="B216">
        <f t="shared" si="150"/>
        <v>0</v>
      </c>
      <c r="C216">
        <f t="shared" ca="1" si="151"/>
        <v>3</v>
      </c>
      <c r="D216">
        <f t="shared" ca="1" si="152"/>
        <v>1</v>
      </c>
      <c r="E216">
        <f t="shared" ca="1" si="153"/>
        <v>0</v>
      </c>
      <c r="F216">
        <f t="shared" ca="1" si="154"/>
        <v>0</v>
      </c>
      <c r="G216">
        <f t="shared" ca="1" si="155"/>
        <v>13</v>
      </c>
      <c r="H216">
        <f ca="1">IF(OR($A216="S",$A216=0),0,MATCH(0,OFFSET($B216,1,$A216,ROW($A$1504)-ROW($A216)),0))</f>
        <v>0</v>
      </c>
      <c r="I216">
        <f ca="1">IF(OR($A216="S",$A216=0),0,MATCH(OFFSET($B216,0,$A216)+1,OFFSET($B216,1,$A216,ROW($A$1504)-ROW($A216)),0))</f>
        <v>0</v>
      </c>
      <c r="J216" s="132" t="s">
        <v>29</v>
      </c>
      <c r="K216" s="121" t="str">
        <f t="shared" ca="1" si="156"/>
        <v>3.1.13.</v>
      </c>
      <c r="L216" s="137" t="str">
        <f t="shared" ca="1" si="157"/>
        <v>Cotação</v>
      </c>
      <c r="M216" s="122" t="s">
        <v>80</v>
      </c>
      <c r="N216" s="139" t="s">
        <v>161</v>
      </c>
      <c r="O216" s="137" t="str">
        <f t="shared" ca="1" si="164"/>
        <v>Água (garrafão de 20 litros)</v>
      </c>
      <c r="P216" s="138" t="str">
        <f t="shared" ca="1" si="158"/>
        <v>Unidade</v>
      </c>
      <c r="Q216" s="134">
        <v>2</v>
      </c>
      <c r="R216" s="124">
        <f t="shared" ca="1" si="159"/>
        <v>10</v>
      </c>
      <c r="S216" s="136" t="s">
        <v>62</v>
      </c>
      <c r="T216" s="123">
        <f t="shared" ca="1" si="160"/>
        <v>12.5</v>
      </c>
      <c r="U216" s="126">
        <f t="shared" ca="1" si="161"/>
        <v>25</v>
      </c>
      <c r="V216" s="1"/>
      <c r="W216" s="39" t="str">
        <f ca="1">IF(OR($A216=0,$A216="S",$A216&gt;CFF!$A$9),"",MAX(W$11:OFFSET(W216,-1,0))+1)</f>
        <v/>
      </c>
      <c r="X216" s="4" t="str">
        <f t="shared" si="162"/>
        <v>Serv. Terc.-012</v>
      </c>
      <c r="Y216" s="39">
        <f t="shared" ca="1" si="163"/>
        <v>92</v>
      </c>
      <c r="Z216" s="1"/>
      <c r="AA216" s="133">
        <f>IF($J216=$G$2,ROUND(IF(ISNUMBER(S216),S216,IF(LEFT(S216,2)="DI",HLOOKUP(S216,DADOS!$T$29:$X$30,2,FALSE),0)),4),"")</f>
        <v>0.25</v>
      </c>
      <c r="AB216" s="2"/>
    </row>
    <row r="217" spans="1:28">
      <c r="A217" t="str">
        <f t="shared" si="149"/>
        <v>S</v>
      </c>
      <c r="B217">
        <f t="shared" si="150"/>
        <v>0</v>
      </c>
      <c r="C217">
        <f t="shared" ca="1" si="151"/>
        <v>3</v>
      </c>
      <c r="D217">
        <f t="shared" ca="1" si="152"/>
        <v>1</v>
      </c>
      <c r="E217">
        <f t="shared" ca="1" si="153"/>
        <v>0</v>
      </c>
      <c r="F217">
        <f t="shared" ca="1" si="154"/>
        <v>0</v>
      </c>
      <c r="G217">
        <f t="shared" ca="1" si="155"/>
        <v>14</v>
      </c>
      <c r="H217">
        <f ca="1">IF(OR($A217="S",$A217=0),0,MATCH(0,OFFSET($B217,1,$A217,ROW($A$1504)-ROW($A217)),0))</f>
        <v>0</v>
      </c>
      <c r="I217">
        <f ca="1">IF(OR($A217="S",$A217=0),0,MATCH(OFFSET($B217,0,$A217)+1,OFFSET($B217,1,$A217,ROW($A$1504)-ROW($A217)),0))</f>
        <v>0</v>
      </c>
      <c r="J217" s="132" t="s">
        <v>29</v>
      </c>
      <c r="K217" s="121" t="str">
        <f t="shared" ca="1" si="156"/>
        <v>3.1.14.</v>
      </c>
      <c r="L217" s="137" t="str">
        <f t="shared" ca="1" si="157"/>
        <v xml:space="preserve">Cotação </v>
      </c>
      <c r="M217" s="122" t="s">
        <v>80</v>
      </c>
      <c r="N217" s="139" t="s">
        <v>160</v>
      </c>
      <c r="O217" s="137" t="str">
        <f t="shared" ca="1" si="164"/>
        <v>Barra de gelo</v>
      </c>
      <c r="P217" s="138" t="str">
        <f t="shared" ca="1" si="158"/>
        <v>Unidade</v>
      </c>
      <c r="Q217" s="134">
        <v>4</v>
      </c>
      <c r="R217" s="124">
        <f t="shared" ca="1" si="159"/>
        <v>12</v>
      </c>
      <c r="S217" s="136" t="s">
        <v>62</v>
      </c>
      <c r="T217" s="123">
        <f t="shared" ca="1" si="160"/>
        <v>15</v>
      </c>
      <c r="U217" s="126">
        <f t="shared" ca="1" si="161"/>
        <v>60</v>
      </c>
      <c r="V217" s="1"/>
      <c r="W217" s="39" t="str">
        <f ca="1">IF(OR($A217=0,$A217="S",$A217&gt;CFF!$A$9),"",MAX(W$11:OFFSET(W217,-1,0))+1)</f>
        <v/>
      </c>
      <c r="X217" s="4" t="str">
        <f t="shared" si="162"/>
        <v>Serv. Terc.-011</v>
      </c>
      <c r="Y217" s="39">
        <f t="shared" ca="1" si="163"/>
        <v>91</v>
      </c>
      <c r="Z217" s="1"/>
      <c r="AA217" s="133">
        <f>IF($J217=$G$2,ROUND(IF(ISNUMBER(S217),S217,IF(LEFT(S217,2)="DI",HLOOKUP(S217,DADOS!$T$29:$X$30,2,FALSE),0)),4),"")</f>
        <v>0.25</v>
      </c>
      <c r="AB217" s="2"/>
    </row>
    <row r="218" spans="1:28">
      <c r="A218" t="str">
        <f t="shared" si="149"/>
        <v>S</v>
      </c>
      <c r="B218">
        <f t="shared" si="150"/>
        <v>0</v>
      </c>
      <c r="C218">
        <f t="shared" ca="1" si="151"/>
        <v>3</v>
      </c>
      <c r="D218">
        <f t="shared" ca="1" si="152"/>
        <v>1</v>
      </c>
      <c r="E218">
        <f t="shared" ca="1" si="153"/>
        <v>0</v>
      </c>
      <c r="F218">
        <f t="shared" ca="1" si="154"/>
        <v>0</v>
      </c>
      <c r="G218">
        <f t="shared" ca="1" si="155"/>
        <v>15</v>
      </c>
      <c r="H218">
        <f ca="1">IF(OR($A218="S",$A218=0),0,MATCH(0,OFFSET($B218,1,$A218,ROW($A$1504)-ROW($A218)),0))</f>
        <v>0</v>
      </c>
      <c r="I218">
        <f ca="1">IF(OR($A218="S",$A218=0),0,MATCH(OFFSET($B218,0,$A218)+1,OFFSET($B218,1,$A218,ROW($A$1504)-ROW($A218)),0))</f>
        <v>0</v>
      </c>
      <c r="J218" s="132" t="s">
        <v>29</v>
      </c>
      <c r="K218" s="121" t="str">
        <f t="shared" ca="1" si="156"/>
        <v>3.1.15.</v>
      </c>
      <c r="L218" s="137" t="str">
        <f t="shared" ca="1" si="157"/>
        <v>Cotação</v>
      </c>
      <c r="M218" s="122" t="s">
        <v>80</v>
      </c>
      <c r="N218" s="139" t="s">
        <v>150</v>
      </c>
      <c r="O218" s="137" t="str">
        <f t="shared" ca="1" si="164"/>
        <v>Sucos</v>
      </c>
      <c r="P218" s="138" t="str">
        <f t="shared" ca="1" si="158"/>
        <v>Unidade</v>
      </c>
      <c r="Q218" s="134">
        <v>12</v>
      </c>
      <c r="R218" s="124">
        <f t="shared" ca="1" si="159"/>
        <v>6.4</v>
      </c>
      <c r="S218" s="136" t="s">
        <v>62</v>
      </c>
      <c r="T218" s="123">
        <f t="shared" ca="1" si="160"/>
        <v>8</v>
      </c>
      <c r="U218" s="126">
        <f t="shared" ca="1" si="161"/>
        <v>96</v>
      </c>
      <c r="V218" s="1"/>
      <c r="W218" s="39" t="str">
        <f ca="1">IF(OR($A218=0,$A218="S",$A218&gt;CFF!$A$9),"",MAX(W$11:OFFSET(W218,-1,0))+1)</f>
        <v/>
      </c>
      <c r="X218" s="4" t="str">
        <f t="shared" si="162"/>
        <v>Serv. Terc.-013</v>
      </c>
      <c r="Y218" s="39">
        <f t="shared" ca="1" si="163"/>
        <v>93</v>
      </c>
      <c r="Z218" s="1"/>
      <c r="AA218" s="133">
        <f>IF($J218=$G$2,ROUND(IF(ISNUMBER(S218),S218,IF(LEFT(S218,2)="DI",HLOOKUP(S218,DADOS!$T$29:$X$30,2,FALSE),0)),4),"")</f>
        <v>0.25</v>
      </c>
      <c r="AB218" s="2"/>
    </row>
    <row r="219" spans="1:28">
      <c r="A219" t="str">
        <f>CHOOSE(1+LOG(1+2*(J219=$C$2)+4*(J219=$D$2)+8*(J219=$E$2)+16*(J219=$F$2)+32*(J219=$G$2),2),0,1,2,3,4,"S")</f>
        <v>S</v>
      </c>
      <c r="B219">
        <f>IF(OR(A219="S",A219=0),0,IF(ISERROR(I219),H219,SMALL(H219:I219,1)))</f>
        <v>0</v>
      </c>
      <c r="C219">
        <f ca="1">IF($A219=1,OFFSET(C219,-1,0)+1,OFFSET(C219,-1,0))</f>
        <v>3</v>
      </c>
      <c r="D219">
        <f ca="1">IF($A219=1,0,IF($A219=2,OFFSET(D219,-1,0)+1,OFFSET(D219,-1,0)))</f>
        <v>1</v>
      </c>
      <c r="E219">
        <f ca="1">IF(AND($A219&lt;=2,$A219&lt;&gt;0),0,IF($A219=3,OFFSET(E219,-1,0)+1,OFFSET(E219,-1,0)))</f>
        <v>0</v>
      </c>
      <c r="F219">
        <f ca="1">IF(AND($A219&lt;=3,$A219&lt;&gt;0),0,IF($A219=4,OFFSET(F219,-1,0)+1,OFFSET(F219,-1,0)))</f>
        <v>0</v>
      </c>
      <c r="G219">
        <f ca="1">IF(AND($A219&lt;=4,$A219&lt;&gt;0),0,IF($A219="S",OFFSET(G219,-1,0)+1,OFFSET(G219,-1,0)))</f>
        <v>16</v>
      </c>
      <c r="H219">
        <f ca="1">IF(OR($A219="S",$A219=0),0,MATCH(0,OFFSET($B219,1,$A219,ROW($A$1504)-ROW($A219)),0))</f>
        <v>0</v>
      </c>
      <c r="I219">
        <f ca="1">IF(OR($A219="S",$A219=0),0,MATCH(OFFSET($B219,0,$A219)+1,OFFSET($B219,1,$A219,ROW($A$1504)-ROW($A219)),0))</f>
        <v>0</v>
      </c>
      <c r="J219" s="132" t="s">
        <v>29</v>
      </c>
      <c r="K219" s="121" t="str">
        <f ca="1">IF($A219=0,"-",CONCATENATE(C219&amp;".",IF(AND($A$5&gt;=2,$A219&gt;=2),D219&amp;".",""),IF(AND($A$5&gt;=3,$A219&gt;=3),E219&amp;".",""),IF(AND($A$5&gt;=4,$A219&gt;=4),F219&amp;".",""),IF($A219="S",G219&amp;".","")))</f>
        <v>3.1.16.</v>
      </c>
      <c r="L219" s="137" t="str">
        <f ca="1">IF(NOT(ISERROR($Y219)),IF($Y219&lt;&gt;FALSE,INDEX(Banco,$Y219,4),""),"")</f>
        <v>Cotação</v>
      </c>
      <c r="M219" s="122" t="s">
        <v>80</v>
      </c>
      <c r="N219" s="139" t="s">
        <v>171</v>
      </c>
      <c r="O219" s="137" t="str">
        <f ca="1">IF(NOT(ISERROR($Y219)),IF($Y219&lt;&gt;FALSE,INDEX(Banco,$Y219,5),""),"")</f>
        <v xml:space="preserve">Refrigerantes (02 litros) </v>
      </c>
      <c r="P219" s="138" t="str">
        <f ca="1">IF(NOT(ISERROR($Y219)),IF($Y219&lt;&gt;FALSE,INDEX(Banco,$Y219,6),""),"")</f>
        <v>Unidade</v>
      </c>
      <c r="Q219" s="134">
        <v>20</v>
      </c>
      <c r="R219" s="124">
        <f ca="1">IF(NOT(ISERROR($Y219)),IF($Y219&lt;&gt;FALSE,INDEX(Banco,$Y219,7),0),0)</f>
        <v>6</v>
      </c>
      <c r="S219" s="136" t="s">
        <v>62</v>
      </c>
      <c r="T219" s="123">
        <f ca="1">IF($J219=$G$2,ROUND(ROUND($R219,2)*IF($R$9="Preço Unitário (R$)",1,1+$AA219),2),0)</f>
        <v>7.5</v>
      </c>
      <c r="U219" s="126">
        <f ca="1">IF($A219="S",VTOTAL1,IF($A219=0,0,ROUND(SomaAgrup,2)))</f>
        <v>150</v>
      </c>
      <c r="V219" s="1"/>
      <c r="W219" s="39" t="str">
        <f ca="1">IF(OR($A219=0,$A219="S",$A219&gt;CFF!$A$9),"",MAX(W$11:OFFSET(W219,-1,0))+1)</f>
        <v/>
      </c>
      <c r="X219" s="4" t="str">
        <f>IF(AND($J219=$G$2,$N219&lt;&gt;"",$M219&lt;&gt;""),CONCATENATE($M219,"-",$N219))</f>
        <v>Serv. Terc.-027</v>
      </c>
      <c r="Y219" s="39">
        <f ca="1">IF(X219&lt;&gt;FALSE,MATCH(X219,OFFSET(Banco,0,0,,1),0))</f>
        <v>107</v>
      </c>
      <c r="Z219" s="1"/>
      <c r="AA219" s="133">
        <f>IF($J219=$G$2,ROUND(IF(ISNUMBER(S219),S219,IF(LEFT(S219,2)="DI",HLOOKUP(S219,DADOS!$T$29:$X$30,2,FALSE),0)),4),"")</f>
        <v>0.25</v>
      </c>
      <c r="AB219" s="2"/>
    </row>
    <row r="220" spans="1:28">
      <c r="A220" t="str">
        <f t="shared" ref="A220:A227" si="165">CHOOSE(1+LOG(1+2*(J220=$C$2)+4*(J220=$D$2)+8*(J220=$E$2)+16*(J220=$F$2)+32*(J220=$G$2),2),0,1,2,3,4,"S")</f>
        <v>S</v>
      </c>
      <c r="B220">
        <f t="shared" ref="B220:B227" si="166">IF(OR(A220="S",A220=0),0,IF(ISERROR(I220),H220,SMALL(H220:I220,1)))</f>
        <v>0</v>
      </c>
      <c r="C220">
        <f t="shared" ref="C220:C227" ca="1" si="167">IF($A220=1,OFFSET(C220,-1,0)+1,OFFSET(C220,-1,0))</f>
        <v>3</v>
      </c>
      <c r="D220">
        <f t="shared" ref="D220:D227" ca="1" si="168">IF($A220=1,0,IF($A220=2,OFFSET(D220,-1,0)+1,OFFSET(D220,-1,0)))</f>
        <v>1</v>
      </c>
      <c r="E220">
        <f t="shared" ref="E220:E227" ca="1" si="169">IF(AND($A220&lt;=2,$A220&lt;&gt;0),0,IF($A220=3,OFFSET(E220,-1,0)+1,OFFSET(E220,-1,0)))</f>
        <v>0</v>
      </c>
      <c r="F220">
        <f t="shared" ref="F220:F227" ca="1" si="170">IF(AND($A220&lt;=3,$A220&lt;&gt;0),0,IF($A220=4,OFFSET(F220,-1,0)+1,OFFSET(F220,-1,0)))</f>
        <v>0</v>
      </c>
      <c r="G220">
        <f t="shared" ref="G220:G227" ca="1" si="171">IF(AND($A220&lt;=4,$A220&lt;&gt;0),0,IF($A220="S",OFFSET(G220,-1,0)+1,OFFSET(G220,-1,0)))</f>
        <v>17</v>
      </c>
      <c r="H220">
        <f ca="1">IF(OR($A220="S",$A220=0),0,MATCH(0,OFFSET($B220,1,$A220,ROW($A$1504)-ROW($A220)),0))</f>
        <v>0</v>
      </c>
      <c r="I220">
        <f ca="1">IF(OR($A220="S",$A220=0),0,MATCH(OFFSET($B220,0,$A220)+1,OFFSET($B220,1,$A220,ROW($A$1504)-ROW($A220)),0))</f>
        <v>0</v>
      </c>
      <c r="J220" s="132" t="s">
        <v>29</v>
      </c>
      <c r="K220" s="121" t="str">
        <f t="shared" ref="K220:K227" ca="1" si="172">IF($A220=0,"-",CONCATENATE(C220&amp;".",IF(AND($A$5&gt;=2,$A220&gt;=2),D220&amp;".",""),IF(AND($A$5&gt;=3,$A220&gt;=3),E220&amp;".",""),IF(AND($A$5&gt;=4,$A220&gt;=4),F220&amp;".",""),IF($A220="S",G220&amp;".","")))</f>
        <v>3.1.17.</v>
      </c>
      <c r="L220" s="137" t="str">
        <f t="shared" ref="L220:L227" ca="1" si="173">IF(NOT(ISERROR($Y220)),IF($Y220&lt;&gt;FALSE,INDEX(Banco,$Y220,4),""),"")</f>
        <v xml:space="preserve">Cotação </v>
      </c>
      <c r="M220" s="122" t="s">
        <v>80</v>
      </c>
      <c r="N220" s="139" t="s">
        <v>159</v>
      </c>
      <c r="O220" s="137" t="str">
        <f t="shared" ref="O220:O227" ca="1" si="174">IF(NOT(ISERROR($Y220)),IF($Y220&lt;&gt;FALSE,INDEX(Banco,$Y220,5),""),"")</f>
        <v>Brindes ( descrição nos orçamentos e PTS)</v>
      </c>
      <c r="P220" s="138" t="str">
        <f t="shared" ref="P220:P227" ca="1" si="175">IF(NOT(ISERROR($Y220)),IF($Y220&lt;&gt;FALSE,INDEX(Banco,$Y220,6),""),"")</f>
        <v>Unidade</v>
      </c>
      <c r="Q220" s="134">
        <v>8</v>
      </c>
      <c r="R220" s="124">
        <f t="shared" ref="R220:R227" ca="1" si="176">IF(NOT(ISERROR($Y220)),IF($Y220&lt;&gt;FALSE,INDEX(Banco,$Y220,7),0),0)</f>
        <v>120</v>
      </c>
      <c r="S220" s="136" t="s">
        <v>62</v>
      </c>
      <c r="T220" s="123">
        <f t="shared" ref="T220:T227" ca="1" si="177">IF($J220=$G$2,ROUND(ROUND($R220,2)*IF($R$9="Preço Unitário (R$)",1,1+$AA220),2),0)</f>
        <v>150</v>
      </c>
      <c r="U220" s="126">
        <f t="shared" ref="U220:U227" ca="1" si="178">IF($A220="S",VTOTAL1,IF($A220=0,0,ROUND(SomaAgrup,2)))</f>
        <v>1200</v>
      </c>
      <c r="V220" s="1"/>
      <c r="W220" s="39" t="str">
        <f ca="1">IF(OR($A220=0,$A220="S",$A220&gt;CFF!$A$9),"",MAX(W$11:OFFSET(W220,-1,0))+1)</f>
        <v/>
      </c>
      <c r="X220" s="4" t="str">
        <f t="shared" ref="X220:X227" si="179">IF(AND($J220=$G$2,$N220&lt;&gt;"",$M220&lt;&gt;""),CONCATENATE($M220,"-",$N220))</f>
        <v>Serv. Terc.-010</v>
      </c>
      <c r="Y220" s="39">
        <f t="shared" ref="Y220:Y227" ca="1" si="180">IF(X220&lt;&gt;FALSE,MATCH(X220,OFFSET(Banco,0,0,,1),0))</f>
        <v>90</v>
      </c>
      <c r="Z220" s="1"/>
      <c r="AA220" s="133">
        <f>IF($J220=$G$2,ROUND(IF(ISNUMBER(S220),S220,IF(LEFT(S220,2)="DI",HLOOKUP(S220,DADOS!$T$29:$X$30,2,FALSE),0)),4),"")</f>
        <v>0.25</v>
      </c>
      <c r="AB220" s="2"/>
    </row>
    <row r="221" spans="1:28">
      <c r="A221" t="str">
        <f t="shared" si="165"/>
        <v>S</v>
      </c>
      <c r="B221">
        <f t="shared" si="166"/>
        <v>0</v>
      </c>
      <c r="C221">
        <f t="shared" ca="1" si="167"/>
        <v>3</v>
      </c>
      <c r="D221">
        <f t="shared" ca="1" si="168"/>
        <v>1</v>
      </c>
      <c r="E221">
        <f t="shared" ca="1" si="169"/>
        <v>0</v>
      </c>
      <c r="F221">
        <f t="shared" ca="1" si="170"/>
        <v>0</v>
      </c>
      <c r="G221">
        <f t="shared" ca="1" si="171"/>
        <v>18</v>
      </c>
      <c r="H221">
        <f ca="1">IF(OR($A221="S",$A221=0),0,MATCH(0,OFFSET($B221,1,$A221,ROW($A$1504)-ROW($A221)),0))</f>
        <v>0</v>
      </c>
      <c r="I221">
        <f ca="1">IF(OR($A221="S",$A221=0),0,MATCH(OFFSET($B221,0,$A221)+1,OFFSET($B221,1,$A221,ROW($A$1504)-ROW($A221)),0))</f>
        <v>0</v>
      </c>
      <c r="J221" s="132" t="s">
        <v>29</v>
      </c>
      <c r="K221" s="121" t="str">
        <f t="shared" ca="1" si="172"/>
        <v>3.1.18.</v>
      </c>
      <c r="L221" s="137" t="str">
        <f t="shared" ca="1" si="173"/>
        <v>Cotação</v>
      </c>
      <c r="M221" s="122" t="s">
        <v>80</v>
      </c>
      <c r="N221" s="139" t="s">
        <v>162</v>
      </c>
      <c r="O221" s="137" t="str">
        <f t="shared" ca="1" si="174"/>
        <v>Coffee break (salgados)</v>
      </c>
      <c r="P221" s="138" t="str">
        <f t="shared" ca="1" si="175"/>
        <v>Centro</v>
      </c>
      <c r="Q221" s="134">
        <v>15</v>
      </c>
      <c r="R221" s="124">
        <f t="shared" ca="1" si="176"/>
        <v>65</v>
      </c>
      <c r="S221" s="136" t="s">
        <v>62</v>
      </c>
      <c r="T221" s="123">
        <f t="shared" ca="1" si="177"/>
        <v>81.25</v>
      </c>
      <c r="U221" s="126">
        <f t="shared" ca="1" si="178"/>
        <v>1218.75</v>
      </c>
      <c r="V221" s="1"/>
      <c r="W221" s="39" t="str">
        <f ca="1">IF(OR($A221=0,$A221="S",$A221&gt;CFF!$A$9),"",MAX(W$11:OFFSET(W221,-1,0))+1)</f>
        <v/>
      </c>
      <c r="X221" s="4" t="str">
        <f t="shared" si="179"/>
        <v>Serv. Terc.-015</v>
      </c>
      <c r="Y221" s="39">
        <f t="shared" ca="1" si="180"/>
        <v>95</v>
      </c>
      <c r="Z221" s="1"/>
      <c r="AA221" s="133">
        <f>IF($J221=$G$2,ROUND(IF(ISNUMBER(S221),S221,IF(LEFT(S221,2)="DI",HLOOKUP(S221,DADOS!$T$29:$X$30,2,FALSE),0)),4),"")</f>
        <v>0.25</v>
      </c>
      <c r="AB221" s="2"/>
    </row>
    <row r="222" spans="1:28">
      <c r="A222" t="str">
        <f>CHOOSE(1+LOG(1+2*(J222=$C$2)+4*(J222=$D$2)+8*(J222=$E$2)+16*(J222=$F$2)+32*(J222=$G$2),2),0,1,2,3,4,"S")</f>
        <v>S</v>
      </c>
      <c r="B222">
        <f>IF(OR(A222="S",A222=0),0,IF(ISERROR(I222),H222,SMALL(H222:I222,1)))</f>
        <v>0</v>
      </c>
      <c r="C222">
        <f ca="1">IF($A222=1,OFFSET(C222,-1,0)+1,OFFSET(C222,-1,0))</f>
        <v>3</v>
      </c>
      <c r="D222">
        <f ca="1">IF($A222=1,0,IF($A222=2,OFFSET(D222,-1,0)+1,OFFSET(D222,-1,0)))</f>
        <v>1</v>
      </c>
      <c r="E222">
        <f ca="1">IF(AND($A222&lt;=2,$A222&lt;&gt;0),0,IF($A222=3,OFFSET(E222,-1,0)+1,OFFSET(E222,-1,0)))</f>
        <v>0</v>
      </c>
      <c r="F222">
        <f ca="1">IF(AND($A222&lt;=3,$A222&lt;&gt;0),0,IF($A222=4,OFFSET(F222,-1,0)+1,OFFSET(F222,-1,0)))</f>
        <v>0</v>
      </c>
      <c r="G222">
        <f ca="1">IF(AND($A222&lt;=4,$A222&lt;&gt;0),0,IF($A222="S",OFFSET(G222,-1,0)+1,OFFSET(G222,-1,0)))</f>
        <v>19</v>
      </c>
      <c r="H222">
        <f ca="1">IF(OR($A222="S",$A222=0),0,MATCH(0,OFFSET($B222,1,$A222,ROW($A$1504)-ROW($A222)),0))</f>
        <v>0</v>
      </c>
      <c r="I222">
        <f ca="1">IF(OR($A222="S",$A222=0),0,MATCH(OFFSET($B222,0,$A222)+1,OFFSET($B222,1,$A222,ROW($A$1504)-ROW($A222)),0))</f>
        <v>0</v>
      </c>
      <c r="J222" s="132" t="s">
        <v>29</v>
      </c>
      <c r="K222" s="121" t="str">
        <f ca="1">IF($A222=0,"-",CONCATENATE(C222&amp;".",IF(AND($A$5&gt;=2,$A222&gt;=2),D222&amp;".",""),IF(AND($A$5&gt;=3,$A222&gt;=3),E222&amp;".",""),IF(AND($A$5&gt;=4,$A222&gt;=4),F222&amp;".",""),IF($A222="S",G222&amp;".","")))</f>
        <v>3.1.19.</v>
      </c>
      <c r="L222" s="137" t="str">
        <f ca="1">IF(NOT(ISERROR($Y222)),IF($Y222&lt;&gt;FALSE,INDEX(Banco,$Y222,4),""),"")</f>
        <v>CREA</v>
      </c>
      <c r="M222" s="122" t="s">
        <v>80</v>
      </c>
      <c r="N222" s="139" t="s">
        <v>274</v>
      </c>
      <c r="O222" s="137" t="str">
        <f ca="1">IF(NOT(ISERROR($Y222)),IF($Y222&lt;&gt;FALSE,INDEX(Banco,$Y222,5),""),"")</f>
        <v>Engenheiro Sanitarista e Ambiental</v>
      </c>
      <c r="P222" s="138" t="str">
        <f ca="1">IF(NOT(ISERROR($Y222)),IF($Y222&lt;&gt;FALSE,INDEX(Banco,$Y222,6),""),"")</f>
        <v>Horas</v>
      </c>
      <c r="Q222" s="134">
        <v>4</v>
      </c>
      <c r="R222" s="124">
        <f ca="1">IF(NOT(ISERROR($Y222)),IF($Y222&lt;&gt;FALSE,INDEX(Banco,$Y222,7),0),0)</f>
        <v>91.88</v>
      </c>
      <c r="S222" s="136" t="s">
        <v>62</v>
      </c>
      <c r="T222" s="123">
        <f ca="1">IF($J222=$G$2,ROUND(ROUND($R222,2)*IF($R$9="Preço Unitário (R$)",1,1+$AA222),2),0)</f>
        <v>114.85</v>
      </c>
      <c r="U222" s="126">
        <f ca="1">IF($A222="S",VTOTAL1,IF($A222=0,0,ROUND(SomaAgrup,2)))</f>
        <v>459.4</v>
      </c>
      <c r="V222" s="1"/>
      <c r="W222" s="39" t="str">
        <f ca="1">IF(OR($A222=0,$A222="S",$A222&gt;CFF!$A$9),"",MAX(W$11:OFFSET(W222,-1,0))+1)</f>
        <v/>
      </c>
      <c r="X222" s="4" t="str">
        <f>IF(AND($J222=$G$2,$N222&lt;&gt;"",$M222&lt;&gt;""),CONCATENATE($M222,"-",$N222))</f>
        <v>Serv. Terc.-028</v>
      </c>
      <c r="Y222" s="39">
        <f ca="1">IF(X222&lt;&gt;FALSE,MATCH(X222,OFFSET(Banco,0,0,,1),0))</f>
        <v>108</v>
      </c>
      <c r="Z222" s="1"/>
      <c r="AA222" s="133">
        <f>IF($J222=$G$2,ROUND(IF(ISNUMBER(S222),S222,IF(LEFT(S222,2)="DI",HLOOKUP(S222,DADOS!$T$29:$X$30,2,FALSE),0)),4),"")</f>
        <v>0.25</v>
      </c>
      <c r="AB222" s="2"/>
    </row>
    <row r="223" spans="1:28">
      <c r="A223" t="str">
        <f t="shared" si="165"/>
        <v>S</v>
      </c>
      <c r="B223">
        <f t="shared" si="166"/>
        <v>0</v>
      </c>
      <c r="C223">
        <f t="shared" ca="1" si="167"/>
        <v>3</v>
      </c>
      <c r="D223">
        <f t="shared" ca="1" si="168"/>
        <v>1</v>
      </c>
      <c r="E223">
        <f t="shared" ca="1" si="169"/>
        <v>0</v>
      </c>
      <c r="F223">
        <f t="shared" ca="1" si="170"/>
        <v>0</v>
      </c>
      <c r="G223">
        <f t="shared" ca="1" si="171"/>
        <v>20</v>
      </c>
      <c r="H223">
        <f ca="1">IF(OR($A223="S",$A223=0),0,MATCH(0,OFFSET($B223,1,$A223,ROW($A$1504)-ROW($A223)),0))</f>
        <v>0</v>
      </c>
      <c r="I223">
        <f ca="1">IF(OR($A223="S",$A223=0),0,MATCH(OFFSET($B223,0,$A223)+1,OFFSET($B223,1,$A223,ROW($A$1504)-ROW($A223)),0))</f>
        <v>0</v>
      </c>
      <c r="J223" s="132" t="s">
        <v>29</v>
      </c>
      <c r="K223" s="121" t="str">
        <f t="shared" ca="1" si="172"/>
        <v>3.1.20.</v>
      </c>
      <c r="L223" s="137" t="str">
        <f t="shared" ca="1" si="173"/>
        <v>Cotação</v>
      </c>
      <c r="M223" s="122" t="s">
        <v>79</v>
      </c>
      <c r="N223" s="139" t="s">
        <v>149</v>
      </c>
      <c r="O223" s="137" t="str">
        <f t="shared" ca="1" si="174"/>
        <v>Papel A4</v>
      </c>
      <c r="P223" s="138" t="str">
        <f t="shared" ca="1" si="175"/>
        <v>Resma</v>
      </c>
      <c r="Q223" s="134">
        <v>1</v>
      </c>
      <c r="R223" s="124">
        <f t="shared" ca="1" si="176"/>
        <v>28</v>
      </c>
      <c r="S223" s="136" t="s">
        <v>62</v>
      </c>
      <c r="T223" s="123">
        <f t="shared" ca="1" si="177"/>
        <v>35</v>
      </c>
      <c r="U223" s="126">
        <f t="shared" ca="1" si="178"/>
        <v>35</v>
      </c>
      <c r="V223" s="1"/>
      <c r="W223" s="39" t="str">
        <f ca="1">IF(OR($A223=0,$A223="S",$A223&gt;CFF!$A$9),"",MAX(W$11:OFFSET(W223,-1,0))+1)</f>
        <v/>
      </c>
      <c r="X223" s="4" t="str">
        <f t="shared" si="179"/>
        <v>Rec. Materiais-001</v>
      </c>
      <c r="Y223" s="39">
        <f t="shared" ca="1" si="180"/>
        <v>10</v>
      </c>
      <c r="Z223" s="1"/>
      <c r="AA223" s="133">
        <f>IF($J223=$G$2,ROUND(IF(ISNUMBER(S223),S223,IF(LEFT(S223,2)="DI",HLOOKUP(S223,DADOS!$T$29:$X$30,2,FALSE),0)),4),"")</f>
        <v>0.25</v>
      </c>
      <c r="AB223" s="2"/>
    </row>
    <row r="224" spans="1:28">
      <c r="A224" t="str">
        <f t="shared" si="165"/>
        <v>S</v>
      </c>
      <c r="B224">
        <f t="shared" si="166"/>
        <v>0</v>
      </c>
      <c r="C224">
        <f t="shared" ca="1" si="167"/>
        <v>3</v>
      </c>
      <c r="D224">
        <f t="shared" ca="1" si="168"/>
        <v>1</v>
      </c>
      <c r="E224">
        <f t="shared" ca="1" si="169"/>
        <v>0</v>
      </c>
      <c r="F224">
        <f t="shared" ca="1" si="170"/>
        <v>0</v>
      </c>
      <c r="G224">
        <f t="shared" ca="1" si="171"/>
        <v>21</v>
      </c>
      <c r="H224">
        <f ca="1">IF(OR($A224="S",$A224=0),0,MATCH(0,OFFSET($B224,1,$A224,ROW($A$1504)-ROW($A224)),0))</f>
        <v>0</v>
      </c>
      <c r="I224">
        <f ca="1">IF(OR($A224="S",$A224=0),0,MATCH(OFFSET($B224,0,$A224)+1,OFFSET($B224,1,$A224,ROW($A$1504)-ROW($A224)),0))</f>
        <v>0</v>
      </c>
      <c r="J224" s="132" t="s">
        <v>29</v>
      </c>
      <c r="K224" s="121" t="str">
        <f t="shared" ca="1" si="172"/>
        <v>3.1.21.</v>
      </c>
      <c r="L224" s="137" t="str">
        <f t="shared" ca="1" si="173"/>
        <v>Cotação</v>
      </c>
      <c r="M224" s="122" t="s">
        <v>79</v>
      </c>
      <c r="N224" s="139" t="s">
        <v>152</v>
      </c>
      <c r="O224" s="137" t="str">
        <f t="shared" ca="1" si="174"/>
        <v>Toner para impressora</v>
      </c>
      <c r="P224" s="138" t="str">
        <f t="shared" ca="1" si="175"/>
        <v>Unidade</v>
      </c>
      <c r="Q224" s="134">
        <v>4</v>
      </c>
      <c r="R224" s="124">
        <f t="shared" ca="1" si="176"/>
        <v>180</v>
      </c>
      <c r="S224" s="136" t="s">
        <v>62</v>
      </c>
      <c r="T224" s="123">
        <f t="shared" ca="1" si="177"/>
        <v>225</v>
      </c>
      <c r="U224" s="126">
        <f t="shared" ca="1" si="178"/>
        <v>900</v>
      </c>
      <c r="V224" s="1"/>
      <c r="W224" s="39" t="str">
        <f ca="1">IF(OR($A224=0,$A224="S",$A224&gt;CFF!$A$9),"",MAX(W$11:OFFSET(W224,-1,0))+1)</f>
        <v/>
      </c>
      <c r="X224" s="4" t="str">
        <f t="shared" si="179"/>
        <v>Rec. Materiais-002</v>
      </c>
      <c r="Y224" s="39">
        <f t="shared" ca="1" si="180"/>
        <v>11</v>
      </c>
      <c r="Z224" s="1"/>
      <c r="AA224" s="133">
        <f>IF($J224=$G$2,ROUND(IF(ISNUMBER(S224),S224,IF(LEFT(S224,2)="DI",HLOOKUP(S224,DADOS!$T$29:$X$30,2,FALSE),0)),4),"")</f>
        <v>0.25</v>
      </c>
      <c r="AB224" s="2"/>
    </row>
    <row r="225" spans="1:28">
      <c r="A225" t="str">
        <f t="shared" si="165"/>
        <v>S</v>
      </c>
      <c r="B225">
        <f t="shared" si="166"/>
        <v>0</v>
      </c>
      <c r="C225">
        <f t="shared" ca="1" si="167"/>
        <v>3</v>
      </c>
      <c r="D225">
        <f t="shared" ca="1" si="168"/>
        <v>1</v>
      </c>
      <c r="E225">
        <f t="shared" ca="1" si="169"/>
        <v>0</v>
      </c>
      <c r="F225">
        <f t="shared" ca="1" si="170"/>
        <v>0</v>
      </c>
      <c r="G225">
        <f t="shared" ca="1" si="171"/>
        <v>22</v>
      </c>
      <c r="H225">
        <f ca="1">IF(OR($A225="S",$A225=0),0,MATCH(0,OFFSET($B225,1,$A225,ROW($A$1504)-ROW($A225)),0))</f>
        <v>0</v>
      </c>
      <c r="I225">
        <f ca="1">IF(OR($A225="S",$A225=0),0,MATCH(OFFSET($B225,0,$A225)+1,OFFSET($B225,1,$A225,ROW($A$1504)-ROW($A225)),0))</f>
        <v>0</v>
      </c>
      <c r="J225" s="132" t="s">
        <v>29</v>
      </c>
      <c r="K225" s="121" t="str">
        <f t="shared" ca="1" si="172"/>
        <v>3.1.22.</v>
      </c>
      <c r="L225" s="137" t="str">
        <f t="shared" ca="1" si="173"/>
        <v>Cotação</v>
      </c>
      <c r="M225" s="122" t="s">
        <v>79</v>
      </c>
      <c r="N225" s="139" t="s">
        <v>163</v>
      </c>
      <c r="O225" s="137" t="str">
        <f t="shared" ca="1" si="174"/>
        <v>Guloseimas (balas e pirulito)</v>
      </c>
      <c r="P225" s="138" t="str">
        <f t="shared" ca="1" si="175"/>
        <v>Pacote</v>
      </c>
      <c r="Q225" s="134">
        <v>8</v>
      </c>
      <c r="R225" s="124">
        <f t="shared" ca="1" si="176"/>
        <v>12</v>
      </c>
      <c r="S225" s="136" t="s">
        <v>62</v>
      </c>
      <c r="T225" s="123">
        <f t="shared" ca="1" si="177"/>
        <v>15</v>
      </c>
      <c r="U225" s="126">
        <f t="shared" ca="1" si="178"/>
        <v>120</v>
      </c>
      <c r="V225" s="1"/>
      <c r="W225" s="39" t="str">
        <f ca="1">IF(OR($A225=0,$A225="S",$A225&gt;CFF!$A$9),"",MAX(W$11:OFFSET(W225,-1,0))+1)</f>
        <v/>
      </c>
      <c r="X225" s="4" t="str">
        <f t="shared" si="179"/>
        <v>Rec. Materiais-020</v>
      </c>
      <c r="Y225" s="39">
        <f t="shared" ca="1" si="180"/>
        <v>29</v>
      </c>
      <c r="Z225" s="1"/>
      <c r="AA225" s="133">
        <f>IF($J225=$G$2,ROUND(IF(ISNUMBER(S225),S225,IF(LEFT(S225,2)="DI",HLOOKUP(S225,DADOS!$T$29:$X$30,2,FALSE),0)),4),"")</f>
        <v>0.25</v>
      </c>
      <c r="AB225" s="2"/>
    </row>
    <row r="226" spans="1:28">
      <c r="A226" t="str">
        <f t="shared" si="165"/>
        <v>S</v>
      </c>
      <c r="B226">
        <f t="shared" si="166"/>
        <v>0</v>
      </c>
      <c r="C226">
        <f t="shared" ca="1" si="167"/>
        <v>3</v>
      </c>
      <c r="D226">
        <f t="shared" ca="1" si="168"/>
        <v>1</v>
      </c>
      <c r="E226">
        <f t="shared" ca="1" si="169"/>
        <v>0</v>
      </c>
      <c r="F226">
        <f t="shared" ca="1" si="170"/>
        <v>0</v>
      </c>
      <c r="G226">
        <f t="shared" ca="1" si="171"/>
        <v>23</v>
      </c>
      <c r="H226">
        <f ca="1">IF(OR($A226="S",$A226=0),0,MATCH(0,OFFSET($B226,1,$A226,ROW($A$1504)-ROW($A226)),0))</f>
        <v>0</v>
      </c>
      <c r="I226">
        <f ca="1">IF(OR($A226="S",$A226=0),0,MATCH(OFFSET($B226,0,$A226)+1,OFFSET($B226,1,$A226,ROW($A$1504)-ROW($A226)),0))</f>
        <v>0</v>
      </c>
      <c r="J226" s="132" t="s">
        <v>29</v>
      </c>
      <c r="K226" s="121" t="str">
        <f t="shared" ca="1" si="172"/>
        <v>3.1.23.</v>
      </c>
      <c r="L226" s="137" t="str">
        <f t="shared" ca="1" si="173"/>
        <v>Cotação</v>
      </c>
      <c r="M226" s="122" t="s">
        <v>79</v>
      </c>
      <c r="N226" s="139" t="s">
        <v>165</v>
      </c>
      <c r="O226" s="137" t="str">
        <f t="shared" ca="1" si="174"/>
        <v>Papel de presente</v>
      </c>
      <c r="P226" s="138" t="str">
        <f t="shared" ca="1" si="175"/>
        <v>Folhas</v>
      </c>
      <c r="Q226" s="134">
        <v>16</v>
      </c>
      <c r="R226" s="124">
        <f t="shared" ca="1" si="176"/>
        <v>1.5</v>
      </c>
      <c r="S226" s="136" t="s">
        <v>62</v>
      </c>
      <c r="T226" s="123">
        <f t="shared" ca="1" si="177"/>
        <v>1.88</v>
      </c>
      <c r="U226" s="126">
        <f t="shared" ca="1" si="178"/>
        <v>30.08</v>
      </c>
      <c r="V226" s="1"/>
      <c r="W226" s="39" t="str">
        <f ca="1">IF(OR($A226=0,$A226="S",$A226&gt;CFF!$A$9),"",MAX(W$11:OFFSET(W226,-1,0))+1)</f>
        <v/>
      </c>
      <c r="X226" s="4" t="str">
        <f t="shared" si="179"/>
        <v>Rec. Materiais-021</v>
      </c>
      <c r="Y226" s="39">
        <f t="shared" ca="1" si="180"/>
        <v>30</v>
      </c>
      <c r="Z226" s="1"/>
      <c r="AA226" s="133">
        <f>IF($J226=$G$2,ROUND(IF(ISNUMBER(S226),S226,IF(LEFT(S226,2)="DI",HLOOKUP(S226,DADOS!$T$29:$X$30,2,FALSE),0)),4),"")</f>
        <v>0.25</v>
      </c>
      <c r="AB226" s="2"/>
    </row>
    <row r="227" spans="1:28">
      <c r="A227" t="str">
        <f t="shared" si="165"/>
        <v>S</v>
      </c>
      <c r="B227">
        <f t="shared" si="166"/>
        <v>0</v>
      </c>
      <c r="C227">
        <f t="shared" ca="1" si="167"/>
        <v>3</v>
      </c>
      <c r="D227">
        <f t="shared" ca="1" si="168"/>
        <v>1</v>
      </c>
      <c r="E227">
        <f t="shared" ca="1" si="169"/>
        <v>0</v>
      </c>
      <c r="F227">
        <f t="shared" ca="1" si="170"/>
        <v>0</v>
      </c>
      <c r="G227">
        <f t="shared" ca="1" si="171"/>
        <v>24</v>
      </c>
      <c r="H227">
        <f ca="1">IF(OR($A227="S",$A227=0),0,MATCH(0,OFFSET($B227,1,$A227,ROW($A$1504)-ROW($A227)),0))</f>
        <v>0</v>
      </c>
      <c r="I227">
        <f ca="1">IF(OR($A227="S",$A227=0),0,MATCH(OFFSET($B227,0,$A227)+1,OFFSET($B227,1,$A227,ROW($A$1504)-ROW($A227)),0))</f>
        <v>0</v>
      </c>
      <c r="J227" s="132" t="s">
        <v>29</v>
      </c>
      <c r="K227" s="121" t="str">
        <f t="shared" ca="1" si="172"/>
        <v>3.1.24.</v>
      </c>
      <c r="L227" s="137" t="str">
        <f t="shared" ca="1" si="173"/>
        <v>Cotação</v>
      </c>
      <c r="M227" s="122" t="s">
        <v>79</v>
      </c>
      <c r="N227" s="139" t="s">
        <v>170</v>
      </c>
      <c r="O227" s="137" t="str">
        <f t="shared" ca="1" si="174"/>
        <v>Saco de lixo (100 litros)</v>
      </c>
      <c r="P227" s="138" t="str">
        <f t="shared" ca="1" si="175"/>
        <v>Pacote</v>
      </c>
      <c r="Q227" s="134">
        <v>2</v>
      </c>
      <c r="R227" s="124">
        <f t="shared" ca="1" si="176"/>
        <v>15</v>
      </c>
      <c r="S227" s="136" t="s">
        <v>62</v>
      </c>
      <c r="T227" s="123">
        <f t="shared" ca="1" si="177"/>
        <v>18.75</v>
      </c>
      <c r="U227" s="126">
        <f t="shared" ca="1" si="178"/>
        <v>37.5</v>
      </c>
      <c r="V227" s="1"/>
      <c r="W227" s="39" t="str">
        <f ca="1">IF(OR($A227=0,$A227="S",$A227&gt;CFF!$A$9),"",MAX(W$11:OFFSET(W227,-1,0))+1)</f>
        <v/>
      </c>
      <c r="X227" s="4" t="str">
        <f t="shared" si="179"/>
        <v>Rec. Materiais-026</v>
      </c>
      <c r="Y227" s="39">
        <f t="shared" ca="1" si="180"/>
        <v>35</v>
      </c>
      <c r="Z227" s="1"/>
      <c r="AA227" s="133">
        <f>IF($J227=$G$2,ROUND(IF(ISNUMBER(S227),S227,IF(LEFT(S227,2)="DI",HLOOKUP(S227,DADOS!$T$29:$X$30,2,FALSE),0)),4),"")</f>
        <v>0.25</v>
      </c>
      <c r="AB227" s="2"/>
    </row>
    <row r="228" spans="1:28">
      <c r="A228" t="str">
        <f t="shared" ref="A228:A249" si="181">CHOOSE(1+LOG(1+2*(J228=$C$2)+4*(J228=$D$2)+8*(J228=$E$2)+16*(J228=$F$2)+32*(J228=$G$2),2),0,1,2,3,4,"S")</f>
        <v>S</v>
      </c>
      <c r="B228">
        <f t="shared" ref="B228:B249" si="182">IF(OR(A228="S",A228=0),0,IF(ISERROR(I228),H228,SMALL(H228:I228,1)))</f>
        <v>0</v>
      </c>
      <c r="C228">
        <f t="shared" ref="C228:C274" ca="1" si="183">IF($A228=1,OFFSET(C228,-1,0)+1,OFFSET(C228,-1,0))</f>
        <v>3</v>
      </c>
      <c r="D228">
        <f t="shared" ref="D228:D274" ca="1" si="184">IF($A228=1,0,IF($A228=2,OFFSET(D228,-1,0)+1,OFFSET(D228,-1,0)))</f>
        <v>1</v>
      </c>
      <c r="E228">
        <f t="shared" ref="E228:E274" ca="1" si="185">IF(AND($A228&lt;=2,$A228&lt;&gt;0),0,IF($A228=3,OFFSET(E228,-1,0)+1,OFFSET(E228,-1,0)))</f>
        <v>0</v>
      </c>
      <c r="F228">
        <f t="shared" ref="F228:F274" ca="1" si="186">IF(AND($A228&lt;=3,$A228&lt;&gt;0),0,IF($A228=4,OFFSET(F228,-1,0)+1,OFFSET(F228,-1,0)))</f>
        <v>0</v>
      </c>
      <c r="G228">
        <f t="shared" ref="G228:G274" ca="1" si="187">IF(AND($A228&lt;=4,$A228&lt;&gt;0),0,IF($A228="S",OFFSET(G228,-1,0)+1,OFFSET(G228,-1,0)))</f>
        <v>25</v>
      </c>
      <c r="H228">
        <f ca="1">IF(OR($A228="S",$A228=0),0,MATCH(0,OFFSET($B228,1,$A228,ROW($A$1504)-ROW($A228)),0))</f>
        <v>0</v>
      </c>
      <c r="I228">
        <f ca="1">IF(OR($A228="S",$A228=0),0,MATCH(OFFSET($B228,0,$A228)+1,OFFSET($B228,1,$A228,ROW($A$1504)-ROW($A228)),0))</f>
        <v>0</v>
      </c>
      <c r="J228" s="132" t="s">
        <v>29</v>
      </c>
      <c r="K228" s="121" t="str">
        <f t="shared" ref="K228:K249" ca="1" si="188">IF($A228=0,"-",CONCATENATE(C228&amp;".",IF(AND($A$5&gt;=2,$A228&gt;=2),D228&amp;".",""),IF(AND($A$5&gt;=3,$A228&gt;=3),E228&amp;".",""),IF(AND($A$5&gt;=4,$A228&gt;=4),F228&amp;".",""),IF($A228="S",G228&amp;".","")))</f>
        <v>3.1.25.</v>
      </c>
      <c r="L228" s="137" t="str">
        <f t="shared" ref="L228:L274" ca="1" si="189">IF(NOT(ISERROR($Y228)),IF($Y228&lt;&gt;FALSE,INDEX(Banco,$Y228,4),""),"")</f>
        <v>Cotação</v>
      </c>
      <c r="M228" s="122" t="s">
        <v>79</v>
      </c>
      <c r="N228" s="139" t="s">
        <v>164</v>
      </c>
      <c r="O228" s="137" t="str">
        <f ca="1">IF(NOT(ISERROR($Y228)),IF($Y228&lt;&gt;FALSE,INDEX(Banco,$Y228,5),""),"")</f>
        <v>Copos descartáveis (2500 unidades)</v>
      </c>
      <c r="P228" s="138" t="str">
        <f t="shared" ref="P228:P274" ca="1" si="190">IF(NOT(ISERROR($Y228)),IF($Y228&lt;&gt;FALSE,INDEX(Banco,$Y228,6),""),"")</f>
        <v>Caixa</v>
      </c>
      <c r="Q228" s="134">
        <v>1</v>
      </c>
      <c r="R228" s="124">
        <f t="shared" ref="R228:R274" ca="1" si="191">IF(NOT(ISERROR($Y228)),IF($Y228&lt;&gt;FALSE,INDEX(Banco,$Y228,7),0),0)</f>
        <v>77.400000000000006</v>
      </c>
      <c r="S228" s="136" t="s">
        <v>62</v>
      </c>
      <c r="T228" s="123">
        <f t="shared" ref="T228:T274" ca="1" si="192">IF($J228=$G$2,ROUND(ROUND($R228,2)*IF($R$9="Preço Unitário (R$)",1,1+$AA228),2),0)</f>
        <v>96.75</v>
      </c>
      <c r="U228" s="126">
        <f t="shared" ref="U228:U274" ca="1" si="193">IF($A228="S",VTOTAL1,IF($A228=0,0,ROUND(SomaAgrup,2)))</f>
        <v>96.75</v>
      </c>
      <c r="V228" s="1"/>
      <c r="W228" s="39" t="str">
        <f ca="1">IF(OR($A228=0,$A228="S",$A228&gt;CFF!$A$9),"",MAX(W$11:OFFSET(W228,-1,0))+1)</f>
        <v/>
      </c>
      <c r="X228" s="4" t="str">
        <f t="shared" ref="X228:X274" si="194">IF(AND($J228=$G$2,$N228&lt;&gt;"",$M228&lt;&gt;""),CONCATENATE($M228,"-",$N228))</f>
        <v>Rec. Materiais-019</v>
      </c>
      <c r="Y228" s="39">
        <f t="shared" ref="Y228:Y249" ca="1" si="195">IF(X228&lt;&gt;FALSE,MATCH(X228,OFFSET(Banco,0,0,,1),0))</f>
        <v>28</v>
      </c>
      <c r="Z228" s="1"/>
      <c r="AA228" s="133">
        <f>IF($J228=$G$2,ROUND(IF(ISNUMBER(S228),S228,IF(LEFT(S228,2)="DI",HLOOKUP(S228,DADOS!$T$29:$X$30,2,FALSE),0)),4),"")</f>
        <v>0.25</v>
      </c>
      <c r="AB228" s="2"/>
    </row>
    <row r="229" spans="1:28">
      <c r="A229" t="str">
        <f t="shared" si="181"/>
        <v>S</v>
      </c>
      <c r="B229">
        <f t="shared" si="182"/>
        <v>0</v>
      </c>
      <c r="C229">
        <f t="shared" ca="1" si="183"/>
        <v>3</v>
      </c>
      <c r="D229">
        <f t="shared" ca="1" si="184"/>
        <v>1</v>
      </c>
      <c r="E229">
        <f t="shared" ca="1" si="185"/>
        <v>0</v>
      </c>
      <c r="F229">
        <f t="shared" ca="1" si="186"/>
        <v>0</v>
      </c>
      <c r="G229">
        <f t="shared" ca="1" si="187"/>
        <v>26</v>
      </c>
      <c r="H229">
        <f ca="1">IF(OR($A229="S",$A229=0),0,MATCH(0,OFFSET($B229,1,$A229,ROW($A$1504)-ROW($A229)),0))</f>
        <v>0</v>
      </c>
      <c r="I229">
        <f ca="1">IF(OR($A229="S",$A229=0),0,MATCH(OFFSET($B229,0,$A229)+1,OFFSET($B229,1,$A229,ROW($A$1504)-ROW($A229)),0))</f>
        <v>0</v>
      </c>
      <c r="J229" s="132" t="s">
        <v>29</v>
      </c>
      <c r="K229" s="121" t="str">
        <f t="shared" ca="1" si="188"/>
        <v>3.1.26.</v>
      </c>
      <c r="L229" s="137" t="str">
        <f t="shared" ca="1" si="189"/>
        <v>Cotação</v>
      </c>
      <c r="M229" s="122" t="s">
        <v>80</v>
      </c>
      <c r="N229" s="139" t="s">
        <v>164</v>
      </c>
      <c r="O229" s="137" t="str">
        <f ca="1">IF(NOT(ISERROR($Y229)),IF($Y229&lt;&gt;FALSE,INDEX(Banco,$Y229,5),""),"")</f>
        <v>Cartilha/Miolo: 20 pgs. 15x21cm, 4 cores, tinta escala em couche</v>
      </c>
      <c r="P229" s="138" t="str">
        <f t="shared" ca="1" si="190"/>
        <v>Unidade</v>
      </c>
      <c r="Q229" s="134">
        <v>651</v>
      </c>
      <c r="R229" s="124">
        <f t="shared" ca="1" si="191"/>
        <v>20</v>
      </c>
      <c r="S229" s="136" t="s">
        <v>62</v>
      </c>
      <c r="T229" s="123">
        <f t="shared" ca="1" si="192"/>
        <v>25</v>
      </c>
      <c r="U229" s="126">
        <f t="shared" ca="1" si="193"/>
        <v>16275</v>
      </c>
      <c r="V229" s="1"/>
      <c r="W229" s="39" t="str">
        <f ca="1">IF(OR($A229=0,$A229="S",$A229&gt;CFF!$A$9),"",MAX(W$11:OFFSET(W229,-1,0))+1)</f>
        <v/>
      </c>
      <c r="X229" s="4" t="str">
        <f t="shared" si="194"/>
        <v>Serv. Terc.-019</v>
      </c>
      <c r="Y229" s="39">
        <f t="shared" ca="1" si="195"/>
        <v>99</v>
      </c>
      <c r="Z229" s="1"/>
      <c r="AA229" s="133">
        <f>IF($J229=$G$2,ROUND(IF(ISNUMBER(S229),S229,IF(LEFT(S229,2)="DI",HLOOKUP(S229,DADOS!$T$29:$X$30,2,FALSE),0)),4),"")</f>
        <v>0.25</v>
      </c>
      <c r="AB229" s="2"/>
    </row>
    <row r="230" spans="1:28" ht="25.5">
      <c r="A230">
        <f>CHOOSE(1+LOG(1+2*(J230=$C$2)+4*(J230=$D$2)+8*(J230=$E$2)+16*(J230=$F$2)+32*(J230=$G$2),2),0,1,2,3,4,"S")</f>
        <v>2</v>
      </c>
      <c r="B230">
        <f ca="1">IF(OR(A230="S",A230=0),0,IF(ISERROR(I230),H230,SMALL(H230:I230,1)))</f>
        <v>20</v>
      </c>
      <c r="C230">
        <f ca="1">IF($A230=1,OFFSET(C230,-1,0)+1,OFFSET(C230,-1,0))</f>
        <v>3</v>
      </c>
      <c r="D230">
        <f ca="1">IF($A230=1,0,IF($A230=2,OFFSET(D230,-1,0)+1,OFFSET(D230,-1,0)))</f>
        <v>2</v>
      </c>
      <c r="E230">
        <f ca="1">IF(AND($A230&lt;=2,$A230&lt;&gt;0),0,IF($A230=3,OFFSET(E230,-1,0)+1,OFFSET(E230,-1,0)))</f>
        <v>0</v>
      </c>
      <c r="F230">
        <f ca="1">IF(AND($A230&lt;=3,$A230&lt;&gt;0),0,IF($A230=4,OFFSET(F230,-1,0)+1,OFFSET(F230,-1,0)))</f>
        <v>0</v>
      </c>
      <c r="G230">
        <f ca="1">IF(AND($A230&lt;=4,$A230&lt;&gt;0),0,IF($A230="S",OFFSET(G230,-1,0)+1,OFFSET(G230,-1,0)))</f>
        <v>0</v>
      </c>
      <c r="H230">
        <f ca="1">IF(OR($A230="S",$A230=0),0,MATCH(0,OFFSET($B230,1,$A230,ROW($A$1504)-ROW($A230)),0))</f>
        <v>40</v>
      </c>
      <c r="I230">
        <f ca="1">IF(OR($A230="S",$A230=0),0,MATCH(OFFSET($B230,0,$A230)+1,OFFSET($B230,1,$A230,ROW($A$1504)-ROW($A230)),0))</f>
        <v>20</v>
      </c>
      <c r="J230" s="132" t="s">
        <v>68</v>
      </c>
      <c r="K230" s="121" t="str">
        <f ca="1">IF($A230=0,"-",CONCATENATE(C230&amp;".",IF(AND($A$5&gt;=2,$A230&gt;=2),D230&amp;".",""),IF(AND($A$5&gt;=3,$A230&gt;=3),E230&amp;".",""),IF(AND($A$5&gt;=4,$A230&gt;=4),F230&amp;".",""),IF($A230="S",G230&amp;".","")))</f>
        <v>3.2.</v>
      </c>
      <c r="L230" s="137" t="str">
        <f ca="1">IF(NOT(ISERROR($Y230)),IF($Y230&lt;&gt;FALSE,INDEX(Banco,$Y230,4),""),"")</f>
        <v/>
      </c>
      <c r="M230" s="122"/>
      <c r="N230" s="139"/>
      <c r="O230" s="137" t="s">
        <v>359</v>
      </c>
      <c r="P230" s="138" t="str">
        <f ca="1">IF(NOT(ISERROR($Y230)),IF($Y230&lt;&gt;FALSE,INDEX(Banco,$Y230,6),""),"")</f>
        <v/>
      </c>
      <c r="Q230" s="134"/>
      <c r="R230" s="124">
        <f ca="1">IF(NOT(ISERROR($Y230)),IF($Y230&lt;&gt;FALSE,INDEX(Banco,$Y230,7),0),0)</f>
        <v>0</v>
      </c>
      <c r="S230" s="136" t="s">
        <v>62</v>
      </c>
      <c r="T230" s="123">
        <f>IF($J230=$G$2,ROUND(ROUND($R230,2)*IF($R$9="Preço Unitário (R$)",1,1+$AA230),2),0)</f>
        <v>0</v>
      </c>
      <c r="U230" s="126">
        <f ca="1">IF($A230="S",VTOTAL1,IF($A230=0,0,ROUND(SomaAgrup,2)))</f>
        <v>15473.52</v>
      </c>
      <c r="V230" s="1"/>
      <c r="W230" s="39">
        <f ca="1">IF(OR($A230=0,$A230="S",$A230&gt;CFF!$A$9),"",MAX(W$11:OFFSET(W230,-1,0))+1)</f>
        <v>15</v>
      </c>
      <c r="X230" s="4" t="b">
        <f>IF(AND($J230=$G$2,$N230&lt;&gt;"",$M230&lt;&gt;""),CONCATENATE($M230,"-",$N230))</f>
        <v>0</v>
      </c>
      <c r="Y230" s="39" t="b">
        <f ca="1">IF(X230&lt;&gt;FALSE,MATCH(X230,OFFSET(Banco,0,0,,1),0))</f>
        <v>0</v>
      </c>
      <c r="Z230" s="1"/>
      <c r="AA230" s="133" t="str">
        <f>IF($J230=$G$2,ROUND(IF(ISNUMBER(S230),S230,IF(LEFT(S230,2)="DI",HLOOKUP(S230,DADOS!$T$29:$X$30,2,FALSE),0)),4),"")</f>
        <v/>
      </c>
      <c r="AB230" s="2"/>
    </row>
    <row r="231" spans="1:28">
      <c r="A231" t="str">
        <f t="shared" si="181"/>
        <v>S</v>
      </c>
      <c r="B231">
        <f t="shared" si="182"/>
        <v>0</v>
      </c>
      <c r="C231">
        <f t="shared" ca="1" si="183"/>
        <v>3</v>
      </c>
      <c r="D231">
        <f t="shared" ca="1" si="184"/>
        <v>2</v>
      </c>
      <c r="E231">
        <f t="shared" ca="1" si="185"/>
        <v>0</v>
      </c>
      <c r="F231">
        <f t="shared" ca="1" si="186"/>
        <v>0</v>
      </c>
      <c r="G231">
        <f t="shared" ca="1" si="187"/>
        <v>1</v>
      </c>
      <c r="H231">
        <f ca="1">IF(OR($A231="S",$A231=0),0,MATCH(0,OFFSET($B231,1,$A231,ROW($A$1504)-ROW($A231)),0))</f>
        <v>0</v>
      </c>
      <c r="I231">
        <f ca="1">IF(OR($A231="S",$A231=0),0,MATCH(OFFSET($B231,0,$A231)+1,OFFSET($B231,1,$A231,ROW($A$1504)-ROW($A231)),0))</f>
        <v>0</v>
      </c>
      <c r="J231" s="132" t="s">
        <v>29</v>
      </c>
      <c r="K231" s="121" t="str">
        <f t="shared" ca="1" si="188"/>
        <v>3.2.1.</v>
      </c>
      <c r="L231" s="137" t="str">
        <f t="shared" ca="1" si="189"/>
        <v>CRESS</v>
      </c>
      <c r="M231" s="122" t="s">
        <v>78</v>
      </c>
      <c r="N231" s="139" t="s">
        <v>149</v>
      </c>
      <c r="O231" s="137" t="str">
        <f t="shared" ref="O231:O249" ca="1" si="196">IF(NOT(ISERROR($Y231)),IF($Y231&lt;&gt;FALSE,INDEX(Banco,$Y231,5),""),"")</f>
        <v>Responsável Técnica</v>
      </c>
      <c r="P231" s="138" t="str">
        <f t="shared" ca="1" si="190"/>
        <v>Horas</v>
      </c>
      <c r="Q231" s="134">
        <v>9</v>
      </c>
      <c r="R231" s="124">
        <f t="shared" ca="1" si="191"/>
        <v>150.28</v>
      </c>
      <c r="S231" s="136" t="s">
        <v>62</v>
      </c>
      <c r="T231" s="123">
        <f t="shared" ca="1" si="192"/>
        <v>187.85</v>
      </c>
      <c r="U231" s="126">
        <f t="shared" ca="1" si="193"/>
        <v>1690.65</v>
      </c>
      <c r="V231" s="1"/>
      <c r="W231" s="39" t="str">
        <f ca="1">IF(OR($A231=0,$A231="S",$A231&gt;CFF!$A$9),"",MAX(W$11:OFFSET(W231,-1,0))+1)</f>
        <v/>
      </c>
      <c r="X231" s="4" t="str">
        <f t="shared" si="194"/>
        <v>Rec. Humanos-001</v>
      </c>
      <c r="Y231" s="39">
        <f t="shared" ca="1" si="195"/>
        <v>3</v>
      </c>
      <c r="Z231" s="1"/>
      <c r="AA231" s="133">
        <f>IF($J231=$G$2,ROUND(IF(ISNUMBER(S231),S231,IF(LEFT(S231,2)="DI",HLOOKUP(S231,DADOS!$T$29:$X$30,2,FALSE),0)),4),"")</f>
        <v>0.25</v>
      </c>
      <c r="AB231" s="2"/>
    </row>
    <row r="232" spans="1:28">
      <c r="A232" t="str">
        <f t="shared" si="181"/>
        <v>S</v>
      </c>
      <c r="B232">
        <f t="shared" si="182"/>
        <v>0</v>
      </c>
      <c r="C232">
        <f t="shared" ca="1" si="183"/>
        <v>3</v>
      </c>
      <c r="D232">
        <f t="shared" ca="1" si="184"/>
        <v>2</v>
      </c>
      <c r="E232">
        <f t="shared" ca="1" si="185"/>
        <v>0</v>
      </c>
      <c r="F232">
        <f t="shared" ca="1" si="186"/>
        <v>0</v>
      </c>
      <c r="G232">
        <f t="shared" ca="1" si="187"/>
        <v>2</v>
      </c>
      <c r="H232">
        <f ca="1">IF(OR($A232="S",$A232=0),0,MATCH(0,OFFSET($B232,1,$A232,ROW($A$1504)-ROW($A232)),0))</f>
        <v>0</v>
      </c>
      <c r="I232">
        <f ca="1">IF(OR($A232="S",$A232=0),0,MATCH(OFFSET($B232,0,$A232)+1,OFFSET($B232,1,$A232,ROW($A$1504)-ROW($A232)),0))</f>
        <v>0</v>
      </c>
      <c r="J232" s="132" t="s">
        <v>29</v>
      </c>
      <c r="K232" s="121" t="str">
        <f t="shared" ca="1" si="188"/>
        <v>3.2.2.</v>
      </c>
      <c r="L232" s="137" t="str">
        <f t="shared" ca="1" si="189"/>
        <v>CRESS</v>
      </c>
      <c r="M232" s="122" t="s">
        <v>78</v>
      </c>
      <c r="N232" s="139" t="s">
        <v>152</v>
      </c>
      <c r="O232" s="137" t="str">
        <f t="shared" ca="1" si="196"/>
        <v>Assistente Social</v>
      </c>
      <c r="P232" s="138" t="str">
        <f t="shared" ca="1" si="190"/>
        <v>Horas</v>
      </c>
      <c r="Q232" s="134">
        <v>7</v>
      </c>
      <c r="R232" s="124">
        <f t="shared" ca="1" si="191"/>
        <v>133.81</v>
      </c>
      <c r="S232" s="136" t="s">
        <v>62</v>
      </c>
      <c r="T232" s="123">
        <f t="shared" ca="1" si="192"/>
        <v>167.26</v>
      </c>
      <c r="U232" s="126">
        <f t="shared" ca="1" si="193"/>
        <v>1170.82</v>
      </c>
      <c r="V232" s="1"/>
      <c r="W232" s="39" t="str">
        <f ca="1">IF(OR($A232=0,$A232="S",$A232&gt;CFF!$A$9),"",MAX(W$11:OFFSET(W232,-1,0))+1)</f>
        <v/>
      </c>
      <c r="X232" s="4" t="str">
        <f t="shared" si="194"/>
        <v>Rec. Humanos-002</v>
      </c>
      <c r="Y232" s="39">
        <f t="shared" ca="1" si="195"/>
        <v>4</v>
      </c>
      <c r="Z232" s="1"/>
      <c r="AA232" s="133">
        <f>IF($J232=$G$2,ROUND(IF(ISNUMBER(S232),S232,IF(LEFT(S232,2)="DI",HLOOKUP(S232,DADOS!$T$29:$X$30,2,FALSE),0)),4),"")</f>
        <v>0.25</v>
      </c>
      <c r="AB232" s="2"/>
    </row>
    <row r="233" spans="1:28">
      <c r="A233" t="str">
        <f t="shared" si="181"/>
        <v>S</v>
      </c>
      <c r="B233">
        <f t="shared" si="182"/>
        <v>0</v>
      </c>
      <c r="C233">
        <f t="shared" ca="1" si="183"/>
        <v>3</v>
      </c>
      <c r="D233">
        <f t="shared" ca="1" si="184"/>
        <v>2</v>
      </c>
      <c r="E233">
        <f t="shared" ca="1" si="185"/>
        <v>0</v>
      </c>
      <c r="F233">
        <f t="shared" ca="1" si="186"/>
        <v>0</v>
      </c>
      <c r="G233">
        <f t="shared" ca="1" si="187"/>
        <v>3</v>
      </c>
      <c r="H233">
        <f ca="1">IF(OR($A233="S",$A233=0),0,MATCH(0,OFFSET($B233,1,$A233,ROW($A$1504)-ROW($A233)),0))</f>
        <v>0</v>
      </c>
      <c r="I233">
        <f ca="1">IF(OR($A233="S",$A233=0),0,MATCH(OFFSET($B233,0,$A233)+1,OFFSET($B233,1,$A233,ROW($A$1504)-ROW($A233)),0))</f>
        <v>0</v>
      </c>
      <c r="J233" s="132" t="s">
        <v>29</v>
      </c>
      <c r="K233" s="121" t="str">
        <f t="shared" ca="1" si="188"/>
        <v>3.2.3.</v>
      </c>
      <c r="L233" s="137" t="str">
        <f t="shared" ca="1" si="189"/>
        <v>Cotação</v>
      </c>
      <c r="M233" s="122" t="s">
        <v>78</v>
      </c>
      <c r="N233" s="139" t="s">
        <v>151</v>
      </c>
      <c r="O233" s="137" t="str">
        <f t="shared" ca="1" si="196"/>
        <v xml:space="preserve">Administrador (Técnico de Apoio) </v>
      </c>
      <c r="P233" s="138" t="str">
        <f t="shared" ca="1" si="190"/>
        <v>Horas</v>
      </c>
      <c r="Q233" s="134">
        <v>4</v>
      </c>
      <c r="R233" s="124">
        <f t="shared" ca="1" si="191"/>
        <v>103.65</v>
      </c>
      <c r="S233" s="136" t="s">
        <v>62</v>
      </c>
      <c r="T233" s="123">
        <f t="shared" ca="1" si="192"/>
        <v>129.56</v>
      </c>
      <c r="U233" s="126">
        <f t="shared" ca="1" si="193"/>
        <v>518.24</v>
      </c>
      <c r="V233" s="1"/>
      <c r="W233" s="39" t="str">
        <f ca="1">IF(OR($A233=0,$A233="S",$A233&gt;CFF!$A$9),"",MAX(W$11:OFFSET(W233,-1,0))+1)</f>
        <v/>
      </c>
      <c r="X233" s="4" t="str">
        <f t="shared" si="194"/>
        <v>Rec. Humanos-003</v>
      </c>
      <c r="Y233" s="39">
        <f t="shared" ca="1" si="195"/>
        <v>5</v>
      </c>
      <c r="Z233" s="1"/>
      <c r="AA233" s="133">
        <f>IF($J233=$G$2,ROUND(IF(ISNUMBER(S233),S233,IF(LEFT(S233,2)="DI",HLOOKUP(S233,DADOS!$T$29:$X$30,2,FALSE),0)),4),"")</f>
        <v>0.25</v>
      </c>
      <c r="AB233" s="2"/>
    </row>
    <row r="234" spans="1:28">
      <c r="A234" t="str">
        <f t="shared" si="181"/>
        <v>S</v>
      </c>
      <c r="B234">
        <f t="shared" si="182"/>
        <v>0</v>
      </c>
      <c r="C234">
        <f t="shared" ca="1" si="183"/>
        <v>3</v>
      </c>
      <c r="D234">
        <f t="shared" ca="1" si="184"/>
        <v>2</v>
      </c>
      <c r="E234">
        <f t="shared" ca="1" si="185"/>
        <v>0</v>
      </c>
      <c r="F234">
        <f t="shared" ca="1" si="186"/>
        <v>0</v>
      </c>
      <c r="G234">
        <f t="shared" ca="1" si="187"/>
        <v>4</v>
      </c>
      <c r="H234">
        <f ca="1">IF(OR($A234="S",$A234=0),0,MATCH(0,OFFSET($B234,1,$A234,ROW($A$1504)-ROW($A234)),0))</f>
        <v>0</v>
      </c>
      <c r="I234">
        <f ca="1">IF(OR($A234="S",$A234=0),0,MATCH(OFFSET($B234,0,$A234)+1,OFFSET($B234,1,$A234,ROW($A$1504)-ROW($A234)),0))</f>
        <v>0</v>
      </c>
      <c r="J234" s="132" t="s">
        <v>29</v>
      </c>
      <c r="K234" s="121" t="str">
        <f t="shared" ca="1" si="188"/>
        <v>3.2.4.</v>
      </c>
      <c r="L234" s="137" t="str">
        <f t="shared" ca="1" si="189"/>
        <v>SINE</v>
      </c>
      <c r="M234" s="122" t="s">
        <v>78</v>
      </c>
      <c r="N234" s="139" t="s">
        <v>153</v>
      </c>
      <c r="O234" s="137" t="str">
        <f t="shared" ca="1" si="196"/>
        <v>Estagiários</v>
      </c>
      <c r="P234" s="138" t="str">
        <f t="shared" ca="1" si="190"/>
        <v>Horas</v>
      </c>
      <c r="Q234" s="134">
        <v>13</v>
      </c>
      <c r="R234" s="124">
        <f t="shared" ca="1" si="191"/>
        <v>9.7899999999999991</v>
      </c>
      <c r="S234" s="136" t="s">
        <v>62</v>
      </c>
      <c r="T234" s="123">
        <f t="shared" ca="1" si="192"/>
        <v>12.24</v>
      </c>
      <c r="U234" s="126">
        <f t="shared" ca="1" si="193"/>
        <v>159.12</v>
      </c>
      <c r="V234" s="1"/>
      <c r="W234" s="39" t="str">
        <f ca="1">IF(OR($A234=0,$A234="S",$A234&gt;CFF!$A$9),"",MAX(W$11:OFFSET(W234,-1,0))+1)</f>
        <v/>
      </c>
      <c r="X234" s="4" t="str">
        <f t="shared" si="194"/>
        <v>Rec. Humanos-004</v>
      </c>
      <c r="Y234" s="39">
        <f t="shared" ca="1" si="195"/>
        <v>6</v>
      </c>
      <c r="Z234" s="1"/>
      <c r="AA234" s="133">
        <f>IF($J234=$G$2,ROUND(IF(ISNUMBER(S234),S234,IF(LEFT(S234,2)="DI",HLOOKUP(S234,DADOS!$T$29:$X$30,2,FALSE),0)),4),"")</f>
        <v>0.25</v>
      </c>
      <c r="AB234" s="2"/>
    </row>
    <row r="235" spans="1:28">
      <c r="A235" t="str">
        <f t="shared" si="181"/>
        <v>S</v>
      </c>
      <c r="B235">
        <f t="shared" si="182"/>
        <v>0</v>
      </c>
      <c r="C235">
        <f t="shared" ca="1" si="183"/>
        <v>3</v>
      </c>
      <c r="D235">
        <f t="shared" ca="1" si="184"/>
        <v>2</v>
      </c>
      <c r="E235">
        <f t="shared" ca="1" si="185"/>
        <v>0</v>
      </c>
      <c r="F235">
        <f t="shared" ca="1" si="186"/>
        <v>0</v>
      </c>
      <c r="G235">
        <f t="shared" ca="1" si="187"/>
        <v>5</v>
      </c>
      <c r="H235">
        <f ca="1">IF(OR($A235="S",$A235=0),0,MATCH(0,OFFSET($B235,1,$A235,ROW($A$1504)-ROW($A235)),0))</f>
        <v>0</v>
      </c>
      <c r="I235">
        <f ca="1">IF(OR($A235="S",$A235=0),0,MATCH(OFFSET($B235,0,$A235)+1,OFFSET($B235,1,$A235,ROW($A$1504)-ROW($A235)),0))</f>
        <v>0</v>
      </c>
      <c r="J235" s="132" t="s">
        <v>29</v>
      </c>
      <c r="K235" s="121" t="str">
        <f t="shared" ca="1" si="188"/>
        <v>3.2.5.</v>
      </c>
      <c r="L235" s="137" t="str">
        <f t="shared" ca="1" si="189"/>
        <v>Cotação</v>
      </c>
      <c r="M235" s="122" t="s">
        <v>80</v>
      </c>
      <c r="N235" s="139" t="s">
        <v>149</v>
      </c>
      <c r="O235" s="137" t="str">
        <f t="shared" ca="1" si="196"/>
        <v>Fotocópias</v>
      </c>
      <c r="P235" s="138" t="str">
        <f t="shared" ca="1" si="190"/>
        <v>Unidade</v>
      </c>
      <c r="Q235" s="134">
        <v>100</v>
      </c>
      <c r="R235" s="124">
        <f t="shared" ca="1" si="191"/>
        <v>0.3</v>
      </c>
      <c r="S235" s="136" t="s">
        <v>62</v>
      </c>
      <c r="T235" s="123">
        <f t="shared" ca="1" si="192"/>
        <v>0.38</v>
      </c>
      <c r="U235" s="126">
        <f t="shared" ca="1" si="193"/>
        <v>38</v>
      </c>
      <c r="V235" s="1"/>
      <c r="W235" s="39" t="str">
        <f ca="1">IF(OR($A235=0,$A235="S",$A235&gt;CFF!$A$9),"",MAX(W$11:OFFSET(W235,-1,0))+1)</f>
        <v/>
      </c>
      <c r="X235" s="4" t="str">
        <f t="shared" si="194"/>
        <v>Serv. Terc.-001</v>
      </c>
      <c r="Y235" s="39">
        <f t="shared" ca="1" si="195"/>
        <v>81</v>
      </c>
      <c r="Z235" s="1"/>
      <c r="AA235" s="133">
        <f>IF($J235=$G$2,ROUND(IF(ISNUMBER(S235),S235,IF(LEFT(S235,2)="DI",HLOOKUP(S235,DADOS!$T$29:$X$30,2,FALSE),0)),4),"")</f>
        <v>0.25</v>
      </c>
      <c r="AB235" s="2"/>
    </row>
    <row r="236" spans="1:28">
      <c r="A236" t="str">
        <f t="shared" si="181"/>
        <v>S</v>
      </c>
      <c r="B236">
        <f t="shared" si="182"/>
        <v>0</v>
      </c>
      <c r="C236">
        <f t="shared" ca="1" si="183"/>
        <v>3</v>
      </c>
      <c r="D236">
        <f t="shared" ca="1" si="184"/>
        <v>2</v>
      </c>
      <c r="E236">
        <f t="shared" ca="1" si="185"/>
        <v>0</v>
      </c>
      <c r="F236">
        <f t="shared" ca="1" si="186"/>
        <v>0</v>
      </c>
      <c r="G236">
        <f t="shared" ca="1" si="187"/>
        <v>6</v>
      </c>
      <c r="H236">
        <f ca="1">IF(OR($A236="S",$A236=0),0,MATCH(0,OFFSET($B236,1,$A236,ROW($A$1504)-ROW($A236)),0))</f>
        <v>0</v>
      </c>
      <c r="I236">
        <f ca="1">IF(OR($A236="S",$A236=0),0,MATCH(OFFSET($B236,0,$A236)+1,OFFSET($B236,1,$A236,ROW($A$1504)-ROW($A236)),0))</f>
        <v>0</v>
      </c>
      <c r="J236" s="132" t="s">
        <v>29</v>
      </c>
      <c r="K236" s="121" t="str">
        <f t="shared" ca="1" si="188"/>
        <v>3.2.6.</v>
      </c>
      <c r="L236" s="137" t="str">
        <f t="shared" ca="1" si="189"/>
        <v>Cotação</v>
      </c>
      <c r="M236" s="122" t="s">
        <v>80</v>
      </c>
      <c r="N236" s="139" t="s">
        <v>256</v>
      </c>
      <c r="O236" s="137" t="str">
        <f ca="1">IF(NOT(ISERROR($Y236)),IF($Y236&lt;&gt;FALSE,INDEX(Banco,$Y236,5),""),"")</f>
        <v>Instrutor/Monitor (Educação Fisíca)</v>
      </c>
      <c r="P236" s="138" t="str">
        <f t="shared" ca="1" si="190"/>
        <v>Horas</v>
      </c>
      <c r="Q236" s="134">
        <v>3</v>
      </c>
      <c r="R236" s="124">
        <f t="shared" ca="1" si="191"/>
        <v>100</v>
      </c>
      <c r="S236" s="136" t="s">
        <v>62</v>
      </c>
      <c r="T236" s="123">
        <f t="shared" ca="1" si="192"/>
        <v>125</v>
      </c>
      <c r="U236" s="126">
        <f t="shared" ca="1" si="193"/>
        <v>375</v>
      </c>
      <c r="V236" s="1"/>
      <c r="W236" s="39" t="str">
        <f ca="1">IF(OR($A236=0,$A236="S",$A236&gt;CFF!$A$9),"",MAX(W$11:OFFSET(W236,-1,0))+1)</f>
        <v/>
      </c>
      <c r="X236" s="4" t="str">
        <f t="shared" si="194"/>
        <v>Serv. Terc.-017</v>
      </c>
      <c r="Y236" s="39">
        <f t="shared" ca="1" si="195"/>
        <v>97</v>
      </c>
      <c r="Z236" s="1"/>
      <c r="AA236" s="133">
        <f>IF($J236=$G$2,ROUND(IF(ISNUMBER(S236),S236,IF(LEFT(S236,2)="DI",HLOOKUP(S236,DADOS!$T$29:$X$30,2,FALSE),0)),4),"")</f>
        <v>0.25</v>
      </c>
      <c r="AB236" s="2"/>
    </row>
    <row r="237" spans="1:28">
      <c r="A237" t="str">
        <f t="shared" si="181"/>
        <v>S</v>
      </c>
      <c r="B237">
        <f t="shared" si="182"/>
        <v>0</v>
      </c>
      <c r="C237">
        <f t="shared" ca="1" si="183"/>
        <v>3</v>
      </c>
      <c r="D237">
        <f t="shared" ca="1" si="184"/>
        <v>2</v>
      </c>
      <c r="E237">
        <f t="shared" ca="1" si="185"/>
        <v>0</v>
      </c>
      <c r="F237">
        <f t="shared" ca="1" si="186"/>
        <v>0</v>
      </c>
      <c r="G237">
        <f t="shared" ca="1" si="187"/>
        <v>7</v>
      </c>
      <c r="H237">
        <f ca="1">IF(OR($A237="S",$A237=0),0,MATCH(0,OFFSET($B237,1,$A237,ROW($A$1504)-ROW($A237)),0))</f>
        <v>0</v>
      </c>
      <c r="I237">
        <f ca="1">IF(OR($A237="S",$A237=0),0,MATCH(OFFSET($B237,0,$A237)+1,OFFSET($B237,1,$A237,ROW($A$1504)-ROW($A237)),0))</f>
        <v>0</v>
      </c>
      <c r="J237" s="132" t="s">
        <v>29</v>
      </c>
      <c r="K237" s="121" t="str">
        <f t="shared" ca="1" si="188"/>
        <v>3.2.7.</v>
      </c>
      <c r="L237" s="137" t="str">
        <f t="shared" ca="1" si="189"/>
        <v>Cotação</v>
      </c>
      <c r="M237" s="122" t="s">
        <v>80</v>
      </c>
      <c r="N237" s="139" t="s">
        <v>152</v>
      </c>
      <c r="O237" s="137" t="str">
        <f t="shared" ca="1" si="196"/>
        <v>Carro de som com gravação de vinheta</v>
      </c>
      <c r="P237" s="138" t="str">
        <f t="shared" ca="1" si="190"/>
        <v>Horas</v>
      </c>
      <c r="Q237" s="134">
        <v>3</v>
      </c>
      <c r="R237" s="124">
        <f t="shared" ca="1" si="191"/>
        <v>200</v>
      </c>
      <c r="S237" s="136" t="s">
        <v>62</v>
      </c>
      <c r="T237" s="123">
        <f t="shared" ca="1" si="192"/>
        <v>250</v>
      </c>
      <c r="U237" s="126">
        <f t="shared" ca="1" si="193"/>
        <v>750</v>
      </c>
      <c r="V237" s="1"/>
      <c r="W237" s="39" t="str">
        <f ca="1">IF(OR($A237=0,$A237="S",$A237&gt;CFF!$A$9),"",MAX(W$11:OFFSET(W237,-1,0))+1)</f>
        <v/>
      </c>
      <c r="X237" s="4" t="str">
        <f t="shared" si="194"/>
        <v>Serv. Terc.-002</v>
      </c>
      <c r="Y237" s="39">
        <f t="shared" ca="1" si="195"/>
        <v>82</v>
      </c>
      <c r="Z237" s="1"/>
      <c r="AA237" s="133">
        <f>IF($J237=$G$2,ROUND(IF(ISNUMBER(S237),S237,IF(LEFT(S237,2)="DI",HLOOKUP(S237,DADOS!$T$29:$X$30,2,FALSE),0)),4),"")</f>
        <v>0.25</v>
      </c>
      <c r="AB237" s="2"/>
    </row>
    <row r="238" spans="1:28">
      <c r="A238" t="str">
        <f t="shared" si="181"/>
        <v>S</v>
      </c>
      <c r="B238">
        <f t="shared" si="182"/>
        <v>0</v>
      </c>
      <c r="C238">
        <f t="shared" ca="1" si="183"/>
        <v>3</v>
      </c>
      <c r="D238">
        <f t="shared" ca="1" si="184"/>
        <v>2</v>
      </c>
      <c r="E238">
        <f t="shared" ca="1" si="185"/>
        <v>0</v>
      </c>
      <c r="F238">
        <f t="shared" ca="1" si="186"/>
        <v>0</v>
      </c>
      <c r="G238">
        <f t="shared" ca="1" si="187"/>
        <v>8</v>
      </c>
      <c r="H238">
        <f ca="1">IF(OR($A238="S",$A238=0),0,MATCH(0,OFFSET($B238,1,$A238,ROW($A$1504)-ROW($A238)),0))</f>
        <v>0</v>
      </c>
      <c r="I238">
        <f ca="1">IF(OR($A238="S",$A238=0),0,MATCH(OFFSET($B238,0,$A238)+1,OFFSET($B238,1,$A238,ROW($A$1504)-ROW($A238)),0))</f>
        <v>0</v>
      </c>
      <c r="J238" s="132" t="s">
        <v>29</v>
      </c>
      <c r="K238" s="121" t="str">
        <f t="shared" ca="1" si="188"/>
        <v>3.2.8.</v>
      </c>
      <c r="L238" s="137" t="str">
        <f t="shared" ca="1" si="189"/>
        <v>Cotação</v>
      </c>
      <c r="M238" s="122" t="s">
        <v>80</v>
      </c>
      <c r="N238" s="139" t="s">
        <v>157</v>
      </c>
      <c r="O238" s="137" t="str">
        <f t="shared" ca="1" si="196"/>
        <v>Locação de pula-pula com monitor</v>
      </c>
      <c r="P238" s="138" t="str">
        <f t="shared" ca="1" si="190"/>
        <v>Unidade</v>
      </c>
      <c r="Q238" s="134">
        <v>2</v>
      </c>
      <c r="R238" s="124">
        <f t="shared" ca="1" si="191"/>
        <v>220</v>
      </c>
      <c r="S238" s="136" t="s">
        <v>62</v>
      </c>
      <c r="T238" s="123">
        <f t="shared" ca="1" si="192"/>
        <v>275</v>
      </c>
      <c r="U238" s="126">
        <f t="shared" ca="1" si="193"/>
        <v>550</v>
      </c>
      <c r="V238" s="1"/>
      <c r="W238" s="39" t="str">
        <f ca="1">IF(OR($A238=0,$A238="S",$A238&gt;CFF!$A$9),"",MAX(W$11:OFFSET(W238,-1,0))+1)</f>
        <v/>
      </c>
      <c r="X238" s="4" t="str">
        <f t="shared" si="194"/>
        <v>Serv. Terc.-008</v>
      </c>
      <c r="Y238" s="39">
        <f t="shared" ca="1" si="195"/>
        <v>88</v>
      </c>
      <c r="Z238" s="1"/>
      <c r="AA238" s="133">
        <f>IF($J238=$G$2,ROUND(IF(ISNUMBER(S238),S238,IF(LEFT(S238,2)="DI",HLOOKUP(S238,DADOS!$T$29:$X$30,2,FALSE),0)),4),"")</f>
        <v>0.25</v>
      </c>
      <c r="AB238" s="2"/>
    </row>
    <row r="239" spans="1:28">
      <c r="A239" t="str">
        <f t="shared" si="181"/>
        <v>S</v>
      </c>
      <c r="B239">
        <f t="shared" si="182"/>
        <v>0</v>
      </c>
      <c r="C239">
        <f t="shared" ca="1" si="183"/>
        <v>3</v>
      </c>
      <c r="D239">
        <f t="shared" ca="1" si="184"/>
        <v>2</v>
      </c>
      <c r="E239">
        <f t="shared" ca="1" si="185"/>
        <v>0</v>
      </c>
      <c r="F239">
        <f t="shared" ca="1" si="186"/>
        <v>0</v>
      </c>
      <c r="G239">
        <f t="shared" ca="1" si="187"/>
        <v>9</v>
      </c>
      <c r="H239">
        <f ca="1">IF(OR($A239="S",$A239=0),0,MATCH(0,OFFSET($B239,1,$A239,ROW($A$1504)-ROW($A239)),0))</f>
        <v>0</v>
      </c>
      <c r="I239">
        <f ca="1">IF(OR($A239="S",$A239=0),0,MATCH(OFFSET($B239,0,$A239)+1,OFFSET($B239,1,$A239,ROW($A$1504)-ROW($A239)),0))</f>
        <v>0</v>
      </c>
      <c r="J239" s="132" t="s">
        <v>29</v>
      </c>
      <c r="K239" s="121" t="str">
        <f t="shared" ca="1" si="188"/>
        <v>3.2.9.</v>
      </c>
      <c r="L239" s="137" t="str">
        <f t="shared" ca="1" si="189"/>
        <v xml:space="preserve">Cotação </v>
      </c>
      <c r="M239" s="122" t="s">
        <v>80</v>
      </c>
      <c r="N239" s="139" t="s">
        <v>160</v>
      </c>
      <c r="O239" s="137" t="str">
        <f t="shared" ca="1" si="196"/>
        <v>Barra de gelo</v>
      </c>
      <c r="P239" s="138" t="str">
        <f t="shared" ca="1" si="190"/>
        <v>Unidade</v>
      </c>
      <c r="Q239" s="134">
        <v>4</v>
      </c>
      <c r="R239" s="124">
        <f t="shared" ca="1" si="191"/>
        <v>12</v>
      </c>
      <c r="S239" s="136" t="s">
        <v>62</v>
      </c>
      <c r="T239" s="123">
        <f t="shared" ca="1" si="192"/>
        <v>15</v>
      </c>
      <c r="U239" s="126">
        <f t="shared" ca="1" si="193"/>
        <v>60</v>
      </c>
      <c r="V239" s="1"/>
      <c r="W239" s="39" t="str">
        <f ca="1">IF(OR($A239=0,$A239="S",$A239&gt;CFF!$A$9),"",MAX(W$11:OFFSET(W239,-1,0))+1)</f>
        <v/>
      </c>
      <c r="X239" s="4" t="str">
        <f t="shared" si="194"/>
        <v>Serv. Terc.-011</v>
      </c>
      <c r="Y239" s="39">
        <f t="shared" ca="1" si="195"/>
        <v>91</v>
      </c>
      <c r="Z239" s="1"/>
      <c r="AA239" s="133">
        <f>IF($J239=$G$2,ROUND(IF(ISNUMBER(S239),S239,IF(LEFT(S239,2)="DI",HLOOKUP(S239,DADOS!$T$29:$X$30,2,FALSE),0)),4),"")</f>
        <v>0.25</v>
      </c>
      <c r="AB239" s="2"/>
    </row>
    <row r="240" spans="1:28">
      <c r="A240" t="str">
        <f t="shared" si="181"/>
        <v>S</v>
      </c>
      <c r="B240">
        <f t="shared" si="182"/>
        <v>0</v>
      </c>
      <c r="C240">
        <f t="shared" ca="1" si="183"/>
        <v>3</v>
      </c>
      <c r="D240">
        <f t="shared" ca="1" si="184"/>
        <v>2</v>
      </c>
      <c r="E240">
        <f t="shared" ca="1" si="185"/>
        <v>0</v>
      </c>
      <c r="F240">
        <f t="shared" ca="1" si="186"/>
        <v>0</v>
      </c>
      <c r="G240">
        <f t="shared" ca="1" si="187"/>
        <v>10</v>
      </c>
      <c r="H240">
        <f ca="1">IF(OR($A240="S",$A240=0),0,MATCH(0,OFFSET($B240,1,$A240,ROW($A$1504)-ROW($A240)),0))</f>
        <v>0</v>
      </c>
      <c r="I240">
        <f ca="1">IF(OR($A240="S",$A240=0),0,MATCH(OFFSET($B240,0,$A240)+1,OFFSET($B240,1,$A240,ROW($A$1504)-ROW($A240)),0))</f>
        <v>0</v>
      </c>
      <c r="J240" s="132" t="s">
        <v>29</v>
      </c>
      <c r="K240" s="121" t="str">
        <f t="shared" ca="1" si="188"/>
        <v>3.2.10.</v>
      </c>
      <c r="L240" s="137" t="str">
        <f t="shared" ca="1" si="189"/>
        <v>Cotação</v>
      </c>
      <c r="M240" s="122" t="s">
        <v>80</v>
      </c>
      <c r="N240" s="139" t="s">
        <v>150</v>
      </c>
      <c r="O240" s="137" t="str">
        <f t="shared" ca="1" si="196"/>
        <v>Sucos</v>
      </c>
      <c r="P240" s="138" t="str">
        <f t="shared" ca="1" si="190"/>
        <v>Unidade</v>
      </c>
      <c r="Q240" s="134">
        <v>12</v>
      </c>
      <c r="R240" s="124">
        <f t="shared" ca="1" si="191"/>
        <v>6.4</v>
      </c>
      <c r="S240" s="136" t="s">
        <v>62</v>
      </c>
      <c r="T240" s="123">
        <f t="shared" ca="1" si="192"/>
        <v>8</v>
      </c>
      <c r="U240" s="126">
        <f t="shared" ca="1" si="193"/>
        <v>96</v>
      </c>
      <c r="V240" s="1"/>
      <c r="W240" s="39" t="str">
        <f ca="1">IF(OR($A240=0,$A240="S",$A240&gt;CFF!$A$9),"",MAX(W$11:OFFSET(W240,-1,0))+1)</f>
        <v/>
      </c>
      <c r="X240" s="4" t="str">
        <f t="shared" si="194"/>
        <v>Serv. Terc.-013</v>
      </c>
      <c r="Y240" s="39">
        <f t="shared" ca="1" si="195"/>
        <v>93</v>
      </c>
      <c r="Z240" s="1"/>
      <c r="AA240" s="133">
        <f>IF($J240=$G$2,ROUND(IF(ISNUMBER(S240),S240,IF(LEFT(S240,2)="DI",HLOOKUP(S240,DADOS!$T$29:$X$30,2,FALSE),0)),4),"")</f>
        <v>0.25</v>
      </c>
      <c r="AB240" s="2"/>
    </row>
    <row r="241" spans="1:28">
      <c r="A241" t="str">
        <f t="shared" si="181"/>
        <v>S</v>
      </c>
      <c r="B241">
        <f t="shared" si="182"/>
        <v>0</v>
      </c>
      <c r="C241">
        <f t="shared" ca="1" si="183"/>
        <v>3</v>
      </c>
      <c r="D241">
        <f t="shared" ca="1" si="184"/>
        <v>2</v>
      </c>
      <c r="E241">
        <f t="shared" ca="1" si="185"/>
        <v>0</v>
      </c>
      <c r="F241">
        <f t="shared" ca="1" si="186"/>
        <v>0</v>
      </c>
      <c r="G241">
        <f t="shared" ca="1" si="187"/>
        <v>11</v>
      </c>
      <c r="H241">
        <f ca="1">IF(OR($A241="S",$A241=0),0,MATCH(0,OFFSET($B241,1,$A241,ROW($A$1504)-ROW($A241)),0))</f>
        <v>0</v>
      </c>
      <c r="I241">
        <f ca="1">IF(OR($A241="S",$A241=0),0,MATCH(OFFSET($B241,0,$A241)+1,OFFSET($B241,1,$A241,ROW($A$1504)-ROW($A241)),0))</f>
        <v>0</v>
      </c>
      <c r="J241" s="132" t="s">
        <v>29</v>
      </c>
      <c r="K241" s="121" t="str">
        <f t="shared" ca="1" si="188"/>
        <v>3.2.11.</v>
      </c>
      <c r="L241" s="137" t="str">
        <f t="shared" ca="1" si="189"/>
        <v>Cotação</v>
      </c>
      <c r="M241" s="122" t="s">
        <v>80</v>
      </c>
      <c r="N241" s="139" t="s">
        <v>154</v>
      </c>
      <c r="O241" s="137" t="str">
        <f ca="1">IF(NOT(ISERROR($Y241)),IF($Y241&lt;&gt;FALSE,INDEX(Banco,$Y241,5),""),"")</f>
        <v>Locação de caixa térmica</v>
      </c>
      <c r="P241" s="138" t="str">
        <f t="shared" ca="1" si="190"/>
        <v>Unidade</v>
      </c>
      <c r="Q241" s="134">
        <v>2</v>
      </c>
      <c r="R241" s="124">
        <f t="shared" ca="1" si="191"/>
        <v>40</v>
      </c>
      <c r="S241" s="136" t="s">
        <v>62</v>
      </c>
      <c r="T241" s="123">
        <f t="shared" ca="1" si="192"/>
        <v>50</v>
      </c>
      <c r="U241" s="126">
        <f t="shared" ca="1" si="193"/>
        <v>100</v>
      </c>
      <c r="V241" s="1"/>
      <c r="W241" s="39" t="str">
        <f ca="1">IF(OR($A241=0,$A241="S",$A241&gt;CFF!$A$9),"",MAX(W$11:OFFSET(W241,-1,0))+1)</f>
        <v/>
      </c>
      <c r="X241" s="4" t="str">
        <f t="shared" si="194"/>
        <v>Serv. Terc.-005</v>
      </c>
      <c r="Y241" s="39">
        <f t="shared" ca="1" si="195"/>
        <v>85</v>
      </c>
      <c r="Z241" s="1"/>
      <c r="AA241" s="133">
        <f>IF($J241=$G$2,ROUND(IF(ISNUMBER(S241),S241,IF(LEFT(S241,2)="DI",HLOOKUP(S241,DADOS!$T$29:$X$30,2,FALSE),0)),4),"")</f>
        <v>0.25</v>
      </c>
      <c r="AB241" s="2"/>
    </row>
    <row r="242" spans="1:28">
      <c r="A242" t="str">
        <f t="shared" si="181"/>
        <v>S</v>
      </c>
      <c r="B242">
        <f t="shared" si="182"/>
        <v>0</v>
      </c>
      <c r="C242">
        <f ca="1">IF($A242=1,OFFSET(C242,-1,0)+1,OFFSET(C242,-1,0))</f>
        <v>3</v>
      </c>
      <c r="D242">
        <f ca="1">IF($A242=1,0,IF($A242=2,OFFSET(D242,-1,0)+1,OFFSET(D242,-1,0)))</f>
        <v>2</v>
      </c>
      <c r="E242">
        <f ca="1">IF(AND($A242&lt;=2,$A242&lt;&gt;0),0,IF($A242=3,OFFSET(E242,-1,0)+1,OFFSET(E242,-1,0)))</f>
        <v>0</v>
      </c>
      <c r="F242">
        <f ca="1">IF(AND($A242&lt;=3,$A242&lt;&gt;0),0,IF($A242=4,OFFSET(F242,-1,0)+1,OFFSET(F242,-1,0)))</f>
        <v>0</v>
      </c>
      <c r="G242">
        <f ca="1">IF(AND($A242&lt;=4,$A242&lt;&gt;0),0,IF($A242="S",OFFSET(G242,-1,0)+1,OFFSET(G242,-1,0)))</f>
        <v>12</v>
      </c>
      <c r="H242">
        <f ca="1">IF(OR($A242="S",$A242=0),0,MATCH(0,OFFSET($B242,1,$A242,ROW($A$1504)-ROW($A242)),0))</f>
        <v>0</v>
      </c>
      <c r="I242">
        <f ca="1">IF(OR($A242="S",$A242=0),0,MATCH(OFFSET($B242,0,$A242)+1,OFFSET($B242,1,$A242,ROW($A$1504)-ROW($A242)),0))</f>
        <v>0</v>
      </c>
      <c r="J242" s="132" t="s">
        <v>29</v>
      </c>
      <c r="K242" s="121" t="str">
        <f t="shared" ca="1" si="188"/>
        <v>3.2.12.</v>
      </c>
      <c r="L242" s="137" t="str">
        <f ca="1">IF(NOT(ISERROR($Y242)),IF($Y242&lt;&gt;FALSE,INDEX(Banco,$Y242,4),""),"")</f>
        <v>Cotação</v>
      </c>
      <c r="M242" s="122" t="s">
        <v>80</v>
      </c>
      <c r="N242" s="139" t="s">
        <v>171</v>
      </c>
      <c r="O242" s="137" t="str">
        <f ca="1">IF(NOT(ISERROR($Y242)),IF($Y242&lt;&gt;FALSE,INDEX(Banco,$Y242,5),""),"")</f>
        <v xml:space="preserve">Refrigerantes (02 litros) </v>
      </c>
      <c r="P242" s="138" t="str">
        <f ca="1">IF(NOT(ISERROR($Y242)),IF($Y242&lt;&gt;FALSE,INDEX(Banco,$Y242,6),""),"")</f>
        <v>Unidade</v>
      </c>
      <c r="Q242" s="134">
        <v>20</v>
      </c>
      <c r="R242" s="124">
        <f ca="1">IF(NOT(ISERROR($Y242)),IF($Y242&lt;&gt;FALSE,INDEX(Banco,$Y242,7),0),0)</f>
        <v>6</v>
      </c>
      <c r="S242" s="136" t="s">
        <v>62</v>
      </c>
      <c r="T242" s="123">
        <f ca="1">IF($J242=$G$2,ROUND(ROUND($R242,2)*IF($R$9="Preço Unitário (R$)",1,1+$AA242),2),0)</f>
        <v>7.5</v>
      </c>
      <c r="U242" s="126">
        <f ca="1">IF($A242="S",VTOTAL1,IF($A242=0,0,ROUND(SomaAgrup,2)))</f>
        <v>150</v>
      </c>
      <c r="V242" s="1"/>
      <c r="W242" s="39" t="str">
        <f ca="1">IF(OR($A242=0,$A242="S",$A242&gt;CFF!$A$9),"",MAX(W$11:OFFSET(W242,-1,0))+1)</f>
        <v/>
      </c>
      <c r="X242" s="4" t="str">
        <f>IF(AND($J242=$G$2,$N242&lt;&gt;"",$M242&lt;&gt;""),CONCATENATE($M242,"-",$N242))</f>
        <v>Serv. Terc.-027</v>
      </c>
      <c r="Y242" s="39">
        <f t="shared" ca="1" si="195"/>
        <v>107</v>
      </c>
      <c r="Z242" s="1"/>
      <c r="AA242" s="133">
        <f>IF($J242=$G$2,ROUND(IF(ISNUMBER(S242),S242,IF(LEFT(S242,2)="DI",HLOOKUP(S242,DADOS!$T$29:$X$30,2,FALSE),0)),4),"")</f>
        <v>0.25</v>
      </c>
      <c r="AB242" s="2"/>
    </row>
    <row r="243" spans="1:28">
      <c r="A243" t="str">
        <f t="shared" si="181"/>
        <v>S</v>
      </c>
      <c r="B243">
        <f t="shared" si="182"/>
        <v>0</v>
      </c>
      <c r="C243">
        <f t="shared" ca="1" si="183"/>
        <v>3</v>
      </c>
      <c r="D243">
        <f t="shared" ca="1" si="184"/>
        <v>2</v>
      </c>
      <c r="E243">
        <f t="shared" ca="1" si="185"/>
        <v>0</v>
      </c>
      <c r="F243">
        <f t="shared" ca="1" si="186"/>
        <v>0</v>
      </c>
      <c r="G243">
        <f t="shared" ca="1" si="187"/>
        <v>13</v>
      </c>
      <c r="H243">
        <f ca="1">IF(OR($A243="S",$A243=0),0,MATCH(0,OFFSET($B243,1,$A243,ROW($A$1504)-ROW($A243)),0))</f>
        <v>0</v>
      </c>
      <c r="I243">
        <f ca="1">IF(OR($A243="S",$A243=0),0,MATCH(OFFSET($B243,0,$A243)+1,OFFSET($B243,1,$A243,ROW($A$1504)-ROW($A243)),0))</f>
        <v>0</v>
      </c>
      <c r="J243" s="132" t="s">
        <v>29</v>
      </c>
      <c r="K243" s="121" t="str">
        <f t="shared" ca="1" si="188"/>
        <v>3.2.13.</v>
      </c>
      <c r="L243" s="137" t="str">
        <f t="shared" ca="1" si="189"/>
        <v xml:space="preserve">Cotação </v>
      </c>
      <c r="M243" s="122" t="s">
        <v>80</v>
      </c>
      <c r="N243" s="139" t="s">
        <v>159</v>
      </c>
      <c r="O243" s="137" t="str">
        <f t="shared" ca="1" si="196"/>
        <v>Brindes ( descrição nos orçamentos e PTS)</v>
      </c>
      <c r="P243" s="138" t="str">
        <f t="shared" ca="1" si="190"/>
        <v>Unidade</v>
      </c>
      <c r="Q243" s="134">
        <v>4</v>
      </c>
      <c r="R243" s="124">
        <f t="shared" ca="1" si="191"/>
        <v>120</v>
      </c>
      <c r="S243" s="136" t="s">
        <v>62</v>
      </c>
      <c r="T243" s="123">
        <f t="shared" ca="1" si="192"/>
        <v>150</v>
      </c>
      <c r="U243" s="126">
        <f t="shared" ca="1" si="193"/>
        <v>600</v>
      </c>
      <c r="V243" s="1"/>
      <c r="W243" s="39" t="str">
        <f ca="1">IF(OR($A243=0,$A243="S",$A243&gt;CFF!$A$9),"",MAX(W$11:OFFSET(W243,-1,0))+1)</f>
        <v/>
      </c>
      <c r="X243" s="4" t="str">
        <f t="shared" si="194"/>
        <v>Serv. Terc.-010</v>
      </c>
      <c r="Y243" s="39">
        <f t="shared" ca="1" si="195"/>
        <v>90</v>
      </c>
      <c r="Z243" s="1"/>
      <c r="AA243" s="133">
        <f>IF($J243=$G$2,ROUND(IF(ISNUMBER(S243),S243,IF(LEFT(S243,2)="DI",HLOOKUP(S243,DADOS!$T$29:$X$30,2,FALSE),0)),4),"")</f>
        <v>0.25</v>
      </c>
      <c r="AB243" s="2"/>
    </row>
    <row r="244" spans="1:28">
      <c r="A244" t="str">
        <f t="shared" si="181"/>
        <v>S</v>
      </c>
      <c r="B244">
        <f t="shared" si="182"/>
        <v>0</v>
      </c>
      <c r="C244">
        <f t="shared" ca="1" si="183"/>
        <v>3</v>
      </c>
      <c r="D244">
        <f t="shared" ca="1" si="184"/>
        <v>2</v>
      </c>
      <c r="E244">
        <f t="shared" ca="1" si="185"/>
        <v>0</v>
      </c>
      <c r="F244">
        <f t="shared" ca="1" si="186"/>
        <v>0</v>
      </c>
      <c r="G244">
        <f t="shared" ca="1" si="187"/>
        <v>14</v>
      </c>
      <c r="H244">
        <f ca="1">IF(OR($A244="S",$A244=0),0,MATCH(0,OFFSET($B244,1,$A244,ROW($A$1504)-ROW($A244)),0))</f>
        <v>0</v>
      </c>
      <c r="I244">
        <f ca="1">IF(OR($A244="S",$A244=0),0,MATCH(OFFSET($B244,0,$A244)+1,OFFSET($B244,1,$A244,ROW($A$1504)-ROW($A244)),0))</f>
        <v>0</v>
      </c>
      <c r="J244" s="132" t="s">
        <v>29</v>
      </c>
      <c r="K244" s="121" t="str">
        <f t="shared" ca="1" si="188"/>
        <v>3.2.14.</v>
      </c>
      <c r="L244" s="137" t="str">
        <f t="shared" ca="1" si="189"/>
        <v>Cotação</v>
      </c>
      <c r="M244" s="122" t="s">
        <v>80</v>
      </c>
      <c r="N244" s="139" t="s">
        <v>162</v>
      </c>
      <c r="O244" s="137" t="str">
        <f t="shared" ca="1" si="196"/>
        <v>Coffee break (salgados)</v>
      </c>
      <c r="P244" s="138" t="str">
        <f t="shared" ca="1" si="190"/>
        <v>Centro</v>
      </c>
      <c r="Q244" s="134">
        <v>15</v>
      </c>
      <c r="R244" s="124">
        <f t="shared" ca="1" si="191"/>
        <v>65</v>
      </c>
      <c r="S244" s="136" t="s">
        <v>62</v>
      </c>
      <c r="T244" s="123">
        <f t="shared" ca="1" si="192"/>
        <v>81.25</v>
      </c>
      <c r="U244" s="126">
        <f t="shared" ca="1" si="193"/>
        <v>1218.75</v>
      </c>
      <c r="V244" s="1"/>
      <c r="W244" s="39" t="str">
        <f ca="1">IF(OR($A244=0,$A244="S",$A244&gt;CFF!$A$9),"",MAX(W$11:OFFSET(W244,-1,0))+1)</f>
        <v/>
      </c>
      <c r="X244" s="4" t="str">
        <f t="shared" si="194"/>
        <v>Serv. Terc.-015</v>
      </c>
      <c r="Y244" s="39">
        <f t="shared" ca="1" si="195"/>
        <v>95</v>
      </c>
      <c r="Z244" s="1"/>
      <c r="AA244" s="133">
        <f>IF($J244=$G$2,ROUND(IF(ISNUMBER(S244),S244,IF(LEFT(S244,2)="DI",HLOOKUP(S244,DADOS!$T$29:$X$30,2,FALSE),0)),4),"")</f>
        <v>0.25</v>
      </c>
      <c r="AB244" s="2"/>
    </row>
    <row r="245" spans="1:28">
      <c r="A245" t="str">
        <f t="shared" si="181"/>
        <v>S</v>
      </c>
      <c r="B245">
        <f t="shared" si="182"/>
        <v>0</v>
      </c>
      <c r="C245">
        <f t="shared" ca="1" si="183"/>
        <v>3</v>
      </c>
      <c r="D245">
        <f t="shared" ca="1" si="184"/>
        <v>2</v>
      </c>
      <c r="E245">
        <f t="shared" ca="1" si="185"/>
        <v>0</v>
      </c>
      <c r="F245">
        <f t="shared" ca="1" si="186"/>
        <v>0</v>
      </c>
      <c r="G245">
        <f t="shared" ca="1" si="187"/>
        <v>15</v>
      </c>
      <c r="H245">
        <f ca="1">IF(OR($A245="S",$A245=0),0,MATCH(0,OFFSET($B245,1,$A245,ROW($A$1504)-ROW($A245)),0))</f>
        <v>0</v>
      </c>
      <c r="I245">
        <f ca="1">IF(OR($A245="S",$A245=0),0,MATCH(OFFSET($B245,0,$A245)+1,OFFSET($B245,1,$A245,ROW($A$1504)-ROW($A245)),0))</f>
        <v>0</v>
      </c>
      <c r="J245" s="132" t="s">
        <v>29</v>
      </c>
      <c r="K245" s="121" t="str">
        <f t="shared" ca="1" si="188"/>
        <v>3.2.15.</v>
      </c>
      <c r="L245" s="137" t="str">
        <f t="shared" ca="1" si="189"/>
        <v>Cotação</v>
      </c>
      <c r="M245" s="122" t="s">
        <v>79</v>
      </c>
      <c r="N245" s="139" t="s">
        <v>163</v>
      </c>
      <c r="O245" s="137" t="str">
        <f t="shared" ca="1" si="196"/>
        <v>Guloseimas (balas e pirulito)</v>
      </c>
      <c r="P245" s="138" t="str">
        <f t="shared" ca="1" si="190"/>
        <v>Pacote</v>
      </c>
      <c r="Q245" s="134">
        <v>4</v>
      </c>
      <c r="R245" s="124">
        <f t="shared" ca="1" si="191"/>
        <v>12</v>
      </c>
      <c r="S245" s="136" t="s">
        <v>62</v>
      </c>
      <c r="T245" s="123">
        <f t="shared" ca="1" si="192"/>
        <v>15</v>
      </c>
      <c r="U245" s="126">
        <f t="shared" ca="1" si="193"/>
        <v>60</v>
      </c>
      <c r="V245" s="1"/>
      <c r="W245" s="39" t="str">
        <f ca="1">IF(OR($A245=0,$A245="S",$A245&gt;CFF!$A$9),"",MAX(W$11:OFFSET(W245,-1,0))+1)</f>
        <v/>
      </c>
      <c r="X245" s="4" t="str">
        <f t="shared" si="194"/>
        <v>Rec. Materiais-020</v>
      </c>
      <c r="Y245" s="39">
        <f t="shared" ca="1" si="195"/>
        <v>29</v>
      </c>
      <c r="Z245" s="1"/>
      <c r="AA245" s="133">
        <f>IF($J245=$G$2,ROUND(IF(ISNUMBER(S245),S245,IF(LEFT(S245,2)="DI",HLOOKUP(S245,DADOS!$T$29:$X$30,2,FALSE),0)),4),"")</f>
        <v>0.25</v>
      </c>
      <c r="AB245" s="2"/>
    </row>
    <row r="246" spans="1:28">
      <c r="A246" t="str">
        <f t="shared" si="181"/>
        <v>S</v>
      </c>
      <c r="B246">
        <f t="shared" si="182"/>
        <v>0</v>
      </c>
      <c r="C246">
        <f ca="1">IF($A246=1,OFFSET(C246,-1,0)+1,OFFSET(C246,-1,0))</f>
        <v>3</v>
      </c>
      <c r="D246">
        <f ca="1">IF($A246=1,0,IF($A246=2,OFFSET(D246,-1,0)+1,OFFSET(D246,-1,0)))</f>
        <v>2</v>
      </c>
      <c r="E246">
        <f ca="1">IF(AND($A246&lt;=2,$A246&lt;&gt;0),0,IF($A246=3,OFFSET(E246,-1,0)+1,OFFSET(E246,-1,0)))</f>
        <v>0</v>
      </c>
      <c r="F246">
        <f ca="1">IF(AND($A246&lt;=3,$A246&lt;&gt;0),0,IF($A246=4,OFFSET(F246,-1,0)+1,OFFSET(F246,-1,0)))</f>
        <v>0</v>
      </c>
      <c r="G246">
        <f ca="1">IF(AND($A246&lt;=4,$A246&lt;&gt;0),0,IF($A246="S",OFFSET(G246,-1,0)+1,OFFSET(G246,-1,0)))</f>
        <v>16</v>
      </c>
      <c r="H246">
        <f ca="1">IF(OR($A246="S",$A246=0),0,MATCH(0,OFFSET($B246,1,$A246,ROW($A$1504)-ROW($A246)),0))</f>
        <v>0</v>
      </c>
      <c r="I246">
        <f ca="1">IF(OR($A246="S",$A246=0),0,MATCH(OFFSET($B246,0,$A246)+1,OFFSET($B246,1,$A246,ROW($A$1504)-ROW($A246)),0))</f>
        <v>0</v>
      </c>
      <c r="J246" s="132" t="s">
        <v>29</v>
      </c>
      <c r="K246" s="121" t="str">
        <f t="shared" ca="1" si="188"/>
        <v>3.2.16.</v>
      </c>
      <c r="L246" s="137" t="str">
        <f ca="1">IF(NOT(ISERROR($Y246)),IF($Y246&lt;&gt;FALSE,INDEX(Banco,$Y246,4),""),"")</f>
        <v>CREA</v>
      </c>
      <c r="M246" s="122" t="s">
        <v>80</v>
      </c>
      <c r="N246" s="139" t="s">
        <v>274</v>
      </c>
      <c r="O246" s="137" t="str">
        <f ca="1">IF(NOT(ISERROR($Y246)),IF($Y246&lt;&gt;FALSE,INDEX(Banco,$Y246,5),""),"")</f>
        <v>Engenheiro Sanitarista e Ambiental</v>
      </c>
      <c r="P246" s="138" t="str">
        <f ca="1">IF(NOT(ISERROR($Y246)),IF($Y246&lt;&gt;FALSE,INDEX(Banco,$Y246,6),""),"")</f>
        <v>Horas</v>
      </c>
      <c r="Q246" s="134">
        <v>4</v>
      </c>
      <c r="R246" s="124">
        <f ca="1">IF(NOT(ISERROR($Y246)),IF($Y246&lt;&gt;FALSE,INDEX(Banco,$Y246,7),0),0)</f>
        <v>91.88</v>
      </c>
      <c r="S246" s="136" t="s">
        <v>62</v>
      </c>
      <c r="T246" s="123">
        <f ca="1">IF($J246=$G$2,ROUND(ROUND($R246,2)*IF($R$9="Preço Unitário (R$)",1,1+$AA246),2),0)</f>
        <v>114.85</v>
      </c>
      <c r="U246" s="126">
        <f ca="1">IF($A246="S",VTOTAL1,IF($A246=0,0,ROUND(SomaAgrup,2)))</f>
        <v>459.4</v>
      </c>
      <c r="V246" s="1"/>
      <c r="W246" s="39" t="str">
        <f ca="1">IF(OR($A246=0,$A246="S",$A246&gt;CFF!$A$9),"",MAX(W$11:OFFSET(W246,-1,0))+1)</f>
        <v/>
      </c>
      <c r="X246" s="4" t="str">
        <f>IF(AND($J246=$G$2,$N246&lt;&gt;"",$M246&lt;&gt;""),CONCATENATE($M246,"-",$N246))</f>
        <v>Serv. Terc.-028</v>
      </c>
      <c r="Y246" s="39">
        <f t="shared" ca="1" si="195"/>
        <v>108</v>
      </c>
      <c r="Z246" s="1"/>
      <c r="AA246" s="133">
        <f>IF($J246=$G$2,ROUND(IF(ISNUMBER(S246),S246,IF(LEFT(S246,2)="DI",HLOOKUP(S246,DADOS!$T$29:$X$30,2,FALSE),0)),4),"")</f>
        <v>0.25</v>
      </c>
      <c r="AB246" s="2"/>
    </row>
    <row r="247" spans="1:28">
      <c r="A247" t="str">
        <f t="shared" si="181"/>
        <v>S</v>
      </c>
      <c r="B247">
        <f t="shared" si="182"/>
        <v>0</v>
      </c>
      <c r="C247">
        <f t="shared" ca="1" si="183"/>
        <v>3</v>
      </c>
      <c r="D247">
        <f t="shared" ca="1" si="184"/>
        <v>2</v>
      </c>
      <c r="E247">
        <f t="shared" ca="1" si="185"/>
        <v>0</v>
      </c>
      <c r="F247">
        <f t="shared" ca="1" si="186"/>
        <v>0</v>
      </c>
      <c r="G247">
        <f t="shared" ca="1" si="187"/>
        <v>17</v>
      </c>
      <c r="H247">
        <f ca="1">IF(OR($A247="S",$A247=0),0,MATCH(0,OFFSET($B247,1,$A247,ROW($A$1504)-ROW($A247)),0))</f>
        <v>0</v>
      </c>
      <c r="I247">
        <f ca="1">IF(OR($A247="S",$A247=0),0,MATCH(OFFSET($B247,0,$A247)+1,OFFSET($B247,1,$A247,ROW($A$1504)-ROW($A247)),0))</f>
        <v>0</v>
      </c>
      <c r="J247" s="132" t="s">
        <v>29</v>
      </c>
      <c r="K247" s="121" t="str">
        <f t="shared" ca="1" si="188"/>
        <v>3.2.17.</v>
      </c>
      <c r="L247" s="137" t="str">
        <f t="shared" ca="1" si="189"/>
        <v>Cotação</v>
      </c>
      <c r="M247" s="122" t="s">
        <v>79</v>
      </c>
      <c r="N247" s="139" t="s">
        <v>165</v>
      </c>
      <c r="O247" s="137" t="str">
        <f t="shared" ca="1" si="196"/>
        <v>Papel de presente</v>
      </c>
      <c r="P247" s="138" t="str">
        <f t="shared" ca="1" si="190"/>
        <v>Folhas</v>
      </c>
      <c r="Q247" s="134">
        <v>8</v>
      </c>
      <c r="R247" s="124">
        <f t="shared" ca="1" si="191"/>
        <v>1.5</v>
      </c>
      <c r="S247" s="136" t="s">
        <v>62</v>
      </c>
      <c r="T247" s="123">
        <f t="shared" ca="1" si="192"/>
        <v>1.88</v>
      </c>
      <c r="U247" s="126">
        <f t="shared" ca="1" si="193"/>
        <v>15.04</v>
      </c>
      <c r="V247" s="1"/>
      <c r="W247" s="39" t="str">
        <f ca="1">IF(OR($A247=0,$A247="S",$A247&gt;CFF!$A$9),"",MAX(W$11:OFFSET(W247,-1,0))+1)</f>
        <v/>
      </c>
      <c r="X247" s="4" t="str">
        <f t="shared" si="194"/>
        <v>Rec. Materiais-021</v>
      </c>
      <c r="Y247" s="39">
        <f t="shared" ca="1" si="195"/>
        <v>30</v>
      </c>
      <c r="Z247" s="1"/>
      <c r="AA247" s="133">
        <f>IF($J247=$G$2,ROUND(IF(ISNUMBER(S247),S247,IF(LEFT(S247,2)="DI",HLOOKUP(S247,DADOS!$T$29:$X$30,2,FALSE),0)),4),"")</f>
        <v>0.25</v>
      </c>
      <c r="AB247" s="2"/>
    </row>
    <row r="248" spans="1:28">
      <c r="A248" t="str">
        <f t="shared" si="181"/>
        <v>S</v>
      </c>
      <c r="B248">
        <f t="shared" si="182"/>
        <v>0</v>
      </c>
      <c r="C248">
        <f t="shared" ca="1" si="183"/>
        <v>3</v>
      </c>
      <c r="D248">
        <f t="shared" ca="1" si="184"/>
        <v>2</v>
      </c>
      <c r="E248">
        <f t="shared" ca="1" si="185"/>
        <v>0</v>
      </c>
      <c r="F248">
        <f t="shared" ca="1" si="186"/>
        <v>0</v>
      </c>
      <c r="G248">
        <f t="shared" ca="1" si="187"/>
        <v>18</v>
      </c>
      <c r="H248">
        <f ca="1">IF(OR($A248="S",$A248=0),0,MATCH(0,OFFSET($B248,1,$A248,ROW($A$1504)-ROW($A248)),0))</f>
        <v>0</v>
      </c>
      <c r="I248">
        <f ca="1">IF(OR($A248="S",$A248=0),0,MATCH(OFFSET($B248,0,$A248)+1,OFFSET($B248,1,$A248,ROW($A$1504)-ROW($A248)),0))</f>
        <v>0</v>
      </c>
      <c r="J248" s="132" t="s">
        <v>29</v>
      </c>
      <c r="K248" s="121" t="str">
        <f t="shared" ca="1" si="188"/>
        <v>3.2.18.</v>
      </c>
      <c r="L248" s="137" t="str">
        <f t="shared" ca="1" si="189"/>
        <v>Cotação</v>
      </c>
      <c r="M248" s="122" t="s">
        <v>79</v>
      </c>
      <c r="N248" s="139" t="s">
        <v>170</v>
      </c>
      <c r="O248" s="137" t="str">
        <f t="shared" ca="1" si="196"/>
        <v>Saco de lixo (100 litros)</v>
      </c>
      <c r="P248" s="138" t="str">
        <f t="shared" ca="1" si="190"/>
        <v>Pacote</v>
      </c>
      <c r="Q248" s="134">
        <v>2</v>
      </c>
      <c r="R248" s="124">
        <f t="shared" ca="1" si="191"/>
        <v>15</v>
      </c>
      <c r="S248" s="136" t="s">
        <v>62</v>
      </c>
      <c r="T248" s="123">
        <f t="shared" ca="1" si="192"/>
        <v>18.75</v>
      </c>
      <c r="U248" s="126">
        <f t="shared" ca="1" si="193"/>
        <v>37.5</v>
      </c>
      <c r="V248" s="1"/>
      <c r="W248" s="39" t="str">
        <f ca="1">IF(OR($A248=0,$A248="S",$A248&gt;CFF!$A$9),"",MAX(W$11:OFFSET(W248,-1,0))+1)</f>
        <v/>
      </c>
      <c r="X248" s="4" t="str">
        <f t="shared" si="194"/>
        <v>Rec. Materiais-026</v>
      </c>
      <c r="Y248" s="39">
        <f t="shared" ca="1" si="195"/>
        <v>35</v>
      </c>
      <c r="Z248" s="1"/>
      <c r="AA248" s="133">
        <f>IF($J248=$G$2,ROUND(IF(ISNUMBER(S248),S248,IF(LEFT(S248,2)="DI",HLOOKUP(S248,DADOS!$T$29:$X$30,2,FALSE),0)),4),"")</f>
        <v>0.25</v>
      </c>
      <c r="AB248" s="2"/>
    </row>
    <row r="249" spans="1:28">
      <c r="A249" t="str">
        <f t="shared" si="181"/>
        <v>S</v>
      </c>
      <c r="B249">
        <f t="shared" si="182"/>
        <v>0</v>
      </c>
      <c r="C249">
        <f t="shared" ca="1" si="183"/>
        <v>3</v>
      </c>
      <c r="D249">
        <f t="shared" ca="1" si="184"/>
        <v>2</v>
      </c>
      <c r="E249">
        <f t="shared" ca="1" si="185"/>
        <v>0</v>
      </c>
      <c r="F249">
        <f t="shared" ca="1" si="186"/>
        <v>0</v>
      </c>
      <c r="G249">
        <f t="shared" ca="1" si="187"/>
        <v>19</v>
      </c>
      <c r="H249">
        <f ca="1">IF(OR($A249="S",$A249=0),0,MATCH(0,OFFSET($B249,1,$A249,ROW($A$1504)-ROW($A249)),0))</f>
        <v>0</v>
      </c>
      <c r="I249">
        <f ca="1">IF(OR($A249="S",$A249=0),0,MATCH(OFFSET($B249,0,$A249)+1,OFFSET($B249,1,$A249,ROW($A$1504)-ROW($A249)),0))</f>
        <v>0</v>
      </c>
      <c r="J249" s="132" t="s">
        <v>29</v>
      </c>
      <c r="K249" s="121" t="str">
        <f t="shared" ca="1" si="188"/>
        <v>3.2.19.</v>
      </c>
      <c r="L249" s="137" t="str">
        <f t="shared" ca="1" si="189"/>
        <v>Cotação</v>
      </c>
      <c r="M249" s="122" t="s">
        <v>80</v>
      </c>
      <c r="N249" s="139" t="s">
        <v>164</v>
      </c>
      <c r="O249" s="137" t="str">
        <f t="shared" ca="1" si="196"/>
        <v>Cartilha/Miolo: 20 pgs. 15x21cm, 4 cores, tinta escala em couche</v>
      </c>
      <c r="P249" s="138" t="str">
        <f t="shared" ca="1" si="190"/>
        <v>Unidade</v>
      </c>
      <c r="Q249" s="134">
        <v>297</v>
      </c>
      <c r="R249" s="124">
        <f t="shared" ca="1" si="191"/>
        <v>20</v>
      </c>
      <c r="S249" s="136" t="s">
        <v>62</v>
      </c>
      <c r="T249" s="123">
        <f t="shared" ca="1" si="192"/>
        <v>25</v>
      </c>
      <c r="U249" s="126">
        <f t="shared" ca="1" si="193"/>
        <v>7425</v>
      </c>
      <c r="V249" s="1"/>
      <c r="W249" s="39" t="str">
        <f ca="1">IF(OR($A249=0,$A249="S",$A249&gt;CFF!$A$9),"",MAX(W$11:OFFSET(W249,-1,0))+1)</f>
        <v/>
      </c>
      <c r="X249" s="4" t="str">
        <f t="shared" si="194"/>
        <v>Serv. Terc.-019</v>
      </c>
      <c r="Y249" s="39">
        <f t="shared" ca="1" si="195"/>
        <v>99</v>
      </c>
      <c r="Z249" s="1"/>
      <c r="AA249" s="133">
        <f>IF($J249=$G$2,ROUND(IF(ISNUMBER(S249),S249,IF(LEFT(S249,2)="DI",HLOOKUP(S249,DADOS!$T$29:$X$30,2,FALSE),0)),4),"")</f>
        <v>0.25</v>
      </c>
      <c r="AB249" s="2"/>
    </row>
    <row r="250" spans="1:28" ht="25.5">
      <c r="A250">
        <f>CHOOSE(1+LOG(1+2*(J250=$C$2)+4*(J250=$D$2)+8*(J250=$E$2)+16*(J250=$F$2)+32*(J250=$G$2),2),0,1,2,3,4,"S")</f>
        <v>2</v>
      </c>
      <c r="B250">
        <f ca="1">IF(OR(A250="S",A250=0),0,IF(ISERROR(I250),H250,SMALL(H250:I250,1)))</f>
        <v>20</v>
      </c>
      <c r="C250">
        <f ca="1">IF($A250=1,OFFSET(C250,-1,0)+1,OFFSET(C250,-1,0))</f>
        <v>3</v>
      </c>
      <c r="D250">
        <f ca="1">IF($A250=1,0,IF($A250=2,OFFSET(D250,-1,0)+1,OFFSET(D250,-1,0)))</f>
        <v>3</v>
      </c>
      <c r="E250">
        <f ca="1">IF(AND($A250&lt;=2,$A250&lt;&gt;0),0,IF($A250=3,OFFSET(E250,-1,0)+1,OFFSET(E250,-1,0)))</f>
        <v>0</v>
      </c>
      <c r="F250">
        <f ca="1">IF(AND($A250&lt;=3,$A250&lt;&gt;0),0,IF($A250=4,OFFSET(F250,-1,0)+1,OFFSET(F250,-1,0)))</f>
        <v>0</v>
      </c>
      <c r="G250">
        <f ca="1">IF(AND($A250&lt;=4,$A250&lt;&gt;0),0,IF($A250="S",OFFSET(G250,-1,0)+1,OFFSET(G250,-1,0)))</f>
        <v>0</v>
      </c>
      <c r="H250">
        <f ca="1">IF(OR($A250="S",$A250=0),0,MATCH(0,OFFSET($B250,1,$A250,ROW($A$1504)-ROW($A250)),0))</f>
        <v>20</v>
      </c>
      <c r="I250">
        <f ca="1">IF(OR($A250="S",$A250=0),0,MATCH(OFFSET($B250,0,$A250)+1,OFFSET($B250,1,$A250,ROW($A$1504)-ROW($A250)),0))</f>
        <v>46</v>
      </c>
      <c r="J250" s="132" t="s">
        <v>68</v>
      </c>
      <c r="K250" s="121" t="str">
        <f ca="1">IF($A250=0,"-",CONCATENATE(C250&amp;".",IF(AND($A$5&gt;=2,$A250&gt;=2),D250&amp;".",""),IF(AND($A$5&gt;=3,$A250&gt;=3),E250&amp;".",""),IF(AND($A$5&gt;=4,$A250&gt;=4),F250&amp;".",""),IF($A250="S",G250&amp;".","")))</f>
        <v>3.3.</v>
      </c>
      <c r="L250" s="137" t="str">
        <f ca="1">IF(NOT(ISERROR($Y250)),IF($Y250&lt;&gt;FALSE,INDEX(Banco,$Y250,4),""),"")</f>
        <v/>
      </c>
      <c r="M250" s="122"/>
      <c r="N250" s="139"/>
      <c r="O250" s="137" t="s">
        <v>360</v>
      </c>
      <c r="P250" s="138" t="str">
        <f ca="1">IF(NOT(ISERROR($Y250)),IF($Y250&lt;&gt;FALSE,INDEX(Banco,$Y250,6),""),"")</f>
        <v/>
      </c>
      <c r="Q250" s="134"/>
      <c r="R250" s="124">
        <f ca="1">IF(NOT(ISERROR($Y250)),IF($Y250&lt;&gt;FALSE,INDEX(Banco,$Y250,7),0),0)</f>
        <v>0</v>
      </c>
      <c r="S250" s="136" t="s">
        <v>62</v>
      </c>
      <c r="T250" s="123">
        <f>IF($J250=$G$2,ROUND(ROUND($R250,2)*IF($R$9="Preço Unitário (R$)",1,1+$AA250),2),0)</f>
        <v>0</v>
      </c>
      <c r="U250" s="126">
        <f ca="1">IF($A250="S",VTOTAL1,IF($A250=0,0,ROUND(SomaAgrup,2)))</f>
        <v>12096.47</v>
      </c>
      <c r="V250" s="1"/>
      <c r="W250" s="39">
        <f ca="1">IF(OR($A250=0,$A250="S",$A250&gt;CFF!$A$9),"",MAX(W$11:OFFSET(W250,-1,0))+1)</f>
        <v>16</v>
      </c>
      <c r="X250" s="4" t="b">
        <f>IF(AND($J250=$G$2,$N250&lt;&gt;"",$M250&lt;&gt;""),CONCATENATE($M250,"-",$N250))</f>
        <v>0</v>
      </c>
      <c r="Y250" s="39" t="b">
        <f ca="1">IF(X250&lt;&gt;FALSE,MATCH(X250,OFFSET(Banco,0,0,,1),0))</f>
        <v>0</v>
      </c>
      <c r="Z250" s="1"/>
      <c r="AA250" s="133" t="str">
        <f>IF($J250=$G$2,ROUND(IF(ISNUMBER(S250),S250,IF(LEFT(S250,2)="DI",HLOOKUP(S250,DADOS!$T$29:$X$30,2,FALSE),0)),4),"")</f>
        <v/>
      </c>
      <c r="AB250" s="2"/>
    </row>
    <row r="251" spans="1:28">
      <c r="A251" t="str">
        <f t="shared" ref="A251:A269" si="197">CHOOSE(1+LOG(1+2*(J251=$C$2)+4*(J251=$D$2)+8*(J251=$E$2)+16*(J251=$F$2)+32*(J251=$G$2),2),0,1,2,3,4,"S")</f>
        <v>S</v>
      </c>
      <c r="B251">
        <f t="shared" ref="B251:B269" si="198">IF(OR(A251="S",A251=0),0,IF(ISERROR(I251),H251,SMALL(H251:I251,1)))</f>
        <v>0</v>
      </c>
      <c r="C251">
        <f t="shared" ca="1" si="183"/>
        <v>3</v>
      </c>
      <c r="D251">
        <f t="shared" ca="1" si="184"/>
        <v>3</v>
      </c>
      <c r="E251">
        <f t="shared" ca="1" si="185"/>
        <v>0</v>
      </c>
      <c r="F251">
        <f t="shared" ca="1" si="186"/>
        <v>0</v>
      </c>
      <c r="G251">
        <f t="shared" ca="1" si="187"/>
        <v>1</v>
      </c>
      <c r="H251">
        <f ca="1">IF(OR($A251="S",$A251=0),0,MATCH(0,OFFSET($B251,1,$A251,ROW($A$1504)-ROW($A251)),0))</f>
        <v>0</v>
      </c>
      <c r="I251">
        <f ca="1">IF(OR($A251="S",$A251=0),0,MATCH(OFFSET($B251,0,$A251)+1,OFFSET($B251,1,$A251,ROW($A$1504)-ROW($A251)),0))</f>
        <v>0</v>
      </c>
      <c r="J251" s="132" t="s">
        <v>29</v>
      </c>
      <c r="K251" s="121" t="str">
        <f t="shared" ref="K251:K269" ca="1" si="199">IF($A251=0,"-",CONCATENATE(C251&amp;".",IF(AND($A$5&gt;=2,$A251&gt;=2),D251&amp;".",""),IF(AND($A$5&gt;=3,$A251&gt;=3),E251&amp;".",""),IF(AND($A$5&gt;=4,$A251&gt;=4),F251&amp;".",""),IF($A251="S",G251&amp;".","")))</f>
        <v>3.3.1.</v>
      </c>
      <c r="L251" s="137" t="str">
        <f t="shared" ca="1" si="189"/>
        <v>CRESS</v>
      </c>
      <c r="M251" s="122" t="s">
        <v>78</v>
      </c>
      <c r="N251" s="139" t="s">
        <v>149</v>
      </c>
      <c r="O251" s="137" t="str">
        <f t="shared" ref="O251:O269" ca="1" si="200">IF(NOT(ISERROR($Y251)),IF($Y251&lt;&gt;FALSE,INDEX(Banco,$Y251,5),""),"")</f>
        <v>Responsável Técnica</v>
      </c>
      <c r="P251" s="138" t="str">
        <f t="shared" ca="1" si="190"/>
        <v>Horas</v>
      </c>
      <c r="Q251" s="134">
        <v>6</v>
      </c>
      <c r="R251" s="124">
        <f t="shared" ca="1" si="191"/>
        <v>150.28</v>
      </c>
      <c r="S251" s="136" t="s">
        <v>62</v>
      </c>
      <c r="T251" s="123">
        <f t="shared" ca="1" si="192"/>
        <v>187.85</v>
      </c>
      <c r="U251" s="126">
        <f t="shared" ca="1" si="193"/>
        <v>1127.0999999999999</v>
      </c>
      <c r="V251" s="1"/>
      <c r="W251" s="39" t="str">
        <f ca="1">IF(OR($A251=0,$A251="S",$A251&gt;CFF!$A$9),"",MAX(W$11:OFFSET(W251,-1,0))+1)</f>
        <v/>
      </c>
      <c r="X251" s="4" t="str">
        <f t="shared" si="194"/>
        <v>Rec. Humanos-001</v>
      </c>
      <c r="Y251" s="39">
        <f t="shared" ref="Y251:Y269" ca="1" si="201">IF(X251&lt;&gt;FALSE,MATCH(X251,OFFSET(Banco,0,0,,1),0))</f>
        <v>3</v>
      </c>
      <c r="Z251" s="1"/>
      <c r="AA251" s="133">
        <f>IF($J251=$G$2,ROUND(IF(ISNUMBER(S251),S251,IF(LEFT(S251,2)="DI",HLOOKUP(S251,DADOS!$T$29:$X$30,2,FALSE),0)),4),"")</f>
        <v>0.25</v>
      </c>
      <c r="AB251" s="2"/>
    </row>
    <row r="252" spans="1:28">
      <c r="A252" t="str">
        <f t="shared" si="197"/>
        <v>S</v>
      </c>
      <c r="B252">
        <f t="shared" si="198"/>
        <v>0</v>
      </c>
      <c r="C252">
        <f t="shared" ca="1" si="183"/>
        <v>3</v>
      </c>
      <c r="D252">
        <f t="shared" ca="1" si="184"/>
        <v>3</v>
      </c>
      <c r="E252">
        <f t="shared" ca="1" si="185"/>
        <v>0</v>
      </c>
      <c r="F252">
        <f t="shared" ca="1" si="186"/>
        <v>0</v>
      </c>
      <c r="G252">
        <f t="shared" ca="1" si="187"/>
        <v>2</v>
      </c>
      <c r="H252">
        <f ca="1">IF(OR($A252="S",$A252=0),0,MATCH(0,OFFSET($B252,1,$A252,ROW($A$1504)-ROW($A252)),0))</f>
        <v>0</v>
      </c>
      <c r="I252">
        <f ca="1">IF(OR($A252="S",$A252=0),0,MATCH(OFFSET($B252,0,$A252)+1,OFFSET($B252,1,$A252,ROW($A$1504)-ROW($A252)),0))</f>
        <v>0</v>
      </c>
      <c r="J252" s="132" t="s">
        <v>29</v>
      </c>
      <c r="K252" s="121" t="str">
        <f t="shared" ca="1" si="199"/>
        <v>3.3.2.</v>
      </c>
      <c r="L252" s="137" t="str">
        <f t="shared" ca="1" si="189"/>
        <v>CRESS</v>
      </c>
      <c r="M252" s="122" t="s">
        <v>78</v>
      </c>
      <c r="N252" s="139" t="s">
        <v>152</v>
      </c>
      <c r="O252" s="137" t="str">
        <f t="shared" ca="1" si="200"/>
        <v>Assistente Social</v>
      </c>
      <c r="P252" s="138" t="str">
        <f t="shared" ca="1" si="190"/>
        <v>Horas</v>
      </c>
      <c r="Q252" s="134">
        <v>4</v>
      </c>
      <c r="R252" s="124">
        <f t="shared" ca="1" si="191"/>
        <v>133.81</v>
      </c>
      <c r="S252" s="136" t="s">
        <v>62</v>
      </c>
      <c r="T252" s="123">
        <f t="shared" ca="1" si="192"/>
        <v>167.26</v>
      </c>
      <c r="U252" s="126">
        <f t="shared" ca="1" si="193"/>
        <v>669.04</v>
      </c>
      <c r="V252" s="1"/>
      <c r="W252" s="39" t="str">
        <f ca="1">IF(OR($A252=0,$A252="S",$A252&gt;CFF!$A$9),"",MAX(W$11:OFFSET(W252,-1,0))+1)</f>
        <v/>
      </c>
      <c r="X252" s="4" t="str">
        <f t="shared" si="194"/>
        <v>Rec. Humanos-002</v>
      </c>
      <c r="Y252" s="39">
        <f t="shared" ca="1" si="201"/>
        <v>4</v>
      </c>
      <c r="Z252" s="1"/>
      <c r="AA252" s="133">
        <f>IF($J252=$G$2,ROUND(IF(ISNUMBER(S252),S252,IF(LEFT(S252,2)="DI",HLOOKUP(S252,DADOS!$T$29:$X$30,2,FALSE),0)),4),"")</f>
        <v>0.25</v>
      </c>
      <c r="AB252" s="2"/>
    </row>
    <row r="253" spans="1:28">
      <c r="A253" t="str">
        <f t="shared" si="197"/>
        <v>S</v>
      </c>
      <c r="B253">
        <f t="shared" si="198"/>
        <v>0</v>
      </c>
      <c r="C253">
        <f t="shared" ca="1" si="183"/>
        <v>3</v>
      </c>
      <c r="D253">
        <f t="shared" ca="1" si="184"/>
        <v>3</v>
      </c>
      <c r="E253">
        <f t="shared" ca="1" si="185"/>
        <v>0</v>
      </c>
      <c r="F253">
        <f t="shared" ca="1" si="186"/>
        <v>0</v>
      </c>
      <c r="G253">
        <f t="shared" ca="1" si="187"/>
        <v>3</v>
      </c>
      <c r="H253">
        <f ca="1">IF(OR($A253="S",$A253=0),0,MATCH(0,OFFSET($B253,1,$A253,ROW($A$1504)-ROW($A253)),0))</f>
        <v>0</v>
      </c>
      <c r="I253">
        <f ca="1">IF(OR($A253="S",$A253=0),0,MATCH(OFFSET($B253,0,$A253)+1,OFFSET($B253,1,$A253,ROW($A$1504)-ROW($A253)),0))</f>
        <v>0</v>
      </c>
      <c r="J253" s="132" t="s">
        <v>29</v>
      </c>
      <c r="K253" s="121" t="str">
        <f t="shared" ca="1" si="199"/>
        <v>3.3.3.</v>
      </c>
      <c r="L253" s="137" t="str">
        <f t="shared" ca="1" si="189"/>
        <v>Cotação</v>
      </c>
      <c r="M253" s="122" t="s">
        <v>78</v>
      </c>
      <c r="N253" s="139" t="s">
        <v>151</v>
      </c>
      <c r="O253" s="137" t="str">
        <f t="shared" ca="1" si="200"/>
        <v xml:space="preserve">Administrador (Técnico de Apoio) </v>
      </c>
      <c r="P253" s="138" t="str">
        <f t="shared" ca="1" si="190"/>
        <v>Horas</v>
      </c>
      <c r="Q253" s="134">
        <v>4</v>
      </c>
      <c r="R253" s="124">
        <f t="shared" ca="1" si="191"/>
        <v>103.65</v>
      </c>
      <c r="S253" s="136" t="s">
        <v>62</v>
      </c>
      <c r="T253" s="123">
        <f t="shared" ca="1" si="192"/>
        <v>129.56</v>
      </c>
      <c r="U253" s="126">
        <f t="shared" ca="1" si="193"/>
        <v>518.24</v>
      </c>
      <c r="V253" s="1"/>
      <c r="W253" s="39" t="str">
        <f ca="1">IF(OR($A253=0,$A253="S",$A253&gt;CFF!$A$9),"",MAX(W$11:OFFSET(W253,-1,0))+1)</f>
        <v/>
      </c>
      <c r="X253" s="4" t="str">
        <f t="shared" si="194"/>
        <v>Rec. Humanos-003</v>
      </c>
      <c r="Y253" s="39">
        <f t="shared" ca="1" si="201"/>
        <v>5</v>
      </c>
      <c r="Z253" s="1"/>
      <c r="AA253" s="133">
        <f>IF($J253=$G$2,ROUND(IF(ISNUMBER(S253),S253,IF(LEFT(S253,2)="DI",HLOOKUP(S253,DADOS!$T$29:$X$30,2,FALSE),0)),4),"")</f>
        <v>0.25</v>
      </c>
      <c r="AB253" s="2"/>
    </row>
    <row r="254" spans="1:28">
      <c r="A254" t="str">
        <f t="shared" si="197"/>
        <v>S</v>
      </c>
      <c r="B254">
        <f t="shared" si="198"/>
        <v>0</v>
      </c>
      <c r="C254">
        <f t="shared" ca="1" si="183"/>
        <v>3</v>
      </c>
      <c r="D254">
        <f t="shared" ca="1" si="184"/>
        <v>3</v>
      </c>
      <c r="E254">
        <f t="shared" ca="1" si="185"/>
        <v>0</v>
      </c>
      <c r="F254">
        <f t="shared" ca="1" si="186"/>
        <v>0</v>
      </c>
      <c r="G254">
        <f t="shared" ca="1" si="187"/>
        <v>4</v>
      </c>
      <c r="H254">
        <f ca="1">IF(OR($A254="S",$A254=0),0,MATCH(0,OFFSET($B254,1,$A254,ROW($A$1504)-ROW($A254)),0))</f>
        <v>0</v>
      </c>
      <c r="I254">
        <f ca="1">IF(OR($A254="S",$A254=0),0,MATCH(OFFSET($B254,0,$A254)+1,OFFSET($B254,1,$A254,ROW($A$1504)-ROW($A254)),0))</f>
        <v>0</v>
      </c>
      <c r="J254" s="132" t="s">
        <v>29</v>
      </c>
      <c r="K254" s="121" t="str">
        <f t="shared" ca="1" si="199"/>
        <v>3.3.4.</v>
      </c>
      <c r="L254" s="137" t="str">
        <f t="shared" ca="1" si="189"/>
        <v>SINE</v>
      </c>
      <c r="M254" s="122" t="s">
        <v>78</v>
      </c>
      <c r="N254" s="139" t="s">
        <v>153</v>
      </c>
      <c r="O254" s="137" t="str">
        <f t="shared" ca="1" si="200"/>
        <v>Estagiários</v>
      </c>
      <c r="P254" s="138" t="str">
        <f t="shared" ca="1" si="190"/>
        <v>Horas</v>
      </c>
      <c r="Q254" s="134">
        <v>10</v>
      </c>
      <c r="R254" s="124">
        <f t="shared" ca="1" si="191"/>
        <v>9.7899999999999991</v>
      </c>
      <c r="S254" s="136" t="s">
        <v>62</v>
      </c>
      <c r="T254" s="123">
        <f t="shared" ca="1" si="192"/>
        <v>12.24</v>
      </c>
      <c r="U254" s="126">
        <f t="shared" ca="1" si="193"/>
        <v>122.4</v>
      </c>
      <c r="V254" s="1"/>
      <c r="W254" s="39" t="str">
        <f ca="1">IF(OR($A254=0,$A254="S",$A254&gt;CFF!$A$9),"",MAX(W$11:OFFSET(W254,-1,0))+1)</f>
        <v/>
      </c>
      <c r="X254" s="4" t="str">
        <f t="shared" si="194"/>
        <v>Rec. Humanos-004</v>
      </c>
      <c r="Y254" s="39">
        <f t="shared" ca="1" si="201"/>
        <v>6</v>
      </c>
      <c r="Z254" s="1"/>
      <c r="AA254" s="133">
        <f>IF($J254=$G$2,ROUND(IF(ISNUMBER(S254),S254,IF(LEFT(S254,2)="DI",HLOOKUP(S254,DADOS!$T$29:$X$30,2,FALSE),0)),4),"")</f>
        <v>0.25</v>
      </c>
      <c r="AB254" s="2"/>
    </row>
    <row r="255" spans="1:28">
      <c r="A255" t="str">
        <f t="shared" si="197"/>
        <v>S</v>
      </c>
      <c r="B255">
        <f t="shared" si="198"/>
        <v>0</v>
      </c>
      <c r="C255">
        <f t="shared" ca="1" si="183"/>
        <v>3</v>
      </c>
      <c r="D255">
        <f t="shared" ca="1" si="184"/>
        <v>3</v>
      </c>
      <c r="E255">
        <f t="shared" ca="1" si="185"/>
        <v>0</v>
      </c>
      <c r="F255">
        <f t="shared" ca="1" si="186"/>
        <v>0</v>
      </c>
      <c r="G255">
        <f t="shared" ca="1" si="187"/>
        <v>5</v>
      </c>
      <c r="H255">
        <f ca="1">IF(OR($A255="S",$A255=0),0,MATCH(0,OFFSET($B255,1,$A255,ROW($A$1504)-ROW($A255)),0))</f>
        <v>0</v>
      </c>
      <c r="I255">
        <f ca="1">IF(OR($A255="S",$A255=0),0,MATCH(OFFSET($B255,0,$A255)+1,OFFSET($B255,1,$A255,ROW($A$1504)-ROW($A255)),0))</f>
        <v>0</v>
      </c>
      <c r="J255" s="132" t="s">
        <v>29</v>
      </c>
      <c r="K255" s="121" t="str">
        <f t="shared" ca="1" si="199"/>
        <v>3.3.5.</v>
      </c>
      <c r="L255" s="137" t="str">
        <f t="shared" ca="1" si="189"/>
        <v>Cotação</v>
      </c>
      <c r="M255" s="122" t="s">
        <v>80</v>
      </c>
      <c r="N255" s="139" t="s">
        <v>149</v>
      </c>
      <c r="O255" s="137" t="str">
        <f t="shared" ca="1" si="200"/>
        <v>Fotocópias</v>
      </c>
      <c r="P255" s="138" t="str">
        <f t="shared" ca="1" si="190"/>
        <v>Unidade</v>
      </c>
      <c r="Q255" s="134">
        <v>100</v>
      </c>
      <c r="R255" s="124">
        <f t="shared" ca="1" si="191"/>
        <v>0.3</v>
      </c>
      <c r="S255" s="136" t="s">
        <v>62</v>
      </c>
      <c r="T255" s="123">
        <f t="shared" ca="1" si="192"/>
        <v>0.38</v>
      </c>
      <c r="U255" s="126">
        <f t="shared" ca="1" si="193"/>
        <v>38</v>
      </c>
      <c r="V255" s="1"/>
      <c r="W255" s="39" t="str">
        <f ca="1">IF(OR($A255=0,$A255="S",$A255&gt;CFF!$A$9),"",MAX(W$11:OFFSET(W255,-1,0))+1)</f>
        <v/>
      </c>
      <c r="X255" s="4" t="str">
        <f t="shared" si="194"/>
        <v>Serv. Terc.-001</v>
      </c>
      <c r="Y255" s="39">
        <f t="shared" ca="1" si="201"/>
        <v>81</v>
      </c>
      <c r="Z255" s="1"/>
      <c r="AA255" s="133">
        <f>IF($J255=$G$2,ROUND(IF(ISNUMBER(S255),S255,IF(LEFT(S255,2)="DI",HLOOKUP(S255,DADOS!$T$29:$X$30,2,FALSE),0)),4),"")</f>
        <v>0.25</v>
      </c>
      <c r="AB255" s="2"/>
    </row>
    <row r="256" spans="1:28">
      <c r="A256" t="str">
        <f t="shared" si="197"/>
        <v>S</v>
      </c>
      <c r="B256">
        <f t="shared" si="198"/>
        <v>0</v>
      </c>
      <c r="C256">
        <f t="shared" ca="1" si="183"/>
        <v>3</v>
      </c>
      <c r="D256">
        <f t="shared" ca="1" si="184"/>
        <v>3</v>
      </c>
      <c r="E256">
        <f t="shared" ca="1" si="185"/>
        <v>0</v>
      </c>
      <c r="F256">
        <f t="shared" ca="1" si="186"/>
        <v>0</v>
      </c>
      <c r="G256">
        <f t="shared" ca="1" si="187"/>
        <v>6</v>
      </c>
      <c r="H256">
        <f ca="1">IF(OR($A256="S",$A256=0),0,MATCH(0,OFFSET($B256,1,$A256,ROW($A$1504)-ROW($A256)),0))</f>
        <v>0</v>
      </c>
      <c r="I256">
        <f ca="1">IF(OR($A256="S",$A256=0),0,MATCH(OFFSET($B256,0,$A256)+1,OFFSET($B256,1,$A256,ROW($A$1504)-ROW($A256)),0))</f>
        <v>0</v>
      </c>
      <c r="J256" s="132" t="s">
        <v>29</v>
      </c>
      <c r="K256" s="121" t="str">
        <f t="shared" ca="1" si="199"/>
        <v>3.3.6.</v>
      </c>
      <c r="L256" s="137" t="str">
        <f t="shared" ca="1" si="189"/>
        <v>Cotação</v>
      </c>
      <c r="M256" s="122" t="s">
        <v>80</v>
      </c>
      <c r="N256" s="139" t="s">
        <v>256</v>
      </c>
      <c r="O256" s="137" t="str">
        <f ca="1">IF(NOT(ISERROR($Y256)),IF($Y256&lt;&gt;FALSE,INDEX(Banco,$Y256,5),""),"")</f>
        <v>Instrutor/Monitor (Educação Fisíca)</v>
      </c>
      <c r="P256" s="138" t="str">
        <f t="shared" ca="1" si="190"/>
        <v>Horas</v>
      </c>
      <c r="Q256" s="134">
        <v>3</v>
      </c>
      <c r="R256" s="124">
        <f t="shared" ca="1" si="191"/>
        <v>100</v>
      </c>
      <c r="S256" s="136" t="s">
        <v>62</v>
      </c>
      <c r="T256" s="123">
        <f t="shared" ca="1" si="192"/>
        <v>125</v>
      </c>
      <c r="U256" s="126">
        <f t="shared" ca="1" si="193"/>
        <v>375</v>
      </c>
      <c r="V256" s="1"/>
      <c r="W256" s="39" t="str">
        <f ca="1">IF(OR($A256=0,$A256="S",$A256&gt;CFF!$A$9),"",MAX(W$11:OFFSET(W256,-1,0))+1)</f>
        <v/>
      </c>
      <c r="X256" s="4" t="str">
        <f t="shared" si="194"/>
        <v>Serv. Terc.-017</v>
      </c>
      <c r="Y256" s="39">
        <f t="shared" ca="1" si="201"/>
        <v>97</v>
      </c>
      <c r="Z256" s="1"/>
      <c r="AA256" s="133">
        <f>IF($J256=$G$2,ROUND(IF(ISNUMBER(S256),S256,IF(LEFT(S256,2)="DI",HLOOKUP(S256,DADOS!$T$29:$X$30,2,FALSE),0)),4),"")</f>
        <v>0.25</v>
      </c>
      <c r="AB256" s="2"/>
    </row>
    <row r="257" spans="1:28">
      <c r="A257" t="str">
        <f t="shared" si="197"/>
        <v>S</v>
      </c>
      <c r="B257">
        <f t="shared" si="198"/>
        <v>0</v>
      </c>
      <c r="C257">
        <f t="shared" ca="1" si="183"/>
        <v>3</v>
      </c>
      <c r="D257">
        <f t="shared" ca="1" si="184"/>
        <v>3</v>
      </c>
      <c r="E257">
        <f t="shared" ca="1" si="185"/>
        <v>0</v>
      </c>
      <c r="F257">
        <f t="shared" ca="1" si="186"/>
        <v>0</v>
      </c>
      <c r="G257">
        <f t="shared" ca="1" si="187"/>
        <v>7</v>
      </c>
      <c r="H257">
        <f ca="1">IF(OR($A257="S",$A257=0),0,MATCH(0,OFFSET($B257,1,$A257,ROW($A$1504)-ROW($A257)),0))</f>
        <v>0</v>
      </c>
      <c r="I257">
        <f ca="1">IF(OR($A257="S",$A257=0),0,MATCH(OFFSET($B257,0,$A257)+1,OFFSET($B257,1,$A257,ROW($A$1504)-ROW($A257)),0))</f>
        <v>0</v>
      </c>
      <c r="J257" s="132" t="s">
        <v>29</v>
      </c>
      <c r="K257" s="121" t="str">
        <f t="shared" ca="1" si="199"/>
        <v>3.3.7.</v>
      </c>
      <c r="L257" s="137" t="str">
        <f t="shared" ca="1" si="189"/>
        <v>Cotação</v>
      </c>
      <c r="M257" s="122" t="s">
        <v>80</v>
      </c>
      <c r="N257" s="139" t="s">
        <v>152</v>
      </c>
      <c r="O257" s="137" t="str">
        <f t="shared" ca="1" si="200"/>
        <v>Carro de som com gravação de vinheta</v>
      </c>
      <c r="P257" s="138" t="str">
        <f t="shared" ca="1" si="190"/>
        <v>Horas</v>
      </c>
      <c r="Q257" s="134">
        <v>3</v>
      </c>
      <c r="R257" s="124">
        <f t="shared" ca="1" si="191"/>
        <v>200</v>
      </c>
      <c r="S257" s="136" t="s">
        <v>62</v>
      </c>
      <c r="T257" s="123">
        <f t="shared" ca="1" si="192"/>
        <v>250</v>
      </c>
      <c r="U257" s="126">
        <f t="shared" ca="1" si="193"/>
        <v>750</v>
      </c>
      <c r="V257" s="1"/>
      <c r="W257" s="39" t="str">
        <f ca="1">IF(OR($A257=0,$A257="S",$A257&gt;CFF!$A$9),"",MAX(W$11:OFFSET(W257,-1,0))+1)</f>
        <v/>
      </c>
      <c r="X257" s="4" t="str">
        <f t="shared" si="194"/>
        <v>Serv. Terc.-002</v>
      </c>
      <c r="Y257" s="39">
        <f t="shared" ca="1" si="201"/>
        <v>82</v>
      </c>
      <c r="Z257" s="1"/>
      <c r="AA257" s="133">
        <f>IF($J257=$G$2,ROUND(IF(ISNUMBER(S257),S257,IF(LEFT(S257,2)="DI",HLOOKUP(S257,DADOS!$T$29:$X$30,2,FALSE),0)),4),"")</f>
        <v>0.25</v>
      </c>
      <c r="AB257" s="2"/>
    </row>
    <row r="258" spans="1:28">
      <c r="A258" t="str">
        <f t="shared" si="197"/>
        <v>S</v>
      </c>
      <c r="B258">
        <f t="shared" si="198"/>
        <v>0</v>
      </c>
      <c r="C258">
        <f t="shared" ca="1" si="183"/>
        <v>3</v>
      </c>
      <c r="D258">
        <f t="shared" ca="1" si="184"/>
        <v>3</v>
      </c>
      <c r="E258">
        <f t="shared" ca="1" si="185"/>
        <v>0</v>
      </c>
      <c r="F258">
        <f t="shared" ca="1" si="186"/>
        <v>0</v>
      </c>
      <c r="G258">
        <f t="shared" ca="1" si="187"/>
        <v>8</v>
      </c>
      <c r="H258">
        <f ca="1">IF(OR($A258="S",$A258=0),0,MATCH(0,OFFSET($B258,1,$A258,ROW($A$1504)-ROW($A258)),0))</f>
        <v>0</v>
      </c>
      <c r="I258">
        <f ca="1">IF(OR($A258="S",$A258=0),0,MATCH(OFFSET($B258,0,$A258)+1,OFFSET($B258,1,$A258,ROW($A$1504)-ROW($A258)),0))</f>
        <v>0</v>
      </c>
      <c r="J258" s="132" t="s">
        <v>29</v>
      </c>
      <c r="K258" s="121" t="str">
        <f t="shared" ca="1" si="199"/>
        <v>3.3.8.</v>
      </c>
      <c r="L258" s="137" t="str">
        <f t="shared" ca="1" si="189"/>
        <v>Cotação</v>
      </c>
      <c r="M258" s="122" t="s">
        <v>80</v>
      </c>
      <c r="N258" s="139" t="s">
        <v>157</v>
      </c>
      <c r="O258" s="137" t="str">
        <f t="shared" ca="1" si="200"/>
        <v>Locação de pula-pula com monitor</v>
      </c>
      <c r="P258" s="138" t="str">
        <f t="shared" ca="1" si="190"/>
        <v>Unidade</v>
      </c>
      <c r="Q258" s="134">
        <v>2</v>
      </c>
      <c r="R258" s="124">
        <f t="shared" ca="1" si="191"/>
        <v>220</v>
      </c>
      <c r="S258" s="136" t="s">
        <v>62</v>
      </c>
      <c r="T258" s="123">
        <f t="shared" ca="1" si="192"/>
        <v>275</v>
      </c>
      <c r="U258" s="126">
        <f t="shared" ca="1" si="193"/>
        <v>550</v>
      </c>
      <c r="V258" s="1"/>
      <c r="W258" s="39" t="str">
        <f ca="1">IF(OR($A258=0,$A258="S",$A258&gt;CFF!$A$9),"",MAX(W$11:OFFSET(W258,-1,0))+1)</f>
        <v/>
      </c>
      <c r="X258" s="4" t="str">
        <f t="shared" si="194"/>
        <v>Serv. Terc.-008</v>
      </c>
      <c r="Y258" s="39">
        <f t="shared" ca="1" si="201"/>
        <v>88</v>
      </c>
      <c r="Z258" s="1"/>
      <c r="AA258" s="133">
        <f>IF($J258=$G$2,ROUND(IF(ISNUMBER(S258),S258,IF(LEFT(S258,2)="DI",HLOOKUP(S258,DADOS!$T$29:$X$30,2,FALSE),0)),4),"")</f>
        <v>0.25</v>
      </c>
      <c r="AB258" s="2"/>
    </row>
    <row r="259" spans="1:28">
      <c r="A259" t="str">
        <f t="shared" si="197"/>
        <v>S</v>
      </c>
      <c r="B259">
        <f t="shared" si="198"/>
        <v>0</v>
      </c>
      <c r="C259">
        <f t="shared" ca="1" si="183"/>
        <v>3</v>
      </c>
      <c r="D259">
        <f t="shared" ca="1" si="184"/>
        <v>3</v>
      </c>
      <c r="E259">
        <f t="shared" ca="1" si="185"/>
        <v>0</v>
      </c>
      <c r="F259">
        <f t="shared" ca="1" si="186"/>
        <v>0</v>
      </c>
      <c r="G259">
        <f t="shared" ca="1" si="187"/>
        <v>9</v>
      </c>
      <c r="H259">
        <f ca="1">IF(OR($A259="S",$A259=0),0,MATCH(0,OFFSET($B259,1,$A259,ROW($A$1504)-ROW($A259)),0))</f>
        <v>0</v>
      </c>
      <c r="I259">
        <f ca="1">IF(OR($A259="S",$A259=0),0,MATCH(OFFSET($B259,0,$A259)+1,OFFSET($B259,1,$A259,ROW($A$1504)-ROW($A259)),0))</f>
        <v>0</v>
      </c>
      <c r="J259" s="132" t="s">
        <v>29</v>
      </c>
      <c r="K259" s="121" t="str">
        <f t="shared" ca="1" si="199"/>
        <v>3.3.9.</v>
      </c>
      <c r="L259" s="137" t="str">
        <f t="shared" ca="1" si="189"/>
        <v xml:space="preserve">Cotação </v>
      </c>
      <c r="M259" s="122" t="s">
        <v>80</v>
      </c>
      <c r="N259" s="139" t="s">
        <v>160</v>
      </c>
      <c r="O259" s="137" t="str">
        <f t="shared" ca="1" si="200"/>
        <v>Barra de gelo</v>
      </c>
      <c r="P259" s="138" t="str">
        <f t="shared" ca="1" si="190"/>
        <v>Unidade</v>
      </c>
      <c r="Q259" s="134">
        <v>4</v>
      </c>
      <c r="R259" s="124">
        <f t="shared" ca="1" si="191"/>
        <v>12</v>
      </c>
      <c r="S259" s="136" t="s">
        <v>62</v>
      </c>
      <c r="T259" s="123">
        <f t="shared" ca="1" si="192"/>
        <v>15</v>
      </c>
      <c r="U259" s="126">
        <f t="shared" ca="1" si="193"/>
        <v>60</v>
      </c>
      <c r="V259" s="1"/>
      <c r="W259" s="39" t="str">
        <f ca="1">IF(OR($A259=0,$A259="S",$A259&gt;CFF!$A$9),"",MAX(W$11:OFFSET(W259,-1,0))+1)</f>
        <v/>
      </c>
      <c r="X259" s="4" t="str">
        <f t="shared" si="194"/>
        <v>Serv. Terc.-011</v>
      </c>
      <c r="Y259" s="39">
        <f t="shared" ca="1" si="201"/>
        <v>91</v>
      </c>
      <c r="Z259" s="1"/>
      <c r="AA259" s="133">
        <f>IF($J259=$G$2,ROUND(IF(ISNUMBER(S259),S259,IF(LEFT(S259,2)="DI",HLOOKUP(S259,DADOS!$T$29:$X$30,2,FALSE),0)),4),"")</f>
        <v>0.25</v>
      </c>
      <c r="AB259" s="2"/>
    </row>
    <row r="260" spans="1:28">
      <c r="A260" t="str">
        <f t="shared" si="197"/>
        <v>S</v>
      </c>
      <c r="B260">
        <f t="shared" si="198"/>
        <v>0</v>
      </c>
      <c r="C260">
        <f t="shared" ca="1" si="183"/>
        <v>3</v>
      </c>
      <c r="D260">
        <f t="shared" ca="1" si="184"/>
        <v>3</v>
      </c>
      <c r="E260">
        <f t="shared" ca="1" si="185"/>
        <v>0</v>
      </c>
      <c r="F260">
        <f t="shared" ca="1" si="186"/>
        <v>0</v>
      </c>
      <c r="G260">
        <f t="shared" ca="1" si="187"/>
        <v>10</v>
      </c>
      <c r="H260">
        <f ca="1">IF(OR($A260="S",$A260=0),0,MATCH(0,OFFSET($B260,1,$A260,ROW($A$1504)-ROW($A260)),0))</f>
        <v>0</v>
      </c>
      <c r="I260">
        <f ca="1">IF(OR($A260="S",$A260=0),0,MATCH(OFFSET($B260,0,$A260)+1,OFFSET($B260,1,$A260,ROW($A$1504)-ROW($A260)),0))</f>
        <v>0</v>
      </c>
      <c r="J260" s="132" t="s">
        <v>29</v>
      </c>
      <c r="K260" s="121" t="str">
        <f t="shared" ca="1" si="199"/>
        <v>3.3.10.</v>
      </c>
      <c r="L260" s="137" t="str">
        <f t="shared" ca="1" si="189"/>
        <v>Cotação</v>
      </c>
      <c r="M260" s="122" t="s">
        <v>80</v>
      </c>
      <c r="N260" s="139" t="s">
        <v>150</v>
      </c>
      <c r="O260" s="137" t="str">
        <f t="shared" ca="1" si="200"/>
        <v>Sucos</v>
      </c>
      <c r="P260" s="138" t="str">
        <f t="shared" ca="1" si="190"/>
        <v>Unidade</v>
      </c>
      <c r="Q260" s="134">
        <v>12</v>
      </c>
      <c r="R260" s="124">
        <f t="shared" ca="1" si="191"/>
        <v>6.4</v>
      </c>
      <c r="S260" s="136" t="s">
        <v>62</v>
      </c>
      <c r="T260" s="123">
        <f t="shared" ca="1" si="192"/>
        <v>8</v>
      </c>
      <c r="U260" s="126">
        <f t="shared" ca="1" si="193"/>
        <v>96</v>
      </c>
      <c r="V260" s="1"/>
      <c r="W260" s="39" t="str">
        <f ca="1">IF(OR($A260=0,$A260="S",$A260&gt;CFF!$A$9),"",MAX(W$11:OFFSET(W260,-1,0))+1)</f>
        <v/>
      </c>
      <c r="X260" s="4" t="str">
        <f t="shared" si="194"/>
        <v>Serv. Terc.-013</v>
      </c>
      <c r="Y260" s="39">
        <f t="shared" ca="1" si="201"/>
        <v>93</v>
      </c>
      <c r="Z260" s="1"/>
      <c r="AA260" s="133">
        <f>IF($J260=$G$2,ROUND(IF(ISNUMBER(S260),S260,IF(LEFT(S260,2)="DI",HLOOKUP(S260,DADOS!$T$29:$X$30,2,FALSE),0)),4),"")</f>
        <v>0.25</v>
      </c>
      <c r="AB260" s="2"/>
    </row>
    <row r="261" spans="1:28">
      <c r="A261" t="str">
        <f t="shared" si="197"/>
        <v>S</v>
      </c>
      <c r="B261">
        <f t="shared" si="198"/>
        <v>0</v>
      </c>
      <c r="C261">
        <f t="shared" ca="1" si="183"/>
        <v>3</v>
      </c>
      <c r="D261">
        <f t="shared" ca="1" si="184"/>
        <v>3</v>
      </c>
      <c r="E261">
        <f t="shared" ca="1" si="185"/>
        <v>0</v>
      </c>
      <c r="F261">
        <f t="shared" ca="1" si="186"/>
        <v>0</v>
      </c>
      <c r="G261">
        <f t="shared" ca="1" si="187"/>
        <v>11</v>
      </c>
      <c r="H261">
        <f ca="1">IF(OR($A261="S",$A261=0),0,MATCH(0,OFFSET($B261,1,$A261,ROW($A$1504)-ROW($A261)),0))</f>
        <v>0</v>
      </c>
      <c r="I261">
        <f ca="1">IF(OR($A261="S",$A261=0),0,MATCH(OFFSET($B261,0,$A261)+1,OFFSET($B261,1,$A261,ROW($A$1504)-ROW($A261)),0))</f>
        <v>0</v>
      </c>
      <c r="J261" s="132" t="s">
        <v>29</v>
      </c>
      <c r="K261" s="121" t="str">
        <f t="shared" ca="1" si="199"/>
        <v>3.3.11.</v>
      </c>
      <c r="L261" s="137" t="str">
        <f t="shared" ca="1" si="189"/>
        <v>Cotação</v>
      </c>
      <c r="M261" s="122" t="s">
        <v>80</v>
      </c>
      <c r="N261" s="139" t="s">
        <v>154</v>
      </c>
      <c r="O261" s="137" t="str">
        <f ca="1">IF(NOT(ISERROR($Y261)),IF($Y261&lt;&gt;FALSE,INDEX(Banco,$Y261,5),""),"")</f>
        <v>Locação de caixa térmica</v>
      </c>
      <c r="P261" s="138" t="str">
        <f t="shared" ca="1" si="190"/>
        <v>Unidade</v>
      </c>
      <c r="Q261" s="134">
        <v>2</v>
      </c>
      <c r="R261" s="124">
        <f t="shared" ca="1" si="191"/>
        <v>40</v>
      </c>
      <c r="S261" s="136" t="s">
        <v>62</v>
      </c>
      <c r="T261" s="123">
        <f t="shared" ca="1" si="192"/>
        <v>50</v>
      </c>
      <c r="U261" s="126">
        <f t="shared" ca="1" si="193"/>
        <v>100</v>
      </c>
      <c r="V261" s="1"/>
      <c r="W261" s="39" t="str">
        <f ca="1">IF(OR($A261=0,$A261="S",$A261&gt;CFF!$A$9),"",MAX(W$11:OFFSET(W261,-1,0))+1)</f>
        <v/>
      </c>
      <c r="X261" s="4" t="str">
        <f t="shared" si="194"/>
        <v>Serv. Terc.-005</v>
      </c>
      <c r="Y261" s="39">
        <f t="shared" ca="1" si="201"/>
        <v>85</v>
      </c>
      <c r="Z261" s="1"/>
      <c r="AA261" s="133">
        <f>IF($J261=$G$2,ROUND(IF(ISNUMBER(S261),S261,IF(LEFT(S261,2)="DI",HLOOKUP(S261,DADOS!$T$29:$X$30,2,FALSE),0)),4),"")</f>
        <v>0.25</v>
      </c>
      <c r="AB261" s="2"/>
    </row>
    <row r="262" spans="1:28">
      <c r="A262" t="str">
        <f>CHOOSE(1+LOG(1+2*(J262=$C$2)+4*(J262=$D$2)+8*(J262=$E$2)+16*(J262=$F$2)+32*(J262=$G$2),2),0,1,2,3,4,"S")</f>
        <v>S</v>
      </c>
      <c r="B262">
        <f>IF(OR(A262="S",A262=0),0,IF(ISERROR(I262),H262,SMALL(H262:I262,1)))</f>
        <v>0</v>
      </c>
      <c r="C262">
        <f ca="1">IF($A262=1,OFFSET(C262,-1,0)+1,OFFSET(C262,-1,0))</f>
        <v>3</v>
      </c>
      <c r="D262">
        <f ca="1">IF($A262=1,0,IF($A262=2,OFFSET(D262,-1,0)+1,OFFSET(D262,-1,0)))</f>
        <v>3</v>
      </c>
      <c r="E262">
        <f ca="1">IF(AND($A262&lt;=2,$A262&lt;&gt;0),0,IF($A262=3,OFFSET(E262,-1,0)+1,OFFSET(E262,-1,0)))</f>
        <v>0</v>
      </c>
      <c r="F262">
        <f ca="1">IF(AND($A262&lt;=3,$A262&lt;&gt;0),0,IF($A262=4,OFFSET(F262,-1,0)+1,OFFSET(F262,-1,0)))</f>
        <v>0</v>
      </c>
      <c r="G262">
        <f ca="1">IF(AND($A262&lt;=4,$A262&lt;&gt;0),0,IF($A262="S",OFFSET(G262,-1,0)+1,OFFSET(G262,-1,0)))</f>
        <v>12</v>
      </c>
      <c r="H262">
        <f ca="1">IF(OR($A262="S",$A262=0),0,MATCH(0,OFFSET($B262,1,$A262,ROW($A$1504)-ROW($A262)),0))</f>
        <v>0</v>
      </c>
      <c r="I262">
        <f ca="1">IF(OR($A262="S",$A262=0),0,MATCH(OFFSET($B262,0,$A262)+1,OFFSET($B262,1,$A262,ROW($A$1504)-ROW($A262)),0))</f>
        <v>0</v>
      </c>
      <c r="J262" s="132" t="s">
        <v>29</v>
      </c>
      <c r="K262" s="121" t="str">
        <f ca="1">IF($A262=0,"-",CONCATENATE(C262&amp;".",IF(AND($A$5&gt;=2,$A262&gt;=2),D262&amp;".",""),IF(AND($A$5&gt;=3,$A262&gt;=3),E262&amp;".",""),IF(AND($A$5&gt;=4,$A262&gt;=4),F262&amp;".",""),IF($A262="S",G262&amp;".","")))</f>
        <v>3.3.12.</v>
      </c>
      <c r="L262" s="137" t="str">
        <f ca="1">IF(NOT(ISERROR($Y262)),IF($Y262&lt;&gt;FALSE,INDEX(Banco,$Y262,4),""),"")</f>
        <v>Cotação</v>
      </c>
      <c r="M262" s="122" t="s">
        <v>80</v>
      </c>
      <c r="N262" s="139" t="s">
        <v>171</v>
      </c>
      <c r="O262" s="137" t="str">
        <f ca="1">IF(NOT(ISERROR($Y262)),IF($Y262&lt;&gt;FALSE,INDEX(Banco,$Y262,5),""),"")</f>
        <v xml:space="preserve">Refrigerantes (02 litros) </v>
      </c>
      <c r="P262" s="138" t="str">
        <f ca="1">IF(NOT(ISERROR($Y262)),IF($Y262&lt;&gt;FALSE,INDEX(Banco,$Y262,6),""),"")</f>
        <v>Unidade</v>
      </c>
      <c r="Q262" s="134">
        <v>20</v>
      </c>
      <c r="R262" s="124">
        <f ca="1">IF(NOT(ISERROR($Y262)),IF($Y262&lt;&gt;FALSE,INDEX(Banco,$Y262,7),0),0)</f>
        <v>6</v>
      </c>
      <c r="S262" s="136" t="s">
        <v>62</v>
      </c>
      <c r="T262" s="123">
        <f ca="1">IF($J262=$G$2,ROUND(ROUND($R262,2)*IF($R$9="Preço Unitário (R$)",1,1+$AA262),2),0)</f>
        <v>7.5</v>
      </c>
      <c r="U262" s="126">
        <f ca="1">IF($A262="S",VTOTAL1,IF($A262=0,0,ROUND(SomaAgrup,2)))</f>
        <v>150</v>
      </c>
      <c r="V262" s="1"/>
      <c r="W262" s="39" t="str">
        <f ca="1">IF(OR($A262=0,$A262="S",$A262&gt;CFF!$A$9),"",MAX(W$11:OFFSET(W262,-1,0))+1)</f>
        <v/>
      </c>
      <c r="X262" s="4" t="str">
        <f>IF(AND($J262=$G$2,$N262&lt;&gt;"",$M262&lt;&gt;""),CONCATENATE($M262,"-",$N262))</f>
        <v>Serv. Terc.-027</v>
      </c>
      <c r="Y262" s="39">
        <f ca="1">IF(X262&lt;&gt;FALSE,MATCH(X262,OFFSET(Banco,0,0,,1),0))</f>
        <v>107</v>
      </c>
      <c r="Z262" s="1"/>
      <c r="AA262" s="133">
        <f>IF($J262=$G$2,ROUND(IF(ISNUMBER(S262),S262,IF(LEFT(S262,2)="DI",HLOOKUP(S262,DADOS!$T$29:$X$30,2,FALSE),0)),4),"")</f>
        <v>0.25</v>
      </c>
      <c r="AB262" s="2"/>
    </row>
    <row r="263" spans="1:28">
      <c r="A263" t="str">
        <f t="shared" si="197"/>
        <v>S</v>
      </c>
      <c r="B263">
        <f t="shared" si="198"/>
        <v>0</v>
      </c>
      <c r="C263">
        <f t="shared" ca="1" si="183"/>
        <v>3</v>
      </c>
      <c r="D263">
        <f t="shared" ca="1" si="184"/>
        <v>3</v>
      </c>
      <c r="E263">
        <f t="shared" ca="1" si="185"/>
        <v>0</v>
      </c>
      <c r="F263">
        <f t="shared" ca="1" si="186"/>
        <v>0</v>
      </c>
      <c r="G263">
        <f t="shared" ca="1" si="187"/>
        <v>13</v>
      </c>
      <c r="H263">
        <f ca="1">IF(OR($A263="S",$A263=0),0,MATCH(0,OFFSET($B263,1,$A263,ROW($A$1504)-ROW($A263)),0))</f>
        <v>0</v>
      </c>
      <c r="I263">
        <f ca="1">IF(OR($A263="S",$A263=0),0,MATCH(OFFSET($B263,0,$A263)+1,OFFSET($B263,1,$A263,ROW($A$1504)-ROW($A263)),0))</f>
        <v>0</v>
      </c>
      <c r="J263" s="132" t="s">
        <v>29</v>
      </c>
      <c r="K263" s="121" t="str">
        <f t="shared" ca="1" si="199"/>
        <v>3.3.13.</v>
      </c>
      <c r="L263" s="137" t="str">
        <f t="shared" ca="1" si="189"/>
        <v xml:space="preserve">Cotação </v>
      </c>
      <c r="M263" s="122" t="s">
        <v>80</v>
      </c>
      <c r="N263" s="139" t="s">
        <v>159</v>
      </c>
      <c r="O263" s="137" t="str">
        <f t="shared" ca="1" si="200"/>
        <v>Brindes ( descrição nos orçamentos e PTS)</v>
      </c>
      <c r="P263" s="138" t="str">
        <f t="shared" ca="1" si="190"/>
        <v>Unidade</v>
      </c>
      <c r="Q263" s="134">
        <v>4</v>
      </c>
      <c r="R263" s="124">
        <f t="shared" ca="1" si="191"/>
        <v>120</v>
      </c>
      <c r="S263" s="136" t="s">
        <v>62</v>
      </c>
      <c r="T263" s="123">
        <f t="shared" ca="1" si="192"/>
        <v>150</v>
      </c>
      <c r="U263" s="126">
        <f t="shared" ca="1" si="193"/>
        <v>600</v>
      </c>
      <c r="V263" s="1"/>
      <c r="W263" s="39" t="str">
        <f ca="1">IF(OR($A263=0,$A263="S",$A263&gt;CFF!$A$9),"",MAX(W$11:OFFSET(W263,-1,0))+1)</f>
        <v/>
      </c>
      <c r="X263" s="4" t="str">
        <f t="shared" si="194"/>
        <v>Serv. Terc.-010</v>
      </c>
      <c r="Y263" s="39">
        <f t="shared" ca="1" si="201"/>
        <v>90</v>
      </c>
      <c r="Z263" s="1"/>
      <c r="AA263" s="133">
        <f>IF($J263=$G$2,ROUND(IF(ISNUMBER(S263),S263,IF(LEFT(S263,2)="DI",HLOOKUP(S263,DADOS!$T$29:$X$30,2,FALSE),0)),4),"")</f>
        <v>0.25</v>
      </c>
      <c r="AB263" s="2"/>
    </row>
    <row r="264" spans="1:28">
      <c r="A264" t="str">
        <f t="shared" si="197"/>
        <v>S</v>
      </c>
      <c r="B264">
        <f t="shared" si="198"/>
        <v>0</v>
      </c>
      <c r="C264">
        <f t="shared" ca="1" si="183"/>
        <v>3</v>
      </c>
      <c r="D264">
        <f t="shared" ca="1" si="184"/>
        <v>3</v>
      </c>
      <c r="E264">
        <f t="shared" ca="1" si="185"/>
        <v>0</v>
      </c>
      <c r="F264">
        <f t="shared" ca="1" si="186"/>
        <v>0</v>
      </c>
      <c r="G264">
        <f t="shared" ca="1" si="187"/>
        <v>14</v>
      </c>
      <c r="H264">
        <f ca="1">IF(OR($A264="S",$A264=0),0,MATCH(0,OFFSET($B264,1,$A264,ROW($A$1504)-ROW($A264)),0))</f>
        <v>0</v>
      </c>
      <c r="I264">
        <f ca="1">IF(OR($A264="S",$A264=0),0,MATCH(OFFSET($B264,0,$A264)+1,OFFSET($B264,1,$A264,ROW($A$1504)-ROW($A264)),0))</f>
        <v>0</v>
      </c>
      <c r="J264" s="132" t="s">
        <v>29</v>
      </c>
      <c r="K264" s="121" t="str">
        <f t="shared" ca="1" si="199"/>
        <v>3.3.14.</v>
      </c>
      <c r="L264" s="137" t="str">
        <f t="shared" ca="1" si="189"/>
        <v>Cotação</v>
      </c>
      <c r="M264" s="122" t="s">
        <v>80</v>
      </c>
      <c r="N264" s="139" t="s">
        <v>162</v>
      </c>
      <c r="O264" s="137" t="str">
        <f t="shared" ca="1" si="200"/>
        <v>Coffee break (salgados)</v>
      </c>
      <c r="P264" s="138" t="str">
        <f t="shared" ca="1" si="190"/>
        <v>Centro</v>
      </c>
      <c r="Q264" s="134">
        <v>15</v>
      </c>
      <c r="R264" s="124">
        <f t="shared" ca="1" si="191"/>
        <v>65</v>
      </c>
      <c r="S264" s="136" t="s">
        <v>62</v>
      </c>
      <c r="T264" s="123">
        <f t="shared" ca="1" si="192"/>
        <v>81.25</v>
      </c>
      <c r="U264" s="126">
        <f t="shared" ca="1" si="193"/>
        <v>1218.75</v>
      </c>
      <c r="V264" s="1"/>
      <c r="W264" s="39" t="str">
        <f ca="1">IF(OR($A264=0,$A264="S",$A264&gt;CFF!$A$9),"",MAX(W$11:OFFSET(W264,-1,0))+1)</f>
        <v/>
      </c>
      <c r="X264" s="4" t="str">
        <f t="shared" si="194"/>
        <v>Serv. Terc.-015</v>
      </c>
      <c r="Y264" s="39">
        <f t="shared" ca="1" si="201"/>
        <v>95</v>
      </c>
      <c r="Z264" s="1"/>
      <c r="AA264" s="133">
        <f>IF($J264=$G$2,ROUND(IF(ISNUMBER(S264),S264,IF(LEFT(S264,2)="DI",HLOOKUP(S264,DADOS!$T$29:$X$30,2,FALSE),0)),4),"")</f>
        <v>0.25</v>
      </c>
      <c r="AB264" s="2"/>
    </row>
    <row r="265" spans="1:28">
      <c r="A265" t="str">
        <f t="shared" si="197"/>
        <v>S</v>
      </c>
      <c r="B265">
        <f t="shared" si="198"/>
        <v>0</v>
      </c>
      <c r="C265">
        <f t="shared" ca="1" si="183"/>
        <v>3</v>
      </c>
      <c r="D265">
        <f t="shared" ca="1" si="184"/>
        <v>3</v>
      </c>
      <c r="E265">
        <f t="shared" ca="1" si="185"/>
        <v>0</v>
      </c>
      <c r="F265">
        <f t="shared" ca="1" si="186"/>
        <v>0</v>
      </c>
      <c r="G265">
        <f t="shared" ca="1" si="187"/>
        <v>15</v>
      </c>
      <c r="H265">
        <f ca="1">IF(OR($A265="S",$A265=0),0,MATCH(0,OFFSET($B265,1,$A265,ROW($A$1504)-ROW($A265)),0))</f>
        <v>0</v>
      </c>
      <c r="I265">
        <f ca="1">IF(OR($A265="S",$A265=0),0,MATCH(OFFSET($B265,0,$A265)+1,OFFSET($B265,1,$A265,ROW($A$1504)-ROW($A265)),0))</f>
        <v>0</v>
      </c>
      <c r="J265" s="132" t="s">
        <v>29</v>
      </c>
      <c r="K265" s="121" t="str">
        <f t="shared" ca="1" si="199"/>
        <v>3.3.15.</v>
      </c>
      <c r="L265" s="137" t="str">
        <f t="shared" ca="1" si="189"/>
        <v>Cotação</v>
      </c>
      <c r="M265" s="122" t="s">
        <v>79</v>
      </c>
      <c r="N265" s="139" t="s">
        <v>163</v>
      </c>
      <c r="O265" s="137" t="str">
        <f t="shared" ca="1" si="200"/>
        <v>Guloseimas (balas e pirulito)</v>
      </c>
      <c r="P265" s="138" t="str">
        <f t="shared" ca="1" si="190"/>
        <v>Pacote</v>
      </c>
      <c r="Q265" s="134">
        <v>4</v>
      </c>
      <c r="R265" s="124">
        <f t="shared" ca="1" si="191"/>
        <v>12</v>
      </c>
      <c r="S265" s="136" t="s">
        <v>62</v>
      </c>
      <c r="T265" s="123">
        <f t="shared" ca="1" si="192"/>
        <v>15</v>
      </c>
      <c r="U265" s="126">
        <f t="shared" ca="1" si="193"/>
        <v>60</v>
      </c>
      <c r="V265" s="1"/>
      <c r="W265" s="39" t="str">
        <f ca="1">IF(OR($A265=0,$A265="S",$A265&gt;CFF!$A$9),"",MAX(W$11:OFFSET(W265,-1,0))+1)</f>
        <v/>
      </c>
      <c r="X265" s="4" t="str">
        <f t="shared" si="194"/>
        <v>Rec. Materiais-020</v>
      </c>
      <c r="Y265" s="39">
        <f t="shared" ca="1" si="201"/>
        <v>29</v>
      </c>
      <c r="Z265" s="1"/>
      <c r="AA265" s="133">
        <f>IF($J265=$G$2,ROUND(IF(ISNUMBER(S265),S265,IF(LEFT(S265,2)="DI",HLOOKUP(S265,DADOS!$T$29:$X$30,2,FALSE),0)),4),"")</f>
        <v>0.25</v>
      </c>
      <c r="AB265" s="2"/>
    </row>
    <row r="266" spans="1:28">
      <c r="A266" t="str">
        <f>CHOOSE(1+LOG(1+2*(J266=$C$2)+4*(J266=$D$2)+8*(J266=$E$2)+16*(J266=$F$2)+32*(J266=$G$2),2),0,1,2,3,4,"S")</f>
        <v>S</v>
      </c>
      <c r="B266">
        <f>IF(OR(A266="S",A266=0),0,IF(ISERROR(I266),H266,SMALL(H266:I266,1)))</f>
        <v>0</v>
      </c>
      <c r="C266">
        <f ca="1">IF($A266=1,OFFSET(C266,-1,0)+1,OFFSET(C266,-1,0))</f>
        <v>3</v>
      </c>
      <c r="D266">
        <f ca="1">IF($A266=1,0,IF($A266=2,OFFSET(D266,-1,0)+1,OFFSET(D266,-1,0)))</f>
        <v>3</v>
      </c>
      <c r="E266">
        <f ca="1">IF(AND($A266&lt;=2,$A266&lt;&gt;0),0,IF($A266=3,OFFSET(E266,-1,0)+1,OFFSET(E266,-1,0)))</f>
        <v>0</v>
      </c>
      <c r="F266">
        <f ca="1">IF(AND($A266&lt;=3,$A266&lt;&gt;0),0,IF($A266=4,OFFSET(F266,-1,0)+1,OFFSET(F266,-1,0)))</f>
        <v>0</v>
      </c>
      <c r="G266">
        <f ca="1">IF(AND($A266&lt;=4,$A266&lt;&gt;0),0,IF($A266="S",OFFSET(G266,-1,0)+1,OFFSET(G266,-1,0)))</f>
        <v>16</v>
      </c>
      <c r="H266">
        <f ca="1">IF(OR($A266="S",$A266=0),0,MATCH(0,OFFSET($B266,1,$A266,ROW($A$1504)-ROW($A266)),0))</f>
        <v>0</v>
      </c>
      <c r="I266">
        <f ca="1">IF(OR($A266="S",$A266=0),0,MATCH(OFFSET($B266,0,$A266)+1,OFFSET($B266,1,$A266,ROW($A$1504)-ROW($A266)),0))</f>
        <v>0</v>
      </c>
      <c r="J266" s="132" t="s">
        <v>29</v>
      </c>
      <c r="K266" s="121" t="str">
        <f ca="1">IF($A266=0,"-",CONCATENATE(C266&amp;".",IF(AND($A$5&gt;=2,$A266&gt;=2),D266&amp;".",""),IF(AND($A$5&gt;=3,$A266&gt;=3),E266&amp;".",""),IF(AND($A$5&gt;=4,$A266&gt;=4),F266&amp;".",""),IF($A266="S",G266&amp;".","")))</f>
        <v>3.3.16.</v>
      </c>
      <c r="L266" s="137" t="str">
        <f ca="1">IF(NOT(ISERROR($Y266)),IF($Y266&lt;&gt;FALSE,INDEX(Banco,$Y266,4),""),"")</f>
        <v>CREA</v>
      </c>
      <c r="M266" s="122" t="s">
        <v>80</v>
      </c>
      <c r="N266" s="139" t="s">
        <v>274</v>
      </c>
      <c r="O266" s="137" t="str">
        <f ca="1">IF(NOT(ISERROR($Y266)),IF($Y266&lt;&gt;FALSE,INDEX(Banco,$Y266,5),""),"")</f>
        <v>Engenheiro Sanitarista e Ambiental</v>
      </c>
      <c r="P266" s="138" t="str">
        <f ca="1">IF(NOT(ISERROR($Y266)),IF($Y266&lt;&gt;FALSE,INDEX(Banco,$Y266,6),""),"")</f>
        <v>Horas</v>
      </c>
      <c r="Q266" s="134">
        <v>4</v>
      </c>
      <c r="R266" s="124">
        <f ca="1">IF(NOT(ISERROR($Y266)),IF($Y266&lt;&gt;FALSE,INDEX(Banco,$Y266,7),0),0)</f>
        <v>91.88</v>
      </c>
      <c r="S266" s="136" t="s">
        <v>62</v>
      </c>
      <c r="T266" s="123">
        <f ca="1">IF($J266=$G$2,ROUND(ROUND($R266,2)*IF($R$9="Preço Unitário (R$)",1,1+$AA266),2),0)</f>
        <v>114.85</v>
      </c>
      <c r="U266" s="126">
        <f ca="1">IF($A266="S",VTOTAL1,IF($A266=0,0,ROUND(SomaAgrup,2)))</f>
        <v>459.4</v>
      </c>
      <c r="V266" s="1"/>
      <c r="W266" s="39" t="str">
        <f ca="1">IF(OR($A266=0,$A266="S",$A266&gt;CFF!$A$9),"",MAX(W$11:OFFSET(W266,-1,0))+1)</f>
        <v/>
      </c>
      <c r="X266" s="4" t="str">
        <f>IF(AND($J266=$G$2,$N266&lt;&gt;"",$M266&lt;&gt;""),CONCATENATE($M266,"-",$N266))</f>
        <v>Serv. Terc.-028</v>
      </c>
      <c r="Y266" s="39">
        <f ca="1">IF(X266&lt;&gt;FALSE,MATCH(X266,OFFSET(Banco,0,0,,1),0))</f>
        <v>108</v>
      </c>
      <c r="Z266" s="1"/>
      <c r="AA266" s="133">
        <f>IF($J266=$G$2,ROUND(IF(ISNUMBER(S266),S266,IF(LEFT(S266,2)="DI",HLOOKUP(S266,DADOS!$T$29:$X$30,2,FALSE),0)),4),"")</f>
        <v>0.25</v>
      </c>
      <c r="AB266" s="2"/>
    </row>
    <row r="267" spans="1:28">
      <c r="A267" t="str">
        <f t="shared" si="197"/>
        <v>S</v>
      </c>
      <c r="B267">
        <f t="shared" si="198"/>
        <v>0</v>
      </c>
      <c r="C267">
        <f t="shared" ca="1" si="183"/>
        <v>3</v>
      </c>
      <c r="D267">
        <f t="shared" ca="1" si="184"/>
        <v>3</v>
      </c>
      <c r="E267">
        <f t="shared" ca="1" si="185"/>
        <v>0</v>
      </c>
      <c r="F267">
        <f t="shared" ca="1" si="186"/>
        <v>0</v>
      </c>
      <c r="G267">
        <f t="shared" ca="1" si="187"/>
        <v>17</v>
      </c>
      <c r="H267">
        <f ca="1">IF(OR($A267="S",$A267=0),0,MATCH(0,OFFSET($B267,1,$A267,ROW($A$1504)-ROW($A267)),0))</f>
        <v>0</v>
      </c>
      <c r="I267">
        <f ca="1">IF(OR($A267="S",$A267=0),0,MATCH(OFFSET($B267,0,$A267)+1,OFFSET($B267,1,$A267,ROW($A$1504)-ROW($A267)),0))</f>
        <v>0</v>
      </c>
      <c r="J267" s="132" t="s">
        <v>29</v>
      </c>
      <c r="K267" s="121" t="str">
        <f t="shared" ca="1" si="199"/>
        <v>3.3.17.</v>
      </c>
      <c r="L267" s="137" t="str">
        <f t="shared" ca="1" si="189"/>
        <v>Cotação</v>
      </c>
      <c r="M267" s="122" t="s">
        <v>79</v>
      </c>
      <c r="N267" s="139" t="s">
        <v>165</v>
      </c>
      <c r="O267" s="137" t="str">
        <f t="shared" ca="1" si="200"/>
        <v>Papel de presente</v>
      </c>
      <c r="P267" s="138" t="str">
        <f t="shared" ca="1" si="190"/>
        <v>Folhas</v>
      </c>
      <c r="Q267" s="134">
        <v>8</v>
      </c>
      <c r="R267" s="124">
        <f t="shared" ca="1" si="191"/>
        <v>1.5</v>
      </c>
      <c r="S267" s="136" t="s">
        <v>62</v>
      </c>
      <c r="T267" s="123">
        <f t="shared" ca="1" si="192"/>
        <v>1.88</v>
      </c>
      <c r="U267" s="126">
        <f t="shared" ca="1" si="193"/>
        <v>15.04</v>
      </c>
      <c r="V267" s="1"/>
      <c r="W267" s="39" t="str">
        <f ca="1">IF(OR($A267=0,$A267="S",$A267&gt;CFF!$A$9),"",MAX(W$11:OFFSET(W267,-1,0))+1)</f>
        <v/>
      </c>
      <c r="X267" s="4" t="str">
        <f t="shared" si="194"/>
        <v>Rec. Materiais-021</v>
      </c>
      <c r="Y267" s="39">
        <f t="shared" ca="1" si="201"/>
        <v>30</v>
      </c>
      <c r="Z267" s="1"/>
      <c r="AA267" s="133">
        <f>IF($J267=$G$2,ROUND(IF(ISNUMBER(S267),S267,IF(LEFT(S267,2)="DI",HLOOKUP(S267,DADOS!$T$29:$X$30,2,FALSE),0)),4),"")</f>
        <v>0.25</v>
      </c>
      <c r="AB267" s="2"/>
    </row>
    <row r="268" spans="1:28">
      <c r="A268" t="str">
        <f t="shared" si="197"/>
        <v>S</v>
      </c>
      <c r="B268">
        <f t="shared" si="198"/>
        <v>0</v>
      </c>
      <c r="C268">
        <f t="shared" ca="1" si="183"/>
        <v>3</v>
      </c>
      <c r="D268">
        <f t="shared" ca="1" si="184"/>
        <v>3</v>
      </c>
      <c r="E268">
        <f t="shared" ca="1" si="185"/>
        <v>0</v>
      </c>
      <c r="F268">
        <f t="shared" ca="1" si="186"/>
        <v>0</v>
      </c>
      <c r="G268">
        <f t="shared" ca="1" si="187"/>
        <v>18</v>
      </c>
      <c r="H268">
        <f ca="1">IF(OR($A268="S",$A268=0),0,MATCH(0,OFFSET($B268,1,$A268,ROW($A$1504)-ROW($A268)),0))</f>
        <v>0</v>
      </c>
      <c r="I268">
        <f ca="1">IF(OR($A268="S",$A268=0),0,MATCH(OFFSET($B268,0,$A268)+1,OFFSET($B268,1,$A268,ROW($A$1504)-ROW($A268)),0))</f>
        <v>0</v>
      </c>
      <c r="J268" s="132" t="s">
        <v>29</v>
      </c>
      <c r="K268" s="121" t="str">
        <f t="shared" ca="1" si="199"/>
        <v>3.3.18.</v>
      </c>
      <c r="L268" s="137" t="str">
        <f t="shared" ca="1" si="189"/>
        <v>Cotação</v>
      </c>
      <c r="M268" s="122" t="s">
        <v>79</v>
      </c>
      <c r="N268" s="139" t="s">
        <v>170</v>
      </c>
      <c r="O268" s="137" t="str">
        <f t="shared" ca="1" si="200"/>
        <v>Saco de lixo (100 litros)</v>
      </c>
      <c r="P268" s="138" t="str">
        <f t="shared" ca="1" si="190"/>
        <v>Pacote</v>
      </c>
      <c r="Q268" s="134">
        <v>2</v>
      </c>
      <c r="R268" s="124">
        <f t="shared" ca="1" si="191"/>
        <v>15</v>
      </c>
      <c r="S268" s="136" t="s">
        <v>62</v>
      </c>
      <c r="T268" s="123">
        <f t="shared" ca="1" si="192"/>
        <v>18.75</v>
      </c>
      <c r="U268" s="126">
        <f t="shared" ca="1" si="193"/>
        <v>37.5</v>
      </c>
      <c r="V268" s="1"/>
      <c r="W268" s="39" t="str">
        <f ca="1">IF(OR($A268=0,$A268="S",$A268&gt;CFF!$A$9),"",MAX(W$11:OFFSET(W268,-1,0))+1)</f>
        <v/>
      </c>
      <c r="X268" s="4" t="str">
        <f t="shared" si="194"/>
        <v>Rec. Materiais-026</v>
      </c>
      <c r="Y268" s="39">
        <f t="shared" ca="1" si="201"/>
        <v>35</v>
      </c>
      <c r="Z268" s="1"/>
      <c r="AA268" s="133">
        <f>IF($J268=$G$2,ROUND(IF(ISNUMBER(S268),S268,IF(LEFT(S268,2)="DI",HLOOKUP(S268,DADOS!$T$29:$X$30,2,FALSE),0)),4),"")</f>
        <v>0.25</v>
      </c>
      <c r="AB268" s="2"/>
    </row>
    <row r="269" spans="1:28">
      <c r="A269" t="str">
        <f t="shared" si="197"/>
        <v>S</v>
      </c>
      <c r="B269">
        <f t="shared" si="198"/>
        <v>0</v>
      </c>
      <c r="C269">
        <f t="shared" ca="1" si="183"/>
        <v>3</v>
      </c>
      <c r="D269">
        <f t="shared" ca="1" si="184"/>
        <v>3</v>
      </c>
      <c r="E269">
        <f t="shared" ca="1" si="185"/>
        <v>0</v>
      </c>
      <c r="F269">
        <f t="shared" ca="1" si="186"/>
        <v>0</v>
      </c>
      <c r="G269">
        <f t="shared" ca="1" si="187"/>
        <v>19</v>
      </c>
      <c r="H269">
        <f ca="1">IF(OR($A269="S",$A269=0),0,MATCH(0,OFFSET($B269,1,$A269,ROW($A$1504)-ROW($A269)),0))</f>
        <v>0</v>
      </c>
      <c r="I269">
        <f ca="1">IF(OR($A269="S",$A269=0),0,MATCH(OFFSET($B269,0,$A269)+1,OFFSET($B269,1,$A269,ROW($A$1504)-ROW($A269)),0))</f>
        <v>0</v>
      </c>
      <c r="J269" s="132" t="s">
        <v>29</v>
      </c>
      <c r="K269" s="121" t="str">
        <f t="shared" ca="1" si="199"/>
        <v>3.3.19.</v>
      </c>
      <c r="L269" s="137" t="str">
        <f t="shared" ca="1" si="189"/>
        <v>Cotação</v>
      </c>
      <c r="M269" s="122" t="s">
        <v>80</v>
      </c>
      <c r="N269" s="139" t="s">
        <v>164</v>
      </c>
      <c r="O269" s="137" t="str">
        <f t="shared" ca="1" si="200"/>
        <v>Cartilha/Miolo: 20 pgs. 15x21cm, 4 cores, tinta escala em couche</v>
      </c>
      <c r="P269" s="138" t="str">
        <f t="shared" ca="1" si="190"/>
        <v>Unidade</v>
      </c>
      <c r="Q269" s="134">
        <v>206</v>
      </c>
      <c r="R269" s="124">
        <f t="shared" ca="1" si="191"/>
        <v>20</v>
      </c>
      <c r="S269" s="136" t="s">
        <v>62</v>
      </c>
      <c r="T269" s="123">
        <f t="shared" ca="1" si="192"/>
        <v>25</v>
      </c>
      <c r="U269" s="126">
        <f t="shared" ca="1" si="193"/>
        <v>5150</v>
      </c>
      <c r="V269" s="1"/>
      <c r="W269" s="39" t="str">
        <f ca="1">IF(OR($A269=0,$A269="S",$A269&gt;CFF!$A$9),"",MAX(W$11:OFFSET(W269,-1,0))+1)</f>
        <v/>
      </c>
      <c r="X269" s="4" t="str">
        <f t="shared" si="194"/>
        <v>Serv. Terc.-019</v>
      </c>
      <c r="Y269" s="39">
        <f t="shared" ca="1" si="201"/>
        <v>99</v>
      </c>
      <c r="Z269" s="1"/>
      <c r="AA269" s="133">
        <f>IF($J269=$G$2,ROUND(IF(ISNUMBER(S269),S269,IF(LEFT(S269,2)="DI",HLOOKUP(S269,DADOS!$T$29:$X$30,2,FALSE),0)),4),"")</f>
        <v>0.25</v>
      </c>
      <c r="AB269" s="2"/>
    </row>
    <row r="270" spans="1:28">
      <c r="A270">
        <f t="shared" ref="A270:A278" si="202">CHOOSE(1+LOG(1+2*(J270=$C$2)+4*(J270=$D$2)+8*(J270=$E$2)+16*(J270=$F$2)+32*(J270=$G$2),2),0,1,2,3,4,"S")</f>
        <v>1</v>
      </c>
      <c r="B270">
        <f t="shared" ref="B270:B278" ca="1" si="203">IF(OR(A270="S",A270=0),0,IF(ISERROR(I270),H270,SMALL(H270:I270,1)))</f>
        <v>68</v>
      </c>
      <c r="C270">
        <f ca="1">IF($A270=1,OFFSET(C270,-1,0)+1,OFFSET(C270,-1,0))</f>
        <v>4</v>
      </c>
      <c r="D270">
        <f ca="1">IF($A270=1,0,IF($A270=2,OFFSET(D270,-1,0)+1,OFFSET(D270,-1,0)))</f>
        <v>0</v>
      </c>
      <c r="E270">
        <f ca="1">IF(AND($A270&lt;=2,$A270&lt;&gt;0),0,IF($A270=3,OFFSET(E270,-1,0)+1,OFFSET(E270,-1,0)))</f>
        <v>0</v>
      </c>
      <c r="F270">
        <f ca="1">IF(AND($A270&lt;=3,$A270&lt;&gt;0),0,IF($A270=4,OFFSET(F270,-1,0)+1,OFFSET(F270,-1,0)))</f>
        <v>0</v>
      </c>
      <c r="G270">
        <f ca="1">IF(AND($A270&lt;=4,$A270&lt;&gt;0),0,IF($A270="S",OFFSET(G270,-1,0)+1,OFFSET(G270,-1,0)))</f>
        <v>0</v>
      </c>
      <c r="H270">
        <f ca="1">IF(OR($A270="S",$A270=0),0,MATCH(0,OFFSET($B270,1,$A270,ROW($A$1504)-ROW($A270)),0))</f>
        <v>1234</v>
      </c>
      <c r="I270">
        <f ca="1">IF(OR($A270="S",$A270=0),0,MATCH(OFFSET($B270,0,$A270)+1,OFFSET($B270,1,$A270,ROW($A$1504)-ROW($A270)),0))</f>
        <v>68</v>
      </c>
      <c r="J270" s="132" t="s">
        <v>67</v>
      </c>
      <c r="K270" s="121" t="str">
        <f t="shared" ref="K270:K278" ca="1" si="204">IF($A270=0,"-",CONCATENATE(C270&amp;".",IF(AND($A$5&gt;=2,$A270&gt;=2),D270&amp;".",""),IF(AND($A$5&gt;=3,$A270&gt;=3),E270&amp;".",""),IF(AND($A$5&gt;=4,$A270&gt;=4),F270&amp;".",""),IF($A270="S",G270&amp;".","")))</f>
        <v>4.</v>
      </c>
      <c r="L270" s="137" t="str">
        <f ca="1">IF(NOT(ISERROR($Y270)),IF($Y270&lt;&gt;FALSE,INDEX(Banco,$Y270,4),""),"")</f>
        <v/>
      </c>
      <c r="M270" s="122"/>
      <c r="N270" s="139"/>
      <c r="O270" s="137" t="s">
        <v>265</v>
      </c>
      <c r="P270" s="138" t="str">
        <f ca="1">IF(NOT(ISERROR($Y270)),IF($Y270&lt;&gt;FALSE,INDEX(Banco,$Y270,6),""),"")</f>
        <v/>
      </c>
      <c r="Q270" s="134"/>
      <c r="R270" s="124">
        <f ca="1">IF(NOT(ISERROR($Y270)),IF($Y270&lt;&gt;FALSE,INDEX(Banco,$Y270,7),0),0)</f>
        <v>0</v>
      </c>
      <c r="S270" s="136" t="s">
        <v>62</v>
      </c>
      <c r="T270" s="123">
        <f>IF($J270=$G$2,ROUND(ROUND($R270,2)*IF($R$9="Preço Unitário (R$)",1,1+$AA270),2),0)</f>
        <v>0</v>
      </c>
      <c r="U270" s="126">
        <f ca="1">IF($A270="S",VTOTAL1,IF($A270=0,0,ROUND(SomaAgrup,2)))</f>
        <v>25971.65</v>
      </c>
      <c r="V270" s="1"/>
      <c r="W270" s="39">
        <f ca="1">IF(OR($A270=0,$A270="S",$A270&gt;CFF!$A$9),"",MAX(W$11:OFFSET(W270,-1,0))+1)</f>
        <v>17</v>
      </c>
      <c r="X270" s="4" t="b">
        <f>IF(AND($J270=$G$2,$N270&lt;&gt;"",$M270&lt;&gt;""),CONCATENATE($M270,"-",$N270))</f>
        <v>0</v>
      </c>
      <c r="Y270" s="39" t="b">
        <f t="shared" ref="Y270:Y278" ca="1" si="205">IF(X270&lt;&gt;FALSE,MATCH(X270,OFFSET(Banco,0,0,,1),0))</f>
        <v>0</v>
      </c>
      <c r="Z270" s="1"/>
      <c r="AA270" s="133" t="str">
        <f>IF($J270=$G$2,ROUND(IF(ISNUMBER(S270),S270,IF(LEFT(S270,2)="DI",HLOOKUP(S270,DADOS!$T$29:$X$30,2,FALSE),0)),4),"")</f>
        <v/>
      </c>
      <c r="AB270" s="2"/>
    </row>
    <row r="271" spans="1:28">
      <c r="A271">
        <f>CHOOSE(1+LOG(1+2*(J271=$C$2)+4*(J271=$D$2)+8*(J271=$E$2)+16*(J271=$F$2)+32*(J271=$G$2),2),0,1,2,3,4,"S")</f>
        <v>2</v>
      </c>
      <c r="B271">
        <f ca="1">IF(OR(A271="S",A271=0),0,IF(ISERROR(I271),H271,SMALL(H271:I271,1)))</f>
        <v>12</v>
      </c>
      <c r="C271">
        <f ca="1">IF($A271=1,OFFSET(C271,-1,0)+1,OFFSET(C271,-1,0))</f>
        <v>4</v>
      </c>
      <c r="D271">
        <f ca="1">IF($A271=1,0,IF($A271=2,OFFSET(D271,-1,0)+1,OFFSET(D271,-1,0)))</f>
        <v>1</v>
      </c>
      <c r="E271">
        <f ca="1">IF(AND($A271&lt;=2,$A271&lt;&gt;0),0,IF($A271=3,OFFSET(E271,-1,0)+1,OFFSET(E271,-1,0)))</f>
        <v>0</v>
      </c>
      <c r="F271">
        <f ca="1">IF(AND($A271&lt;=3,$A271&lt;&gt;0),0,IF($A271=4,OFFSET(F271,-1,0)+1,OFFSET(F271,-1,0)))</f>
        <v>0</v>
      </c>
      <c r="G271">
        <f ca="1">IF(AND($A271&lt;=4,$A271&lt;&gt;0),0,IF($A271="S",OFFSET(G271,-1,0)+1,OFFSET(G271,-1,0)))</f>
        <v>0</v>
      </c>
      <c r="H271">
        <f ca="1">IF(OR($A271="S",$A271=0),0,MATCH(0,OFFSET($B271,1,$A271,ROW($A$1504)-ROW($A271)),0))</f>
        <v>67</v>
      </c>
      <c r="I271">
        <f ca="1">IF(OR($A271="S",$A271=0),0,MATCH(OFFSET($B271,0,$A271)+1,OFFSET($B271,1,$A271,ROW($A$1504)-ROW($A271)),0))</f>
        <v>12</v>
      </c>
      <c r="J271" s="132" t="s">
        <v>68</v>
      </c>
      <c r="K271" s="121" t="str">
        <f ca="1">IF($A271=0,"-",CONCATENATE(C271&amp;".",IF(AND($A$5&gt;=2,$A271&gt;=2),D271&amp;".",""),IF(AND($A$5&gt;=3,$A271&gt;=3),E271&amp;".",""),IF(AND($A$5&gt;=4,$A271&gt;=4),F271&amp;".",""),IF($A271="S",G271&amp;".","")))</f>
        <v>4.1.</v>
      </c>
      <c r="L271" s="137" t="str">
        <f ca="1">IF(NOT(ISERROR($Y271)),IF($Y271&lt;&gt;FALSE,INDEX(Banco,$Y271,4),""),"")</f>
        <v/>
      </c>
      <c r="M271" s="122"/>
      <c r="N271" s="139"/>
      <c r="O271" s="137" t="s">
        <v>361</v>
      </c>
      <c r="P271" s="138" t="str">
        <f ca="1">IF(NOT(ISERROR($Y271)),IF($Y271&lt;&gt;FALSE,INDEX(Banco,$Y271,6),""),"")</f>
        <v/>
      </c>
      <c r="Q271" s="134"/>
      <c r="R271" s="124">
        <f ca="1">IF(NOT(ISERROR($Y271)),IF($Y271&lt;&gt;FALSE,INDEX(Banco,$Y271,7),0),0)</f>
        <v>0</v>
      </c>
      <c r="S271" s="136" t="s">
        <v>62</v>
      </c>
      <c r="T271" s="123">
        <f>IF($J271=$G$2,ROUND(ROUND($R271,2)*IF($R$9="Preço Unitário (R$)",1,1+$AA271),2),0)</f>
        <v>0</v>
      </c>
      <c r="U271" s="126">
        <f ca="1">IF($A271="S",VTOTAL1,IF($A271=0,0,ROUND(SomaAgrup,2)))</f>
        <v>6625.52</v>
      </c>
      <c r="V271" s="1"/>
      <c r="W271" s="39">
        <f ca="1">IF(OR($A271=0,$A271="S",$A271&gt;CFF!$A$9),"",MAX(W$11:OFFSET(W271,-1,0))+1)</f>
        <v>18</v>
      </c>
      <c r="X271" s="4" t="b">
        <f>IF(AND($J271=$G$2,$N271&lt;&gt;"",$M271&lt;&gt;""),CONCATENATE($M271,"-",$N271))</f>
        <v>0</v>
      </c>
      <c r="Y271" s="39" t="b">
        <f ca="1">IF(X271&lt;&gt;FALSE,MATCH(X271,OFFSET(Banco,0,0,,1),0))</f>
        <v>0</v>
      </c>
      <c r="Z271" s="1"/>
      <c r="AA271" s="133" t="str">
        <f>IF($J271=$G$2,ROUND(IF(ISNUMBER(S271),S271,IF(LEFT(S271,2)="DI",HLOOKUP(S271,DADOS!$T$29:$X$30,2,FALSE),0)),4),"")</f>
        <v/>
      </c>
      <c r="AB271" s="2"/>
    </row>
    <row r="272" spans="1:28">
      <c r="A272" t="str">
        <f t="shared" si="202"/>
        <v>S</v>
      </c>
      <c r="B272">
        <f t="shared" si="203"/>
        <v>0</v>
      </c>
      <c r="C272">
        <f t="shared" ca="1" si="183"/>
        <v>4</v>
      </c>
      <c r="D272">
        <f t="shared" ca="1" si="184"/>
        <v>1</v>
      </c>
      <c r="E272">
        <f t="shared" ca="1" si="185"/>
        <v>0</v>
      </c>
      <c r="F272">
        <f t="shared" ca="1" si="186"/>
        <v>0</v>
      </c>
      <c r="G272">
        <f t="shared" ca="1" si="187"/>
        <v>1</v>
      </c>
      <c r="H272">
        <f ca="1">IF(OR($A272="S",$A272=0),0,MATCH(0,OFFSET($B272,1,$A272,ROW($A$1504)-ROW($A272)),0))</f>
        <v>0</v>
      </c>
      <c r="I272">
        <f ca="1">IF(OR($A272="S",$A272=0),0,MATCH(OFFSET($B272,0,$A272)+1,OFFSET($B272,1,$A272,ROW($A$1504)-ROW($A272)),0))</f>
        <v>0</v>
      </c>
      <c r="J272" s="132" t="s">
        <v>29</v>
      </c>
      <c r="K272" s="121" t="str">
        <f t="shared" ca="1" si="204"/>
        <v>4.1.1.</v>
      </c>
      <c r="L272" s="137" t="str">
        <f t="shared" ca="1" si="189"/>
        <v>CRESS</v>
      </c>
      <c r="M272" s="122" t="s">
        <v>78</v>
      </c>
      <c r="N272" s="139" t="s">
        <v>149</v>
      </c>
      <c r="O272" s="137" t="str">
        <f ca="1">IF(NOT(ISERROR($Y272)),IF($Y272&lt;&gt;FALSE,INDEX(Banco,$Y272,5),""),"")</f>
        <v>Responsável Técnica</v>
      </c>
      <c r="P272" s="138" t="str">
        <f t="shared" ca="1" si="190"/>
        <v>Horas</v>
      </c>
      <c r="Q272" s="134">
        <v>14</v>
      </c>
      <c r="R272" s="124">
        <f t="shared" ca="1" si="191"/>
        <v>150.28</v>
      </c>
      <c r="S272" s="136" t="s">
        <v>62</v>
      </c>
      <c r="T272" s="123">
        <f t="shared" ca="1" si="192"/>
        <v>187.85</v>
      </c>
      <c r="U272" s="126">
        <f t="shared" ca="1" si="193"/>
        <v>2629.9</v>
      </c>
      <c r="V272" s="1"/>
      <c r="W272" s="39" t="str">
        <f ca="1">IF(OR($A272=0,$A272="S",$A272&gt;CFF!$A$9),"",MAX(W$11:OFFSET(W272,-1,0))+1)</f>
        <v/>
      </c>
      <c r="X272" s="4" t="str">
        <f t="shared" si="194"/>
        <v>Rec. Humanos-001</v>
      </c>
      <c r="Y272" s="39">
        <f t="shared" ca="1" si="205"/>
        <v>3</v>
      </c>
      <c r="Z272" s="1"/>
      <c r="AA272" s="133">
        <f>IF($J272=$G$2,ROUND(IF(ISNUMBER(S272),S272,IF(LEFT(S272,2)="DI",HLOOKUP(S272,DADOS!$T$29:$X$30,2,FALSE),0)),4),"")</f>
        <v>0.25</v>
      </c>
      <c r="AB272" s="2"/>
    </row>
    <row r="273" spans="1:28">
      <c r="A273" t="str">
        <f t="shared" si="202"/>
        <v>S</v>
      </c>
      <c r="B273">
        <f t="shared" si="203"/>
        <v>0</v>
      </c>
      <c r="C273">
        <f t="shared" ca="1" si="183"/>
        <v>4</v>
      </c>
      <c r="D273">
        <f t="shared" ca="1" si="184"/>
        <v>1</v>
      </c>
      <c r="E273">
        <f t="shared" ca="1" si="185"/>
        <v>0</v>
      </c>
      <c r="F273">
        <f t="shared" ca="1" si="186"/>
        <v>0</v>
      </c>
      <c r="G273">
        <f t="shared" ca="1" si="187"/>
        <v>2</v>
      </c>
      <c r="H273">
        <f ca="1">IF(OR($A273="S",$A273=0),0,MATCH(0,OFFSET($B273,1,$A273,ROW($A$1504)-ROW($A273)),0))</f>
        <v>0</v>
      </c>
      <c r="I273">
        <f ca="1">IF(OR($A273="S",$A273=0),0,MATCH(OFFSET($B273,0,$A273)+1,OFFSET($B273,1,$A273,ROW($A$1504)-ROW($A273)),0))</f>
        <v>0</v>
      </c>
      <c r="J273" s="132" t="s">
        <v>29</v>
      </c>
      <c r="K273" s="121" t="str">
        <f t="shared" ca="1" si="204"/>
        <v>4.1.2.</v>
      </c>
      <c r="L273" s="137" t="str">
        <f t="shared" ca="1" si="189"/>
        <v>CRESS</v>
      </c>
      <c r="M273" s="122" t="s">
        <v>78</v>
      </c>
      <c r="N273" s="139" t="s">
        <v>152</v>
      </c>
      <c r="O273" s="137" t="str">
        <f ca="1">IF(NOT(ISERROR($Y273)),IF($Y273&lt;&gt;FALSE,INDEX(Banco,$Y273,5),""),"")</f>
        <v>Assistente Social</v>
      </c>
      <c r="P273" s="138" t="str">
        <f t="shared" ca="1" si="190"/>
        <v>Horas</v>
      </c>
      <c r="Q273" s="134">
        <v>10</v>
      </c>
      <c r="R273" s="124">
        <f t="shared" ca="1" si="191"/>
        <v>133.81</v>
      </c>
      <c r="S273" s="136" t="s">
        <v>62</v>
      </c>
      <c r="T273" s="123">
        <f t="shared" ca="1" si="192"/>
        <v>167.26</v>
      </c>
      <c r="U273" s="126">
        <f t="shared" ca="1" si="193"/>
        <v>1672.6</v>
      </c>
      <c r="V273" s="1"/>
      <c r="W273" s="39" t="str">
        <f ca="1">IF(OR($A273=0,$A273="S",$A273&gt;CFF!$A$9),"",MAX(W$11:OFFSET(W273,-1,0))+1)</f>
        <v/>
      </c>
      <c r="X273" s="4" t="str">
        <f t="shared" si="194"/>
        <v>Rec. Humanos-002</v>
      </c>
      <c r="Y273" s="39">
        <f t="shared" ca="1" si="205"/>
        <v>4</v>
      </c>
      <c r="Z273" s="1"/>
      <c r="AA273" s="133">
        <f>IF($J273=$G$2,ROUND(IF(ISNUMBER(S273),S273,IF(LEFT(S273,2)="DI",HLOOKUP(S273,DADOS!$T$29:$X$30,2,FALSE),0)),4),"")</f>
        <v>0.25</v>
      </c>
      <c r="AB273" s="2"/>
    </row>
    <row r="274" spans="1:28">
      <c r="A274" t="str">
        <f t="shared" si="202"/>
        <v>S</v>
      </c>
      <c r="B274">
        <f t="shared" si="203"/>
        <v>0</v>
      </c>
      <c r="C274">
        <f t="shared" ca="1" si="183"/>
        <v>4</v>
      </c>
      <c r="D274">
        <f t="shared" ca="1" si="184"/>
        <v>1</v>
      </c>
      <c r="E274">
        <f t="shared" ca="1" si="185"/>
        <v>0</v>
      </c>
      <c r="F274">
        <f t="shared" ca="1" si="186"/>
        <v>0</v>
      </c>
      <c r="G274">
        <f t="shared" ca="1" si="187"/>
        <v>3</v>
      </c>
      <c r="H274">
        <f ca="1">IF(OR($A274="S",$A274=0),0,MATCH(0,OFFSET($B274,1,$A274,ROW($A$1504)-ROW($A274)),0))</f>
        <v>0</v>
      </c>
      <c r="I274">
        <f ca="1">IF(OR($A274="S",$A274=0),0,MATCH(OFFSET($B274,0,$A274)+1,OFFSET($B274,1,$A274,ROW($A$1504)-ROW($A274)),0))</f>
        <v>0</v>
      </c>
      <c r="J274" s="132" t="s">
        <v>29</v>
      </c>
      <c r="K274" s="121" t="str">
        <f t="shared" ca="1" si="204"/>
        <v>4.1.3.</v>
      </c>
      <c r="L274" s="137" t="str">
        <f t="shared" ca="1" si="189"/>
        <v>Cotação</v>
      </c>
      <c r="M274" s="122" t="s">
        <v>78</v>
      </c>
      <c r="N274" s="139" t="s">
        <v>151</v>
      </c>
      <c r="O274" s="137" t="str">
        <f ca="1">IF(NOT(ISERROR($Y274)),IF($Y274&lt;&gt;FALSE,INDEX(Banco,$Y274,5),""),"")</f>
        <v xml:space="preserve">Administrador (Técnico de Apoio) </v>
      </c>
      <c r="P274" s="138" t="str">
        <f t="shared" ca="1" si="190"/>
        <v>Horas</v>
      </c>
      <c r="Q274" s="134">
        <v>4</v>
      </c>
      <c r="R274" s="124">
        <f t="shared" ca="1" si="191"/>
        <v>103.65</v>
      </c>
      <c r="S274" s="136" t="s">
        <v>62</v>
      </c>
      <c r="T274" s="123">
        <f t="shared" ca="1" si="192"/>
        <v>129.56</v>
      </c>
      <c r="U274" s="126">
        <f t="shared" ca="1" si="193"/>
        <v>518.24</v>
      </c>
      <c r="V274" s="1"/>
      <c r="W274" s="39" t="str">
        <f ca="1">IF(OR($A274=0,$A274="S",$A274&gt;CFF!$A$9),"",MAX(W$11:OFFSET(W274,-1,0))+1)</f>
        <v/>
      </c>
      <c r="X274" s="4" t="str">
        <f t="shared" si="194"/>
        <v>Rec. Humanos-003</v>
      </c>
      <c r="Y274" s="39">
        <f t="shared" ca="1" si="205"/>
        <v>5</v>
      </c>
      <c r="Z274" s="1"/>
      <c r="AA274" s="133">
        <f>IF($J274=$G$2,ROUND(IF(ISNUMBER(S274),S274,IF(LEFT(S274,2)="DI",HLOOKUP(S274,DADOS!$T$29:$X$30,2,FALSE),0)),4),"")</f>
        <v>0.25</v>
      </c>
      <c r="AB274" s="2"/>
    </row>
    <row r="275" spans="1:28">
      <c r="A275" t="str">
        <f>CHOOSE(1+LOG(1+2*(J275=$C$2)+4*(J275=$D$2)+8*(J275=$E$2)+16*(J275=$F$2)+32*(J275=$G$2),2),0,1,2,3,4,"S")</f>
        <v>S</v>
      </c>
      <c r="B275">
        <f>IF(OR(A275="S",A275=0),0,IF(ISERROR(I275),H275,SMALL(H275:I275,1)))</f>
        <v>0</v>
      </c>
      <c r="C275">
        <f ca="1">IF($A275=1,OFFSET(C275,-1,0)+1,OFFSET(C275,-1,0))</f>
        <v>4</v>
      </c>
      <c r="D275">
        <f ca="1">IF($A275=1,0,IF($A275=2,OFFSET(D275,-1,0)+1,OFFSET(D275,-1,0)))</f>
        <v>1</v>
      </c>
      <c r="E275">
        <f ca="1">IF(AND($A275&lt;=2,$A275&lt;&gt;0),0,IF($A275=3,OFFSET(E275,-1,0)+1,OFFSET(E275,-1,0)))</f>
        <v>0</v>
      </c>
      <c r="F275">
        <f ca="1">IF(AND($A275&lt;=3,$A275&lt;&gt;0),0,IF($A275=4,OFFSET(F275,-1,0)+1,OFFSET(F275,-1,0)))</f>
        <v>0</v>
      </c>
      <c r="G275">
        <f ca="1">IF(AND($A275&lt;=4,$A275&lt;&gt;0),0,IF($A275="S",OFFSET(G275,-1,0)+1,OFFSET(G275,-1,0)))</f>
        <v>4</v>
      </c>
      <c r="H275">
        <f ca="1">IF(OR($A275="S",$A275=0),0,MATCH(0,OFFSET($B275,1,$A275,ROW($A$1504)-ROW($A275)),0))</f>
        <v>0</v>
      </c>
      <c r="I275">
        <f ca="1">IF(OR($A275="S",$A275=0),0,MATCH(OFFSET($B275,0,$A275)+1,OFFSET($B275,1,$A275,ROW($A$1504)-ROW($A275)),0))</f>
        <v>0</v>
      </c>
      <c r="J275" s="132" t="s">
        <v>29</v>
      </c>
      <c r="K275" s="121" t="str">
        <f ca="1">IF($A275=0,"-",CONCATENATE(C275&amp;".",IF(AND($A$5&gt;=2,$A275&gt;=2),D275&amp;".",""),IF(AND($A$5&gt;=3,$A275&gt;=3),E275&amp;".",""),IF(AND($A$5&gt;=4,$A275&gt;=4),F275&amp;".",""),IF($A275="S",G275&amp;".","")))</f>
        <v>4.1.4.</v>
      </c>
      <c r="L275" s="137" t="str">
        <f ca="1">IF(NOT(ISERROR($Y275)),IF($Y275&lt;&gt;FALSE,INDEX(Banco,$Y275,4),""),"")</f>
        <v>SINE</v>
      </c>
      <c r="M275" s="122" t="s">
        <v>78</v>
      </c>
      <c r="N275" s="139" t="s">
        <v>153</v>
      </c>
      <c r="O275" s="137" t="str">
        <f ca="1">IF(NOT(ISERROR($Y275)),IF($Y275&lt;&gt;FALSE,INDEX(Banco,$Y275,5),""),"")</f>
        <v>Estagiários</v>
      </c>
      <c r="P275" s="138" t="str">
        <f ca="1">IF(NOT(ISERROR($Y275)),IF($Y275&lt;&gt;FALSE,INDEX(Banco,$Y275,6),""),"")</f>
        <v>Horas</v>
      </c>
      <c r="Q275" s="134">
        <v>12</v>
      </c>
      <c r="R275" s="124">
        <f ca="1">IF(NOT(ISERROR($Y275)),IF($Y275&lt;&gt;FALSE,INDEX(Banco,$Y275,7),0),0)</f>
        <v>9.7899999999999991</v>
      </c>
      <c r="S275" s="136" t="s">
        <v>62</v>
      </c>
      <c r="T275" s="123">
        <f ca="1">IF($J275=$G$2,ROUND(ROUND($R275,2)*IF($R$9="Preço Unitário (R$)",1,1+$AA275),2),0)</f>
        <v>12.24</v>
      </c>
      <c r="U275" s="126">
        <f ca="1">IF($A275="S",VTOTAL1,IF($A275=0,0,ROUND(SomaAgrup,2)))</f>
        <v>146.88</v>
      </c>
      <c r="V275" s="1"/>
      <c r="W275" s="39" t="str">
        <f ca="1">IF(OR($A275=0,$A275="S",$A275&gt;CFF!$A$9),"",MAX(W$11:OFFSET(W275,-1,0))+1)</f>
        <v/>
      </c>
      <c r="X275" s="4" t="str">
        <f>IF(AND($J275=$G$2,$N275&lt;&gt;"",$M275&lt;&gt;""),CONCATENATE($M275,"-",$N275))</f>
        <v>Rec. Humanos-004</v>
      </c>
      <c r="Y275" s="39">
        <f ca="1">IF(X275&lt;&gt;FALSE,MATCH(X275,OFFSET(Banco,0,0,,1),0))</f>
        <v>6</v>
      </c>
      <c r="Z275" s="1"/>
      <c r="AA275" s="133">
        <f>IF($J275=$G$2,ROUND(IF(ISNUMBER(S275),S275,IF(LEFT(S275,2)="DI",HLOOKUP(S275,DADOS!$T$29:$X$30,2,FALSE),0)),4),"")</f>
        <v>0.25</v>
      </c>
      <c r="AB275" s="2"/>
    </row>
    <row r="276" spans="1:28">
      <c r="A276" t="str">
        <f t="shared" si="202"/>
        <v>S</v>
      </c>
      <c r="B276">
        <f t="shared" si="203"/>
        <v>0</v>
      </c>
      <c r="C276">
        <f ca="1">IF($A276=1,OFFSET(C276,-1,0)+1,OFFSET(C276,-1,0))</f>
        <v>4</v>
      </c>
      <c r="D276">
        <f ca="1">IF($A276=1,0,IF($A276=2,OFFSET(D276,-1,0)+1,OFFSET(D276,-1,0)))</f>
        <v>1</v>
      </c>
      <c r="E276">
        <f ca="1">IF(AND($A276&lt;=2,$A276&lt;&gt;0),0,IF($A276=3,OFFSET(E276,-1,0)+1,OFFSET(E276,-1,0)))</f>
        <v>0</v>
      </c>
      <c r="F276">
        <f ca="1">IF(AND($A276&lt;=3,$A276&lt;&gt;0),0,IF($A276=4,OFFSET(F276,-1,0)+1,OFFSET(F276,-1,0)))</f>
        <v>0</v>
      </c>
      <c r="G276">
        <f ca="1">IF(AND($A276&lt;=4,$A276&lt;&gt;0),0,IF($A276="S",OFFSET(G276,-1,0)+1,OFFSET(G276,-1,0)))</f>
        <v>5</v>
      </c>
      <c r="H276">
        <f ca="1">IF(OR($A276="S",$A276=0),0,MATCH(0,OFFSET($B276,1,$A276,ROW($A$1504)-ROW($A276)),0))</f>
        <v>0</v>
      </c>
      <c r="I276">
        <f ca="1">IF(OR($A276="S",$A276=0),0,MATCH(OFFSET($B276,0,$A276)+1,OFFSET($B276,1,$A276,ROW($A$1504)-ROW($A276)),0))</f>
        <v>0</v>
      </c>
      <c r="J276" s="132" t="s">
        <v>29</v>
      </c>
      <c r="K276" s="121" t="str">
        <f t="shared" ca="1" si="204"/>
        <v>4.1.5.</v>
      </c>
      <c r="L276" s="137" t="str">
        <f ca="1">IF(NOT(ISERROR($Y276)),IF($Y276&lt;&gt;FALSE,INDEX(Banco,$Y276,4),""),"")</f>
        <v>CRBio</v>
      </c>
      <c r="M276" s="122" t="s">
        <v>80</v>
      </c>
      <c r="N276" s="139" t="s">
        <v>226</v>
      </c>
      <c r="O276" s="137" t="str">
        <f t="shared" ref="O276:O282" ca="1" si="206">IF(NOT(ISERROR($Y276)),IF($Y276&lt;&gt;FALSE,INDEX(Banco,$Y276,5),""),"")</f>
        <v>Biólogo (Instrutor)</v>
      </c>
      <c r="P276" s="138" t="str">
        <f ca="1">IF(NOT(ISERROR($Y276)),IF($Y276&lt;&gt;FALSE,INDEX(Banco,$Y276,6),""),"")</f>
        <v>Horas</v>
      </c>
      <c r="Q276" s="134">
        <v>6</v>
      </c>
      <c r="R276" s="124">
        <f ca="1">IF(NOT(ISERROR($Y276)),IF($Y276&lt;&gt;FALSE,INDEX(Banco,$Y276,7),0),0)</f>
        <v>100.72</v>
      </c>
      <c r="S276" s="136" t="s">
        <v>62</v>
      </c>
      <c r="T276" s="123">
        <f ca="1">IF($J276=$G$2,ROUND(ROUND($R276,2)*IF($R$9="Preço Unitário (R$)",1,1+$AA276),2),0)</f>
        <v>125.9</v>
      </c>
      <c r="U276" s="126">
        <f ca="1">IF($A276="S",VTOTAL1,IF($A276=0,0,ROUND(SomaAgrup,2)))</f>
        <v>755.4</v>
      </c>
      <c r="V276" s="1"/>
      <c r="W276" s="39" t="str">
        <f ca="1">IF(OR($A276=0,$A276="S",$A276&gt;CFF!$A$9),"",MAX(W$11:OFFSET(W276,-1,0))+1)</f>
        <v/>
      </c>
      <c r="X276" s="4" t="str">
        <f>IF(AND($J276=$G$2,$N276&lt;&gt;"",$M276&lt;&gt;""),CONCATENATE($M276,"-",$N276))</f>
        <v>Serv. Terc.-068</v>
      </c>
      <c r="Y276" s="39">
        <f t="shared" ca="1" si="205"/>
        <v>148</v>
      </c>
      <c r="Z276" s="1"/>
      <c r="AA276" s="133">
        <f>IF($J276=$G$2,ROUND(IF(ISNUMBER(S276),S276,IF(LEFT(S276,2)="DI",HLOOKUP(S276,DADOS!$T$29:$X$30,2,FALSE),0)),4),"")</f>
        <v>0.25</v>
      </c>
      <c r="AB276" s="2"/>
    </row>
    <row r="277" spans="1:28">
      <c r="A277" t="str">
        <f t="shared" si="202"/>
        <v>S</v>
      </c>
      <c r="B277">
        <f t="shared" si="203"/>
        <v>0</v>
      </c>
      <c r="C277">
        <f ca="1">IF($A277=1,OFFSET(C277,-1,0)+1,OFFSET(C277,-1,0))</f>
        <v>4</v>
      </c>
      <c r="D277">
        <f ca="1">IF($A277=1,0,IF($A277=2,OFFSET(D277,-1,0)+1,OFFSET(D277,-1,0)))</f>
        <v>1</v>
      </c>
      <c r="E277">
        <f ca="1">IF(AND($A277&lt;=2,$A277&lt;&gt;0),0,IF($A277=3,OFFSET(E277,-1,0)+1,OFFSET(E277,-1,0)))</f>
        <v>0</v>
      </c>
      <c r="F277">
        <f ca="1">IF(AND($A277&lt;=3,$A277&lt;&gt;0),0,IF($A277=4,OFFSET(F277,-1,0)+1,OFFSET(F277,-1,0)))</f>
        <v>0</v>
      </c>
      <c r="G277">
        <f ca="1">IF(AND($A277&lt;=4,$A277&lt;&gt;0),0,IF($A277="S",OFFSET(G277,-1,0)+1,OFFSET(G277,-1,0)))</f>
        <v>6</v>
      </c>
      <c r="H277">
        <f ca="1">IF(OR($A277="S",$A277=0),0,MATCH(0,OFFSET($B277,1,$A277,ROW($A$1504)-ROW($A277)),0))</f>
        <v>0</v>
      </c>
      <c r="I277">
        <f ca="1">IF(OR($A277="S",$A277=0),0,MATCH(OFFSET($B277,0,$A277)+1,OFFSET($B277,1,$A277,ROW($A$1504)-ROW($A277)),0))</f>
        <v>0</v>
      </c>
      <c r="J277" s="132" t="s">
        <v>29</v>
      </c>
      <c r="K277" s="121" t="str">
        <f t="shared" ca="1" si="204"/>
        <v>4.1.6.</v>
      </c>
      <c r="L277" s="137" t="str">
        <f ca="1">IF(NOT(ISERROR($Y277)),IF($Y277&lt;&gt;FALSE,INDEX(Banco,$Y277,4),""),"")</f>
        <v xml:space="preserve">Cotação </v>
      </c>
      <c r="M277" s="122" t="s">
        <v>79</v>
      </c>
      <c r="N277" s="139" t="s">
        <v>255</v>
      </c>
      <c r="O277" s="137" t="str">
        <f t="shared" ca="1" si="206"/>
        <v>KIT 01 - Material oficina de limpeza (descrição nos orçamentos e PTS)</v>
      </c>
      <c r="P277" s="138" t="str">
        <f ca="1">IF(NOT(ISERROR($Y277)),IF($Y277&lt;&gt;FALSE,INDEX(Banco,$Y277,6),""),"")</f>
        <v>Unidade</v>
      </c>
      <c r="Q277" s="134">
        <v>1</v>
      </c>
      <c r="R277" s="124">
        <f ca="1">IF(NOT(ISERROR($Y277)),IF($Y277&lt;&gt;FALSE,INDEX(Banco,$Y277,7),0),0)</f>
        <v>200</v>
      </c>
      <c r="S277" s="136" t="s">
        <v>62</v>
      </c>
      <c r="T277" s="123">
        <f ca="1">IF($J277=$G$2,ROUND(ROUND($R277,2)*IF($R$9="Preço Unitário (R$)",1,1+$AA277),2),0)</f>
        <v>250</v>
      </c>
      <c r="U277" s="126">
        <f ca="1">IF($A277="S",VTOTAL1,IF($A277=0,0,ROUND(SomaAgrup,2)))</f>
        <v>250</v>
      </c>
      <c r="V277" s="1"/>
      <c r="W277" s="39" t="str">
        <f ca="1">IF(OR($A277=0,$A277="S",$A277&gt;CFF!$A$9),"",MAX(W$11:OFFSET(W277,-1,0))+1)</f>
        <v/>
      </c>
      <c r="X277" s="4" t="str">
        <f>IF(AND($J277=$G$2,$N277&lt;&gt;"",$M277&lt;&gt;""),CONCATENATE($M277,"-",$N277))</f>
        <v>Rec. Materiais-069</v>
      </c>
      <c r="Y277" s="39">
        <f t="shared" ca="1" si="205"/>
        <v>78</v>
      </c>
      <c r="Z277" s="1"/>
      <c r="AA277" s="133">
        <f>IF($J277=$G$2,ROUND(IF(ISNUMBER(S277),S277,IF(LEFT(S277,2)="DI",HLOOKUP(S277,DADOS!$T$29:$X$30,2,FALSE),0)),4),"")</f>
        <v>0.25</v>
      </c>
      <c r="AB277" s="2"/>
    </row>
    <row r="278" spans="1:28">
      <c r="A278" t="str">
        <f t="shared" si="202"/>
        <v>S</v>
      </c>
      <c r="B278">
        <f t="shared" si="203"/>
        <v>0</v>
      </c>
      <c r="C278">
        <f ca="1">IF($A278=1,OFFSET(C278,-1,0)+1,OFFSET(C278,-1,0))</f>
        <v>4</v>
      </c>
      <c r="D278">
        <f ca="1">IF($A278=1,0,IF($A278=2,OFFSET(D278,-1,0)+1,OFFSET(D278,-1,0)))</f>
        <v>1</v>
      </c>
      <c r="E278">
        <f ca="1">IF(AND($A278&lt;=2,$A278&lt;&gt;0),0,IF($A278=3,OFFSET(E278,-1,0)+1,OFFSET(E278,-1,0)))</f>
        <v>0</v>
      </c>
      <c r="F278">
        <f ca="1">IF(AND($A278&lt;=3,$A278&lt;&gt;0),0,IF($A278=4,OFFSET(F278,-1,0)+1,OFFSET(F278,-1,0)))</f>
        <v>0</v>
      </c>
      <c r="G278">
        <f ca="1">IF(AND($A278&lt;=4,$A278&lt;&gt;0),0,IF($A278="S",OFFSET(G278,-1,0)+1,OFFSET(G278,-1,0)))</f>
        <v>7</v>
      </c>
      <c r="H278">
        <f ca="1">IF(OR($A278="S",$A278=0),0,MATCH(0,OFFSET($B278,1,$A278,ROW($A$1504)-ROW($A278)),0))</f>
        <v>0</v>
      </c>
      <c r="I278">
        <f ca="1">IF(OR($A278="S",$A278=0),0,MATCH(OFFSET($B278,0,$A278)+1,OFFSET($B278,1,$A278,ROW($A$1504)-ROW($A278)),0))</f>
        <v>0</v>
      </c>
      <c r="J278" s="132" t="s">
        <v>29</v>
      </c>
      <c r="K278" s="121" t="str">
        <f t="shared" ca="1" si="204"/>
        <v>4.1.7.</v>
      </c>
      <c r="L278" s="137" t="str">
        <f ca="1">IF(NOT(ISERROR($Y278)),IF($Y278&lt;&gt;FALSE,INDEX(Banco,$Y278,4),""),"")</f>
        <v>Cotação</v>
      </c>
      <c r="M278" s="122" t="s">
        <v>79</v>
      </c>
      <c r="N278" s="139" t="s">
        <v>295</v>
      </c>
      <c r="O278" s="137" t="str">
        <f ca="1">IF(NOT(ISERROR($Y278)),IF($Y278&lt;&gt;FALSE,INDEX(Banco,$Y278,5),""),"")</f>
        <v xml:space="preserve">KIT 02 - Vasilhame p/ oficina de limpeza (descrição nos orçamentos e PTS) </v>
      </c>
      <c r="P278" s="138" t="str">
        <f ca="1">IF(NOT(ISERROR($Y278)),IF($Y278&lt;&gt;FALSE,INDEX(Banco,$Y278,6),""),"")</f>
        <v>Unidade</v>
      </c>
      <c r="Q278" s="134">
        <v>1</v>
      </c>
      <c r="R278" s="124">
        <f ca="1">IF(NOT(ISERROR($Y278)),IF($Y278&lt;&gt;FALSE,INDEX(Banco,$Y278,7),0),0)</f>
        <v>150</v>
      </c>
      <c r="S278" s="136" t="s">
        <v>62</v>
      </c>
      <c r="T278" s="123">
        <f ca="1">IF($J278=$G$2,ROUND(ROUND($R278,2)*IF($R$9="Preço Unitário (R$)",1,1+$AA278),2),0)</f>
        <v>187.5</v>
      </c>
      <c r="U278" s="126">
        <f ca="1">IF($A278="S",VTOTAL1,IF($A278=0,0,ROUND(SomaAgrup,2)))</f>
        <v>187.5</v>
      </c>
      <c r="V278" s="1"/>
      <c r="W278" s="39" t="str">
        <f ca="1">IF(OR($A278=0,$A278="S",$A278&gt;CFF!$A$9),"",MAX(W$11:OFFSET(W278,-1,0))+1)</f>
        <v/>
      </c>
      <c r="X278" s="4" t="str">
        <f>IF(AND($J278=$G$2,$N278&lt;&gt;"",$M278&lt;&gt;""),CONCATENATE($M278,"-",$N278))</f>
        <v>Rec. Materiais-070</v>
      </c>
      <c r="Y278" s="39">
        <f t="shared" ca="1" si="205"/>
        <v>79</v>
      </c>
      <c r="Z278" s="1"/>
      <c r="AA278" s="133">
        <f>IF($J278=$G$2,ROUND(IF(ISNUMBER(S278),S278,IF(LEFT(S278,2)="DI",HLOOKUP(S278,DADOS!$T$29:$X$30,2,FALSE),0)),4),"")</f>
        <v>0.25</v>
      </c>
      <c r="AB278" s="2"/>
    </row>
    <row r="279" spans="1:28">
      <c r="A279" t="str">
        <f t="shared" ref="A279:A282" si="207">CHOOSE(1+LOG(1+2*(J279=$C$2)+4*(J279=$D$2)+8*(J279=$E$2)+16*(J279=$F$2)+32*(J279=$G$2),2),0,1,2,3,4,"S")</f>
        <v>S</v>
      </c>
      <c r="B279">
        <f t="shared" ref="B279:B282" si="208">IF(OR(A279="S",A279=0),0,IF(ISERROR(I279),H279,SMALL(H279:I279,1)))</f>
        <v>0</v>
      </c>
      <c r="C279">
        <f t="shared" ref="C279:C282" ca="1" si="209">IF($A279=1,OFFSET(C279,-1,0)+1,OFFSET(C279,-1,0))</f>
        <v>4</v>
      </c>
      <c r="D279">
        <f t="shared" ref="D279:D282" ca="1" si="210">IF($A279=1,0,IF($A279=2,OFFSET(D279,-1,0)+1,OFFSET(D279,-1,0)))</f>
        <v>1</v>
      </c>
      <c r="E279">
        <f t="shared" ref="E279:E282" ca="1" si="211">IF(AND($A279&lt;=2,$A279&lt;&gt;0),0,IF($A279=3,OFFSET(E279,-1,0)+1,OFFSET(E279,-1,0)))</f>
        <v>0</v>
      </c>
      <c r="F279">
        <f t="shared" ref="F279:F282" ca="1" si="212">IF(AND($A279&lt;=3,$A279&lt;&gt;0),0,IF($A279=4,OFFSET(F279,-1,0)+1,OFFSET(F279,-1,0)))</f>
        <v>0</v>
      </c>
      <c r="G279">
        <f t="shared" ref="G279:G282" ca="1" si="213">IF(AND($A279&lt;=4,$A279&lt;&gt;0),0,IF($A279="S",OFFSET(G279,-1,0)+1,OFFSET(G279,-1,0)))</f>
        <v>8</v>
      </c>
      <c r="H279">
        <f ca="1">IF(OR($A279="S",$A279=0),0,MATCH(0,OFFSET($B279,1,$A279,ROW($A$1504)-ROW($A279)),0))</f>
        <v>0</v>
      </c>
      <c r="I279">
        <f ca="1">IF(OR($A279="S",$A279=0),0,MATCH(OFFSET($B279,0,$A279)+1,OFFSET($B279,1,$A279,ROW($A$1504)-ROW($A279)),0))</f>
        <v>0</v>
      </c>
      <c r="J279" s="132" t="s">
        <v>29</v>
      </c>
      <c r="K279" s="121" t="str">
        <f t="shared" ref="K279:K282" ca="1" si="214">IF($A279=0,"-",CONCATENATE(C279&amp;".",IF(AND($A$5&gt;=2,$A279&gt;=2),D279&amp;".",""),IF(AND($A$5&gt;=3,$A279&gt;=3),E279&amp;".",""),IF(AND($A$5&gt;=4,$A279&gt;=4),F279&amp;".",""),IF($A279="S",G279&amp;".","")))</f>
        <v>4.1.8.</v>
      </c>
      <c r="L279" s="137" t="str">
        <f t="shared" ref="L279:L282" ca="1" si="215">IF(NOT(ISERROR($Y279)),IF($Y279&lt;&gt;FALSE,INDEX(Banco,$Y279,4),""),"")</f>
        <v>Cotação</v>
      </c>
      <c r="M279" s="122" t="s">
        <v>80</v>
      </c>
      <c r="N279" s="139" t="s">
        <v>162</v>
      </c>
      <c r="O279" s="137" t="str">
        <f t="shared" ca="1" si="206"/>
        <v>Coffee break (salgados)</v>
      </c>
      <c r="P279" s="138" t="str">
        <f t="shared" ref="P279:P282" ca="1" si="216">IF(NOT(ISERROR($Y279)),IF($Y279&lt;&gt;FALSE,INDEX(Banco,$Y279,6),""),"")</f>
        <v>Centro</v>
      </c>
      <c r="Q279" s="134">
        <v>4</v>
      </c>
      <c r="R279" s="124">
        <f t="shared" ref="R279:R282" ca="1" si="217">IF(NOT(ISERROR($Y279)),IF($Y279&lt;&gt;FALSE,INDEX(Banco,$Y279,7),0),0)</f>
        <v>65</v>
      </c>
      <c r="S279" s="136" t="s">
        <v>62</v>
      </c>
      <c r="T279" s="123">
        <f t="shared" ref="T279:T282" ca="1" si="218">IF($J279=$G$2,ROUND(ROUND($R279,2)*IF($R$9="Preço Unitário (R$)",1,1+$AA279),2),0)</f>
        <v>81.25</v>
      </c>
      <c r="U279" s="126">
        <f t="shared" ref="U279:U282" ca="1" si="219">IF($A279="S",VTOTAL1,IF($A279=0,0,ROUND(SomaAgrup,2)))</f>
        <v>325</v>
      </c>
      <c r="V279" s="1"/>
      <c r="W279" s="39" t="str">
        <f ca="1">IF(OR($A279=0,$A279="S",$A279&gt;CFF!$A$9),"",MAX(W$11:OFFSET(W279,-1,0))+1)</f>
        <v/>
      </c>
      <c r="X279" s="4" t="str">
        <f t="shared" ref="X279:X282" si="220">IF(AND($J279=$G$2,$N279&lt;&gt;"",$M279&lt;&gt;""),CONCATENATE($M279,"-",$N279))</f>
        <v>Serv. Terc.-015</v>
      </c>
      <c r="Y279" s="39">
        <f t="shared" ref="Y279:Y282" ca="1" si="221">IF(X279&lt;&gt;FALSE,MATCH(X279,OFFSET(Banco,0,0,,1),0))</f>
        <v>95</v>
      </c>
      <c r="Z279" s="1"/>
      <c r="AA279" s="133">
        <f>IF($J279=$G$2,ROUND(IF(ISNUMBER(S279),S279,IF(LEFT(S279,2)="DI",HLOOKUP(S279,DADOS!$T$29:$X$30,2,FALSE),0)),4),"")</f>
        <v>0.25</v>
      </c>
      <c r="AB279" s="2"/>
    </row>
    <row r="280" spans="1:28">
      <c r="A280" t="str">
        <f>CHOOSE(1+LOG(1+2*(J280=$C$2)+4*(J280=$D$2)+8*(J280=$E$2)+16*(J280=$F$2)+32*(J280=$G$2),2),0,1,2,3,4,"S")</f>
        <v>S</v>
      </c>
      <c r="B280">
        <f>IF(OR(A280="S",A280=0),0,IF(ISERROR(I280),H280,SMALL(H280:I280,1)))</f>
        <v>0</v>
      </c>
      <c r="C280">
        <f ca="1">IF($A280=1,OFFSET(C280,-1,0)+1,OFFSET(C280,-1,0))</f>
        <v>4</v>
      </c>
      <c r="D280">
        <f ca="1">IF($A280=1,0,IF($A280=2,OFFSET(D280,-1,0)+1,OFFSET(D280,-1,0)))</f>
        <v>1</v>
      </c>
      <c r="E280">
        <f ca="1">IF(AND($A280&lt;=2,$A280&lt;&gt;0),0,IF($A280=3,OFFSET(E280,-1,0)+1,OFFSET(E280,-1,0)))</f>
        <v>0</v>
      </c>
      <c r="F280">
        <f ca="1">IF(AND($A280&lt;=3,$A280&lt;&gt;0),0,IF($A280=4,OFFSET(F280,-1,0)+1,OFFSET(F280,-1,0)))</f>
        <v>0</v>
      </c>
      <c r="G280">
        <f ca="1">IF(AND($A280&lt;=4,$A280&lt;&gt;0),0,IF($A280="S",OFFSET(G280,-1,0)+1,OFFSET(G280,-1,0)))</f>
        <v>9</v>
      </c>
      <c r="H280">
        <f ca="1">IF(OR($A280="S",$A280=0),0,MATCH(0,OFFSET($B280,1,$A280,ROW($A$1504)-ROW($A280)),0))</f>
        <v>0</v>
      </c>
      <c r="I280">
        <f ca="1">IF(OR($A280="S",$A280=0),0,MATCH(OFFSET($B280,0,$A280)+1,OFFSET($B280,1,$A280,ROW($A$1504)-ROW($A280)),0))</f>
        <v>0</v>
      </c>
      <c r="J280" s="132" t="s">
        <v>29</v>
      </c>
      <c r="K280" s="121" t="str">
        <f ca="1">IF($A280=0,"-",CONCATENATE(C280&amp;".",IF(AND($A$5&gt;=2,$A280&gt;=2),D280&amp;".",""),IF(AND($A$5&gt;=3,$A280&gt;=3),E280&amp;".",""),IF(AND($A$5&gt;=4,$A280&gt;=4),F280&amp;".",""),IF($A280="S",G280&amp;".","")))</f>
        <v>4.1.9.</v>
      </c>
      <c r="L280" s="137" t="str">
        <f ca="1">IF(NOT(ISERROR($Y280)),IF($Y280&lt;&gt;FALSE,INDEX(Banco,$Y280,4),""),"")</f>
        <v>Cotação</v>
      </c>
      <c r="M280" s="122" t="s">
        <v>80</v>
      </c>
      <c r="N280" s="139" t="s">
        <v>171</v>
      </c>
      <c r="O280" s="137" t="str">
        <f ca="1">IF(NOT(ISERROR($Y280)),IF($Y280&lt;&gt;FALSE,INDEX(Banco,$Y280,5),""),"")</f>
        <v xml:space="preserve">Refrigerantes (02 litros) </v>
      </c>
      <c r="P280" s="138" t="str">
        <f ca="1">IF(NOT(ISERROR($Y280)),IF($Y280&lt;&gt;FALSE,INDEX(Banco,$Y280,6),""),"")</f>
        <v>Unidade</v>
      </c>
      <c r="Q280" s="134">
        <v>8</v>
      </c>
      <c r="R280" s="124">
        <f ca="1">IF(NOT(ISERROR($Y280)),IF($Y280&lt;&gt;FALSE,INDEX(Banco,$Y280,7),0),0)</f>
        <v>6</v>
      </c>
      <c r="S280" s="136" t="s">
        <v>62</v>
      </c>
      <c r="T280" s="123">
        <f ca="1">IF($J280=$G$2,ROUND(ROUND($R280,2)*IF($R$9="Preço Unitário (R$)",1,1+$AA280),2),0)</f>
        <v>7.5</v>
      </c>
      <c r="U280" s="126">
        <f ca="1">IF($A280="S",VTOTAL1,IF($A280=0,0,ROUND(SomaAgrup,2)))</f>
        <v>60</v>
      </c>
      <c r="V280" s="1"/>
      <c r="W280" s="39" t="str">
        <f ca="1">IF(OR($A280=0,$A280="S",$A280&gt;CFF!$A$9),"",MAX(W$11:OFFSET(W280,-1,0))+1)</f>
        <v/>
      </c>
      <c r="X280" s="4" t="str">
        <f>IF(AND($J280=$G$2,$N280&lt;&gt;"",$M280&lt;&gt;""),CONCATENATE($M280,"-",$N280))</f>
        <v>Serv. Terc.-027</v>
      </c>
      <c r="Y280" s="39">
        <f ca="1">IF(X280&lt;&gt;FALSE,MATCH(X280,OFFSET(Banco,0,0,,1),0))</f>
        <v>107</v>
      </c>
      <c r="Z280" s="1"/>
      <c r="AA280" s="133">
        <f>IF($J280=$G$2,ROUND(IF(ISNUMBER(S280),S280,IF(LEFT(S280,2)="DI",HLOOKUP(S280,DADOS!$T$29:$X$30,2,FALSE),0)),4),"")</f>
        <v>0.25</v>
      </c>
      <c r="AB280" s="2"/>
    </row>
    <row r="281" spans="1:28">
      <c r="A281" t="str">
        <f t="shared" si="207"/>
        <v>S</v>
      </c>
      <c r="B281">
        <f t="shared" si="208"/>
        <v>0</v>
      </c>
      <c r="C281">
        <f t="shared" ca="1" si="209"/>
        <v>4</v>
      </c>
      <c r="D281">
        <f t="shared" ca="1" si="210"/>
        <v>1</v>
      </c>
      <c r="E281">
        <f t="shared" ca="1" si="211"/>
        <v>0</v>
      </c>
      <c r="F281">
        <f t="shared" ca="1" si="212"/>
        <v>0</v>
      </c>
      <c r="G281">
        <f t="shared" ca="1" si="213"/>
        <v>10</v>
      </c>
      <c r="H281">
        <f ca="1">IF(OR($A281="S",$A281=0),0,MATCH(0,OFFSET($B281,1,$A281,ROW($A$1504)-ROW($A281)),0))</f>
        <v>0</v>
      </c>
      <c r="I281">
        <f ca="1">IF(OR($A281="S",$A281=0),0,MATCH(OFFSET($B281,0,$A281)+1,OFFSET($B281,1,$A281,ROW($A$1504)-ROW($A281)),0))</f>
        <v>0</v>
      </c>
      <c r="J281" s="132" t="s">
        <v>29</v>
      </c>
      <c r="K281" s="121" t="str">
        <f t="shared" ca="1" si="214"/>
        <v>4.1.10.</v>
      </c>
      <c r="L281" s="137" t="str">
        <f t="shared" ca="1" si="215"/>
        <v xml:space="preserve">Cotação </v>
      </c>
      <c r="M281" s="122" t="s">
        <v>80</v>
      </c>
      <c r="N281" s="139" t="s">
        <v>160</v>
      </c>
      <c r="O281" s="137" t="str">
        <f t="shared" ca="1" si="206"/>
        <v>Barra de gelo</v>
      </c>
      <c r="P281" s="138" t="str">
        <f t="shared" ca="1" si="216"/>
        <v>Unidade</v>
      </c>
      <c r="Q281" s="134">
        <v>2</v>
      </c>
      <c r="R281" s="124">
        <f t="shared" ca="1" si="217"/>
        <v>12</v>
      </c>
      <c r="S281" s="136" t="s">
        <v>62</v>
      </c>
      <c r="T281" s="123">
        <f t="shared" ca="1" si="218"/>
        <v>15</v>
      </c>
      <c r="U281" s="126">
        <f t="shared" ca="1" si="219"/>
        <v>30</v>
      </c>
      <c r="V281" s="1"/>
      <c r="W281" s="39" t="str">
        <f ca="1">IF(OR($A281=0,$A281="S",$A281&gt;CFF!$A$9),"",MAX(W$11:OFFSET(W281,-1,0))+1)</f>
        <v/>
      </c>
      <c r="X281" s="4" t="str">
        <f t="shared" si="220"/>
        <v>Serv. Terc.-011</v>
      </c>
      <c r="Y281" s="39">
        <f t="shared" ca="1" si="221"/>
        <v>91</v>
      </c>
      <c r="Z281" s="1"/>
      <c r="AA281" s="133">
        <f>IF($J281=$G$2,ROUND(IF(ISNUMBER(S281),S281,IF(LEFT(S281,2)="DI",HLOOKUP(S281,DADOS!$T$29:$X$30,2,FALSE),0)),4),"")</f>
        <v>0.25</v>
      </c>
      <c r="AB281" s="2"/>
    </row>
    <row r="282" spans="1:28">
      <c r="A282" t="str">
        <f t="shared" si="207"/>
        <v>S</v>
      </c>
      <c r="B282">
        <f t="shared" si="208"/>
        <v>0</v>
      </c>
      <c r="C282">
        <f t="shared" ca="1" si="209"/>
        <v>4</v>
      </c>
      <c r="D282">
        <f t="shared" ca="1" si="210"/>
        <v>1</v>
      </c>
      <c r="E282">
        <f t="shared" ca="1" si="211"/>
        <v>0</v>
      </c>
      <c r="F282">
        <f t="shared" ca="1" si="212"/>
        <v>0</v>
      </c>
      <c r="G282">
        <f t="shared" ca="1" si="213"/>
        <v>11</v>
      </c>
      <c r="H282">
        <f ca="1">IF(OR($A282="S",$A282=0),0,MATCH(0,OFFSET($B282,1,$A282,ROW($A$1504)-ROW($A282)),0))</f>
        <v>0</v>
      </c>
      <c r="I282">
        <f ca="1">IF(OR($A282="S",$A282=0),0,MATCH(OFFSET($B282,0,$A282)+1,OFFSET($B282,1,$A282,ROW($A$1504)-ROW($A282)),0))</f>
        <v>0</v>
      </c>
      <c r="J282" s="132" t="s">
        <v>29</v>
      </c>
      <c r="K282" s="121" t="str">
        <f t="shared" ca="1" si="214"/>
        <v>4.1.11.</v>
      </c>
      <c r="L282" s="137" t="str">
        <f t="shared" ca="1" si="215"/>
        <v>Cotação</v>
      </c>
      <c r="M282" s="122" t="s">
        <v>80</v>
      </c>
      <c r="N282" s="139" t="s">
        <v>154</v>
      </c>
      <c r="O282" s="137" t="str">
        <f t="shared" ca="1" si="206"/>
        <v>Locação de caixa térmica</v>
      </c>
      <c r="P282" s="138" t="str">
        <f t="shared" ca="1" si="216"/>
        <v>Unidade</v>
      </c>
      <c r="Q282" s="134">
        <v>1</v>
      </c>
      <c r="R282" s="124">
        <f t="shared" ca="1" si="217"/>
        <v>40</v>
      </c>
      <c r="S282" s="136" t="s">
        <v>62</v>
      </c>
      <c r="T282" s="123">
        <f t="shared" ca="1" si="218"/>
        <v>50</v>
      </c>
      <c r="U282" s="126">
        <f t="shared" ca="1" si="219"/>
        <v>50</v>
      </c>
      <c r="V282" s="1"/>
      <c r="W282" s="39" t="str">
        <f ca="1">IF(OR($A282=0,$A282="S",$A282&gt;CFF!$A$9),"",MAX(W$11:OFFSET(W282,-1,0))+1)</f>
        <v/>
      </c>
      <c r="X282" s="4" t="str">
        <f t="shared" si="220"/>
        <v>Serv. Terc.-005</v>
      </c>
      <c r="Y282" s="39">
        <f t="shared" ca="1" si="221"/>
        <v>85</v>
      </c>
      <c r="Z282" s="1"/>
      <c r="AA282" s="133">
        <f>IF($J282=$G$2,ROUND(IF(ISNUMBER(S282),S282,IF(LEFT(S282,2)="DI",HLOOKUP(S282,DADOS!$T$29:$X$30,2,FALSE),0)),4),"")</f>
        <v>0.25</v>
      </c>
      <c r="AB282" s="2"/>
    </row>
    <row r="283" spans="1:28">
      <c r="A283">
        <f>CHOOSE(1+LOG(1+2*(J283=$C$2)+4*(J283=$D$2)+8*(J283=$E$2)+16*(J283=$F$2)+32*(J283=$G$2),2),0,1,2,3,4,"S")</f>
        <v>2</v>
      </c>
      <c r="B283">
        <f ca="1">IF(OR(A283="S",A283=0),0,IF(ISERROR(I283),H283,SMALL(H283:I283,1)))</f>
        <v>10</v>
      </c>
      <c r="C283">
        <f ca="1">IF($A283=1,OFFSET(C283,-1,0)+1,OFFSET(C283,-1,0))</f>
        <v>4</v>
      </c>
      <c r="D283">
        <f ca="1">IF($A283=1,0,IF($A283=2,OFFSET(D283,-1,0)+1,OFFSET(D283,-1,0)))</f>
        <v>2</v>
      </c>
      <c r="E283">
        <f ca="1">IF(AND($A283&lt;=2,$A283&lt;&gt;0),0,IF($A283=3,OFFSET(E283,-1,0)+1,OFFSET(E283,-1,0)))</f>
        <v>0</v>
      </c>
      <c r="F283">
        <f ca="1">IF(AND($A283&lt;=3,$A283&lt;&gt;0),0,IF($A283=4,OFFSET(F283,-1,0)+1,OFFSET(F283,-1,0)))</f>
        <v>0</v>
      </c>
      <c r="G283">
        <f ca="1">IF(AND($A283&lt;=4,$A283&lt;&gt;0),0,IF($A283="S",OFFSET(G283,-1,0)+1,OFFSET(G283,-1,0)))</f>
        <v>0</v>
      </c>
      <c r="H283">
        <f ca="1">IF(OR($A283="S",$A283=0),0,MATCH(0,OFFSET($B283,1,$A283,ROW($A$1504)-ROW($A283)),0))</f>
        <v>55</v>
      </c>
      <c r="I283">
        <f ca="1">IF(OR($A283="S",$A283=0),0,MATCH(OFFSET($B283,0,$A283)+1,OFFSET($B283,1,$A283,ROW($A$1504)-ROW($A283)),0))</f>
        <v>10</v>
      </c>
      <c r="J283" s="132" t="s">
        <v>68</v>
      </c>
      <c r="K283" s="121" t="str">
        <f ca="1">IF($A283=0,"-",CONCATENATE(C283&amp;".",IF(AND($A$5&gt;=2,$A283&gt;=2),D283&amp;".",""),IF(AND($A$5&gt;=3,$A283&gt;=3),E283&amp;".",""),IF(AND($A$5&gt;=4,$A283&gt;=4),F283&amp;".",""),IF($A283="S",G283&amp;".","")))</f>
        <v>4.2.</v>
      </c>
      <c r="L283" s="137" t="str">
        <f ca="1">IF(NOT(ISERROR($Y283)),IF($Y283&lt;&gt;FALSE,INDEX(Banco,$Y283,4),""),"")</f>
        <v/>
      </c>
      <c r="M283" s="122"/>
      <c r="N283" s="139"/>
      <c r="O283" s="137" t="s">
        <v>362</v>
      </c>
      <c r="P283" s="138" t="str">
        <f ca="1">IF(NOT(ISERROR($Y283)),IF($Y283&lt;&gt;FALSE,INDEX(Banco,$Y283,6),""),"")</f>
        <v/>
      </c>
      <c r="Q283" s="134"/>
      <c r="R283" s="124">
        <f ca="1">IF(NOT(ISERROR($Y283)),IF($Y283&lt;&gt;FALSE,INDEX(Banco,$Y283,7),0),0)</f>
        <v>0</v>
      </c>
      <c r="S283" s="136" t="s">
        <v>62</v>
      </c>
      <c r="T283" s="123">
        <f>IF($J283=$G$2,ROUND(ROUND($R283,2)*IF($R$9="Preço Unitário (R$)",1,1+$AA283),2),0)</f>
        <v>0</v>
      </c>
      <c r="U283" s="126">
        <f ca="1">IF($A283="S",VTOTAL1,IF($A283=0,0,ROUND(SomaAgrup,2)))</f>
        <v>4064.49</v>
      </c>
      <c r="V283" s="1"/>
      <c r="W283" s="39">
        <f ca="1">IF(OR($A283=0,$A283="S",$A283&gt;CFF!$A$9),"",MAX(W$11:OFFSET(W283,-1,0))+1)</f>
        <v>19</v>
      </c>
      <c r="X283" s="4" t="b">
        <f>IF(AND($J283=$G$2,$N283&lt;&gt;"",$M283&lt;&gt;""),CONCATENATE($M283,"-",$N283))</f>
        <v>0</v>
      </c>
      <c r="Y283" s="39" t="b">
        <f ca="1">IF(X283&lt;&gt;FALSE,MATCH(X283,OFFSET(Banco,0,0,,1),0))</f>
        <v>0</v>
      </c>
      <c r="Z283" s="1"/>
      <c r="AA283" s="133" t="str">
        <f>IF($J283=$G$2,ROUND(IF(ISNUMBER(S283),S283,IF(LEFT(S283,2)="DI",HLOOKUP(S283,DADOS!$T$29:$X$30,2,FALSE),0)),4),"")</f>
        <v/>
      </c>
      <c r="AB283" s="2"/>
    </row>
    <row r="284" spans="1:28">
      <c r="A284" t="str">
        <f t="shared" ref="A284:A306" si="222">CHOOSE(1+LOG(1+2*(J284=$C$2)+4*(J284=$D$2)+8*(J284=$E$2)+16*(J284=$F$2)+32*(J284=$G$2),2),0,1,2,3,4,"S")</f>
        <v>S</v>
      </c>
      <c r="B284">
        <f t="shared" ref="B284:B306" si="223">IF(OR(A284="S",A284=0),0,IF(ISERROR(I284),H284,SMALL(H284:I284,1)))</f>
        <v>0</v>
      </c>
      <c r="C284">
        <f t="shared" ref="C284:C303" ca="1" si="224">IF($A284=1,OFFSET(C284,-1,0)+1,OFFSET(C284,-1,0))</f>
        <v>4</v>
      </c>
      <c r="D284">
        <f t="shared" ref="D284:D303" ca="1" si="225">IF($A284=1,0,IF($A284=2,OFFSET(D284,-1,0)+1,OFFSET(D284,-1,0)))</f>
        <v>2</v>
      </c>
      <c r="E284">
        <f t="shared" ref="E284:E303" ca="1" si="226">IF(AND($A284&lt;=2,$A284&lt;&gt;0),0,IF($A284=3,OFFSET(E284,-1,0)+1,OFFSET(E284,-1,0)))</f>
        <v>0</v>
      </c>
      <c r="F284">
        <f t="shared" ref="F284:F303" ca="1" si="227">IF(AND($A284&lt;=3,$A284&lt;&gt;0),0,IF($A284=4,OFFSET(F284,-1,0)+1,OFFSET(F284,-1,0)))</f>
        <v>0</v>
      </c>
      <c r="G284">
        <f t="shared" ref="G284:G303" ca="1" si="228">IF(AND($A284&lt;=4,$A284&lt;&gt;0),0,IF($A284="S",OFFSET(G284,-1,0)+1,OFFSET(G284,-1,0)))</f>
        <v>1</v>
      </c>
      <c r="H284">
        <f ca="1">IF(OR($A284="S",$A284=0),0,MATCH(0,OFFSET($B284,1,$A284,ROW($A$1504)-ROW($A284)),0))</f>
        <v>0</v>
      </c>
      <c r="I284">
        <f ca="1">IF(OR($A284="S",$A284=0),0,MATCH(OFFSET($B284,0,$A284)+1,OFFSET($B284,1,$A284,ROW($A$1504)-ROW($A284)),0))</f>
        <v>0</v>
      </c>
      <c r="J284" s="132" t="s">
        <v>29</v>
      </c>
      <c r="K284" s="121" t="str">
        <f t="shared" ref="K284:K306" ca="1" si="229">IF($A284=0,"-",CONCATENATE(C284&amp;".",IF(AND($A$5&gt;=2,$A284&gt;=2),D284&amp;".",""),IF(AND($A$5&gt;=3,$A284&gt;=3),E284&amp;".",""),IF(AND($A$5&gt;=4,$A284&gt;=4),F284&amp;".",""),IF($A284="S",G284&amp;".","")))</f>
        <v>4.2.1.</v>
      </c>
      <c r="L284" s="137" t="str">
        <f t="shared" ref="L284:L303" ca="1" si="230">IF(NOT(ISERROR($Y284)),IF($Y284&lt;&gt;FALSE,INDEX(Banco,$Y284,4),""),"")</f>
        <v>CRESS</v>
      </c>
      <c r="M284" s="122" t="s">
        <v>78</v>
      </c>
      <c r="N284" s="139" t="s">
        <v>149</v>
      </c>
      <c r="O284" s="137" t="str">
        <f t="shared" ref="O284:O290" ca="1" si="231">IF(NOT(ISERROR($Y284)),IF($Y284&lt;&gt;FALSE,INDEX(Banco,$Y284,5),""),"")</f>
        <v>Responsável Técnica</v>
      </c>
      <c r="P284" s="138" t="str">
        <f t="shared" ref="P284:P303" ca="1" si="232">IF(NOT(ISERROR($Y284)),IF($Y284&lt;&gt;FALSE,INDEX(Banco,$Y284,6),""),"")</f>
        <v>Horas</v>
      </c>
      <c r="Q284" s="134">
        <v>4</v>
      </c>
      <c r="R284" s="124">
        <f t="shared" ref="R284:R303" ca="1" si="233">IF(NOT(ISERROR($Y284)),IF($Y284&lt;&gt;FALSE,INDEX(Banco,$Y284,7),0),0)</f>
        <v>150.28</v>
      </c>
      <c r="S284" s="136" t="s">
        <v>62</v>
      </c>
      <c r="T284" s="123">
        <f t="shared" ref="T284:T303" ca="1" si="234">IF($J284=$G$2,ROUND(ROUND($R284,2)*IF($R$9="Preço Unitário (R$)",1,1+$AA284),2),0)</f>
        <v>187.85</v>
      </c>
      <c r="U284" s="126">
        <f t="shared" ref="U284:U303" ca="1" si="235">IF($A284="S",VTOTAL1,IF($A284=0,0,ROUND(SomaAgrup,2)))</f>
        <v>751.4</v>
      </c>
      <c r="V284" s="1"/>
      <c r="W284" s="39" t="str">
        <f ca="1">IF(OR($A284=0,$A284="S",$A284&gt;CFF!$A$9),"",MAX(W$11:OFFSET(W284,-1,0))+1)</f>
        <v/>
      </c>
      <c r="X284" s="4" t="str">
        <f t="shared" ref="X284:X303" si="236">IF(AND($J284=$G$2,$N284&lt;&gt;"",$M284&lt;&gt;""),CONCATENATE($M284,"-",$N284))</f>
        <v>Rec. Humanos-001</v>
      </c>
      <c r="Y284" s="39">
        <f t="shared" ref="Y284:Y306" ca="1" si="237">IF(X284&lt;&gt;FALSE,MATCH(X284,OFFSET(Banco,0,0,,1),0))</f>
        <v>3</v>
      </c>
      <c r="Z284" s="1"/>
      <c r="AA284" s="133">
        <f>IF($J284=$G$2,ROUND(IF(ISNUMBER(S284),S284,IF(LEFT(S284,2)="DI",HLOOKUP(S284,DADOS!$T$29:$X$30,2,FALSE),0)),4),"")</f>
        <v>0.25</v>
      </c>
      <c r="AB284" s="2"/>
    </row>
    <row r="285" spans="1:28">
      <c r="A285" t="str">
        <f t="shared" si="222"/>
        <v>S</v>
      </c>
      <c r="B285">
        <f t="shared" si="223"/>
        <v>0</v>
      </c>
      <c r="C285">
        <f t="shared" ca="1" si="224"/>
        <v>4</v>
      </c>
      <c r="D285">
        <f t="shared" ca="1" si="225"/>
        <v>2</v>
      </c>
      <c r="E285">
        <f t="shared" ca="1" si="226"/>
        <v>0</v>
      </c>
      <c r="F285">
        <f t="shared" ca="1" si="227"/>
        <v>0</v>
      </c>
      <c r="G285">
        <f t="shared" ca="1" si="228"/>
        <v>2</v>
      </c>
      <c r="H285">
        <f ca="1">IF(OR($A285="S",$A285=0),0,MATCH(0,OFFSET($B285,1,$A285,ROW($A$1504)-ROW($A285)),0))</f>
        <v>0</v>
      </c>
      <c r="I285">
        <f ca="1">IF(OR($A285="S",$A285=0),0,MATCH(OFFSET($B285,0,$A285)+1,OFFSET($B285,1,$A285,ROW($A$1504)-ROW($A285)),0))</f>
        <v>0</v>
      </c>
      <c r="J285" s="132" t="s">
        <v>29</v>
      </c>
      <c r="K285" s="121" t="str">
        <f t="shared" ca="1" si="229"/>
        <v>4.2.2.</v>
      </c>
      <c r="L285" s="137" t="str">
        <f t="shared" ca="1" si="230"/>
        <v>CRESS</v>
      </c>
      <c r="M285" s="122" t="s">
        <v>78</v>
      </c>
      <c r="N285" s="139" t="s">
        <v>152</v>
      </c>
      <c r="O285" s="137" t="str">
        <f t="shared" ca="1" si="231"/>
        <v>Assistente Social</v>
      </c>
      <c r="P285" s="138" t="str">
        <f t="shared" ca="1" si="232"/>
        <v>Horas</v>
      </c>
      <c r="Q285" s="134">
        <v>4</v>
      </c>
      <c r="R285" s="124">
        <f t="shared" ca="1" si="233"/>
        <v>133.81</v>
      </c>
      <c r="S285" s="136" t="s">
        <v>62</v>
      </c>
      <c r="T285" s="123">
        <f t="shared" ca="1" si="234"/>
        <v>167.26</v>
      </c>
      <c r="U285" s="126">
        <f t="shared" ca="1" si="235"/>
        <v>669.04</v>
      </c>
      <c r="V285" s="1"/>
      <c r="W285" s="39" t="str">
        <f ca="1">IF(OR($A285=0,$A285="S",$A285&gt;CFF!$A$9),"",MAX(W$11:OFFSET(W285,-1,0))+1)</f>
        <v/>
      </c>
      <c r="X285" s="4" t="str">
        <f t="shared" si="236"/>
        <v>Rec. Humanos-002</v>
      </c>
      <c r="Y285" s="39">
        <f t="shared" ca="1" si="237"/>
        <v>4</v>
      </c>
      <c r="Z285" s="1"/>
      <c r="AA285" s="133">
        <f>IF($J285=$G$2,ROUND(IF(ISNUMBER(S285),S285,IF(LEFT(S285,2)="DI",HLOOKUP(S285,DADOS!$T$29:$X$30,2,FALSE),0)),4),"")</f>
        <v>0.25</v>
      </c>
      <c r="AB285" s="2"/>
    </row>
    <row r="286" spans="1:28">
      <c r="A286" t="str">
        <f t="shared" si="222"/>
        <v>S</v>
      </c>
      <c r="B286">
        <f t="shared" si="223"/>
        <v>0</v>
      </c>
      <c r="C286">
        <f t="shared" ca="1" si="224"/>
        <v>4</v>
      </c>
      <c r="D286">
        <f t="shared" ca="1" si="225"/>
        <v>2</v>
      </c>
      <c r="E286">
        <f t="shared" ca="1" si="226"/>
        <v>0</v>
      </c>
      <c r="F286">
        <f t="shared" ca="1" si="227"/>
        <v>0</v>
      </c>
      <c r="G286">
        <f t="shared" ca="1" si="228"/>
        <v>3</v>
      </c>
      <c r="H286">
        <f ca="1">IF(OR($A286="S",$A286=0),0,MATCH(0,OFFSET($B286,1,$A286,ROW($A$1504)-ROW($A286)),0))</f>
        <v>0</v>
      </c>
      <c r="I286">
        <f ca="1">IF(OR($A286="S",$A286=0),0,MATCH(OFFSET($B286,0,$A286)+1,OFFSET($B286,1,$A286,ROW($A$1504)-ROW($A286)),0))</f>
        <v>0</v>
      </c>
      <c r="J286" s="132" t="s">
        <v>29</v>
      </c>
      <c r="K286" s="121" t="str">
        <f t="shared" ca="1" si="229"/>
        <v>4.2.3.</v>
      </c>
      <c r="L286" s="137" t="str">
        <f t="shared" ca="1" si="230"/>
        <v>Cotação</v>
      </c>
      <c r="M286" s="122" t="s">
        <v>80</v>
      </c>
      <c r="N286" s="139" t="s">
        <v>201</v>
      </c>
      <c r="O286" s="137" t="str">
        <f t="shared" ca="1" si="231"/>
        <v xml:space="preserve">Coffe break (salgados) </v>
      </c>
      <c r="P286" s="138" t="str">
        <f t="shared" ca="1" si="232"/>
        <v>Centro</v>
      </c>
      <c r="Q286" s="134">
        <v>5</v>
      </c>
      <c r="R286" s="124">
        <f t="shared" ca="1" si="233"/>
        <v>65</v>
      </c>
      <c r="S286" s="136" t="s">
        <v>62</v>
      </c>
      <c r="T286" s="123">
        <f t="shared" ca="1" si="234"/>
        <v>81.25</v>
      </c>
      <c r="U286" s="126">
        <f t="shared" ca="1" si="235"/>
        <v>406.25</v>
      </c>
      <c r="V286" s="1"/>
      <c r="W286" s="39" t="str">
        <f ca="1">IF(OR($A286=0,$A286="S",$A286&gt;CFF!$A$9),"",MAX(W$11:OFFSET(W286,-1,0))+1)</f>
        <v/>
      </c>
      <c r="X286" s="4" t="str">
        <f t="shared" si="236"/>
        <v>Serv. Terc.-033</v>
      </c>
      <c r="Y286" s="39">
        <f t="shared" ca="1" si="237"/>
        <v>113</v>
      </c>
      <c r="Z286" s="1"/>
      <c r="AA286" s="133">
        <f>IF($J286=$G$2,ROUND(IF(ISNUMBER(S286),S286,IF(LEFT(S286,2)="DI",HLOOKUP(S286,DADOS!$T$29:$X$30,2,FALSE),0)),4),"")</f>
        <v>0.25</v>
      </c>
      <c r="AB286" s="2"/>
    </row>
    <row r="287" spans="1:28">
      <c r="A287" t="str">
        <f>CHOOSE(1+LOG(1+2*(J287=$C$2)+4*(J287=$D$2)+8*(J287=$E$2)+16*(J287=$F$2)+32*(J287=$G$2),2),0,1,2,3,4,"S")</f>
        <v>S</v>
      </c>
      <c r="B287">
        <f>IF(OR(A287="S",A287=0),0,IF(ISERROR(I287),H287,SMALL(H287:I287,1)))</f>
        <v>0</v>
      </c>
      <c r="C287">
        <f ca="1">IF($A287=1,OFFSET(C287,-1,0)+1,OFFSET(C287,-1,0))</f>
        <v>4</v>
      </c>
      <c r="D287">
        <f ca="1">IF($A287=1,0,IF($A287=2,OFFSET(D287,-1,0)+1,OFFSET(D287,-1,0)))</f>
        <v>2</v>
      </c>
      <c r="E287">
        <f ca="1">IF(AND($A287&lt;=2,$A287&lt;&gt;0),0,IF($A287=3,OFFSET(E287,-1,0)+1,OFFSET(E287,-1,0)))</f>
        <v>0</v>
      </c>
      <c r="F287">
        <f ca="1">IF(AND($A287&lt;=3,$A287&lt;&gt;0),0,IF($A287=4,OFFSET(F287,-1,0)+1,OFFSET(F287,-1,0)))</f>
        <v>0</v>
      </c>
      <c r="G287">
        <f ca="1">IF(AND($A287&lt;=4,$A287&lt;&gt;0),0,IF($A287="S",OFFSET(G287,-1,0)+1,OFFSET(G287,-1,0)))</f>
        <v>4</v>
      </c>
      <c r="H287">
        <f ca="1">IF(OR($A287="S",$A287=0),0,MATCH(0,OFFSET($B287,1,$A287,ROW($A$1504)-ROW($A287)),0))</f>
        <v>0</v>
      </c>
      <c r="I287">
        <f ca="1">IF(OR($A287="S",$A287=0),0,MATCH(OFFSET($B287,0,$A287)+1,OFFSET($B287,1,$A287,ROW($A$1504)-ROW($A287)),0))</f>
        <v>0</v>
      </c>
      <c r="J287" s="132" t="s">
        <v>29</v>
      </c>
      <c r="K287" s="121" t="str">
        <f ca="1">IF($A287=0,"-",CONCATENATE(C287&amp;".",IF(AND($A$5&gt;=2,$A287&gt;=2),D287&amp;".",""),IF(AND($A$5&gt;=3,$A287&gt;=3),E287&amp;".",""),IF(AND($A$5&gt;=4,$A287&gt;=4),F287&amp;".",""),IF($A287="S",G287&amp;".","")))</f>
        <v>4.2.4.</v>
      </c>
      <c r="L287" s="137" t="str">
        <f ca="1">IF(NOT(ISERROR($Y287)),IF($Y287&lt;&gt;FALSE,INDEX(Banco,$Y287,4),""),"")</f>
        <v>Cotação</v>
      </c>
      <c r="M287" s="122" t="s">
        <v>80</v>
      </c>
      <c r="N287" s="139" t="s">
        <v>158</v>
      </c>
      <c r="O287" s="137" t="str">
        <f ca="1">IF(NOT(ISERROR($Y287)),IF($Y287&lt;&gt;FALSE,INDEX(Banco,$Y287,5),""),"")</f>
        <v>Água (garrafa de 1,5 litros)</v>
      </c>
      <c r="P287" s="138" t="str">
        <f ca="1">IF(NOT(ISERROR($Y287)),IF($Y287&lt;&gt;FALSE,INDEX(Banco,$Y287,6),""),"")</f>
        <v>Unidade</v>
      </c>
      <c r="Q287" s="134">
        <v>3</v>
      </c>
      <c r="R287" s="124">
        <f ca="1">IF(NOT(ISERROR($Y287)),IF($Y287&lt;&gt;FALSE,INDEX(Banco,$Y287,7),0),0)</f>
        <v>4</v>
      </c>
      <c r="S287" s="136" t="s">
        <v>62</v>
      </c>
      <c r="T287" s="123">
        <f ca="1">IF($J287=$G$2,ROUND(ROUND($R287,2)*IF($R$9="Preço Unitário (R$)",1,1+$AA287),2),0)</f>
        <v>5</v>
      </c>
      <c r="U287" s="126">
        <f ca="1">IF($A287="S",VTOTAL1,IF($A287=0,0,ROUND(SomaAgrup,2)))</f>
        <v>15</v>
      </c>
      <c r="V287" s="1"/>
      <c r="W287" s="39" t="str">
        <f ca="1">IF(OR($A287=0,$A287="S",$A287&gt;CFF!$A$9),"",MAX(W$11:OFFSET(W287,-1,0))+1)</f>
        <v/>
      </c>
      <c r="X287" s="4" t="str">
        <f>IF(AND($J287=$G$2,$N287&lt;&gt;"",$M287&lt;&gt;""),CONCATENATE($M287,"-",$N287))</f>
        <v>Serv. Terc.-009</v>
      </c>
      <c r="Y287" s="39">
        <f ca="1">IF(X287&lt;&gt;FALSE,MATCH(X287,OFFSET(Banco,0,0,,1),0))</f>
        <v>89</v>
      </c>
      <c r="Z287" s="1"/>
      <c r="AA287" s="133">
        <f>IF($J287=$G$2,ROUND(IF(ISNUMBER(S287),S287,IF(LEFT(S287,2)="DI",HLOOKUP(S287,DADOS!$T$29:$X$30,2,FALSE),0)),4),"")</f>
        <v>0.25</v>
      </c>
      <c r="AB287" s="2"/>
    </row>
    <row r="288" spans="1:28">
      <c r="A288" t="str">
        <f t="shared" si="222"/>
        <v>S</v>
      </c>
      <c r="B288">
        <f t="shared" si="223"/>
        <v>0</v>
      </c>
      <c r="C288">
        <f ca="1">IF($A288=1,OFFSET(C288,-1,0)+1,OFFSET(C288,-1,0))</f>
        <v>4</v>
      </c>
      <c r="D288">
        <f ca="1">IF($A288=1,0,IF($A288=2,OFFSET(D288,-1,0)+1,OFFSET(D288,-1,0)))</f>
        <v>2</v>
      </c>
      <c r="E288">
        <f ca="1">IF(AND($A288&lt;=2,$A288&lt;&gt;0),0,IF($A288=3,OFFSET(E288,-1,0)+1,OFFSET(E288,-1,0)))</f>
        <v>0</v>
      </c>
      <c r="F288">
        <f ca="1">IF(AND($A288&lt;=3,$A288&lt;&gt;0),0,IF($A288=4,OFFSET(F288,-1,0)+1,OFFSET(F288,-1,0)))</f>
        <v>0</v>
      </c>
      <c r="G288">
        <f ca="1">IF(AND($A288&lt;=4,$A288&lt;&gt;0),0,IF($A288="S",OFFSET(G288,-1,0)+1,OFFSET(G288,-1,0)))</f>
        <v>5</v>
      </c>
      <c r="H288">
        <f ca="1">IF(OR($A288="S",$A288=0),0,MATCH(0,OFFSET($B288,1,$A288,ROW($A$1504)-ROW($A288)),0))</f>
        <v>0</v>
      </c>
      <c r="I288">
        <f ca="1">IF(OR($A288="S",$A288=0),0,MATCH(OFFSET($B288,0,$A288)+1,OFFSET($B288,1,$A288,ROW($A$1504)-ROW($A288)),0))</f>
        <v>0</v>
      </c>
      <c r="J288" s="132" t="s">
        <v>29</v>
      </c>
      <c r="K288" s="121" t="str">
        <f t="shared" ca="1" si="229"/>
        <v>4.2.5.</v>
      </c>
      <c r="L288" s="137" t="str">
        <f ca="1">IF(NOT(ISERROR($Y288)),IF($Y288&lt;&gt;FALSE,INDEX(Banco,$Y288,4),""),"")</f>
        <v>Cotação</v>
      </c>
      <c r="M288" s="122" t="s">
        <v>80</v>
      </c>
      <c r="N288" s="139" t="s">
        <v>171</v>
      </c>
      <c r="O288" s="137" t="str">
        <f ca="1">IF(NOT(ISERROR($Y288)),IF($Y288&lt;&gt;FALSE,INDEX(Banco,$Y288,5),""),"")</f>
        <v xml:space="preserve">Refrigerantes (02 litros) </v>
      </c>
      <c r="P288" s="138" t="str">
        <f ca="1">IF(NOT(ISERROR($Y288)),IF($Y288&lt;&gt;FALSE,INDEX(Banco,$Y288,6),""),"")</f>
        <v>Unidade</v>
      </c>
      <c r="Q288" s="134">
        <v>7</v>
      </c>
      <c r="R288" s="124">
        <f ca="1">IF(NOT(ISERROR($Y288)),IF($Y288&lt;&gt;FALSE,INDEX(Banco,$Y288,7),0),0)</f>
        <v>6</v>
      </c>
      <c r="S288" s="136" t="s">
        <v>62</v>
      </c>
      <c r="T288" s="123">
        <f ca="1">IF($J288=$G$2,ROUND(ROUND($R288,2)*IF($R$9="Preço Unitário (R$)",1,1+$AA288),2),0)</f>
        <v>7.5</v>
      </c>
      <c r="U288" s="126">
        <f ca="1">IF($A288="S",VTOTAL1,IF($A288=0,0,ROUND(SomaAgrup,2)))</f>
        <v>52.5</v>
      </c>
      <c r="V288" s="1"/>
      <c r="W288" s="39" t="str">
        <f ca="1">IF(OR($A288=0,$A288="S",$A288&gt;CFF!$A$9),"",MAX(W$11:OFFSET(W288,-1,0))+1)</f>
        <v/>
      </c>
      <c r="X288" s="4" t="str">
        <f>IF(AND($J288=$G$2,$N288&lt;&gt;"",$M288&lt;&gt;""),CONCATENATE($M288,"-",$N288))</f>
        <v>Serv. Terc.-027</v>
      </c>
      <c r="Y288" s="39">
        <f t="shared" ca="1" si="237"/>
        <v>107</v>
      </c>
      <c r="Z288" s="1"/>
      <c r="AA288" s="133">
        <f>IF($J288=$G$2,ROUND(IF(ISNUMBER(S288),S288,IF(LEFT(S288,2)="DI",HLOOKUP(S288,DADOS!$T$29:$X$30,2,FALSE),0)),4),"")</f>
        <v>0.25</v>
      </c>
      <c r="AB288" s="2"/>
    </row>
    <row r="289" spans="1:28">
      <c r="A289" t="str">
        <f t="shared" si="222"/>
        <v>S</v>
      </c>
      <c r="B289">
        <f t="shared" si="223"/>
        <v>0</v>
      </c>
      <c r="C289">
        <f t="shared" ca="1" si="224"/>
        <v>4</v>
      </c>
      <c r="D289">
        <f t="shared" ca="1" si="225"/>
        <v>2</v>
      </c>
      <c r="E289">
        <f t="shared" ca="1" si="226"/>
        <v>0</v>
      </c>
      <c r="F289">
        <f t="shared" ca="1" si="227"/>
        <v>0</v>
      </c>
      <c r="G289">
        <f t="shared" ca="1" si="228"/>
        <v>6</v>
      </c>
      <c r="H289">
        <f ca="1">IF(OR($A289="S",$A289=0),0,MATCH(0,OFFSET($B289,1,$A289,ROW($A$1504)-ROW($A289)),0))</f>
        <v>0</v>
      </c>
      <c r="I289">
        <f ca="1">IF(OR($A289="S",$A289=0),0,MATCH(OFFSET($B289,0,$A289)+1,OFFSET($B289,1,$A289,ROW($A$1504)-ROW($A289)),0))</f>
        <v>0</v>
      </c>
      <c r="J289" s="132" t="s">
        <v>29</v>
      </c>
      <c r="K289" s="121" t="str">
        <f t="shared" ca="1" si="229"/>
        <v>4.2.6.</v>
      </c>
      <c r="L289" s="137" t="str">
        <f t="shared" ca="1" si="230"/>
        <v>CREFITO</v>
      </c>
      <c r="M289" s="122" t="s">
        <v>80</v>
      </c>
      <c r="N289" s="139" t="s">
        <v>260</v>
      </c>
      <c r="O289" s="137" t="str">
        <f t="shared" ca="1" si="231"/>
        <v>Fisioterapeuta (Massagem terapêutica)</v>
      </c>
      <c r="P289" s="138" t="str">
        <f t="shared" ca="1" si="232"/>
        <v>Vagas</v>
      </c>
      <c r="Q289" s="134">
        <v>30</v>
      </c>
      <c r="R289" s="124">
        <f t="shared" ca="1" si="233"/>
        <v>41.6</v>
      </c>
      <c r="S289" s="136" t="s">
        <v>62</v>
      </c>
      <c r="T289" s="123">
        <f t="shared" ca="1" si="234"/>
        <v>52</v>
      </c>
      <c r="U289" s="126">
        <f t="shared" ca="1" si="235"/>
        <v>1560</v>
      </c>
      <c r="V289" s="1"/>
      <c r="W289" s="39" t="str">
        <f ca="1">IF(OR($A289=0,$A289="S",$A289&gt;CFF!$A$9),"",MAX(W$11:OFFSET(W289,-1,0))+1)</f>
        <v/>
      </c>
      <c r="X289" s="4" t="str">
        <f t="shared" si="236"/>
        <v>Serv. Terc.-085</v>
      </c>
      <c r="Y289" s="39">
        <f t="shared" ca="1" si="237"/>
        <v>165</v>
      </c>
      <c r="Z289" s="1"/>
      <c r="AA289" s="133">
        <f>IF($J289=$G$2,ROUND(IF(ISNUMBER(S289),S289,IF(LEFT(S289,2)="DI",HLOOKUP(S289,DADOS!$T$29:$X$30,2,FALSE),0)),4),"")</f>
        <v>0.25</v>
      </c>
      <c r="AB289" s="2"/>
    </row>
    <row r="290" spans="1:28">
      <c r="A290" t="str">
        <f t="shared" si="222"/>
        <v>S</v>
      </c>
      <c r="B290">
        <f t="shared" si="223"/>
        <v>0</v>
      </c>
      <c r="C290">
        <f ca="1">IF($A290=1,OFFSET(C290,-1,0)+1,OFFSET(C290,-1,0))</f>
        <v>4</v>
      </c>
      <c r="D290">
        <f ca="1">IF($A290=1,0,IF($A290=2,OFFSET(D290,-1,0)+1,OFFSET(D290,-1,0)))</f>
        <v>2</v>
      </c>
      <c r="E290">
        <f ca="1">IF(AND($A290&lt;=2,$A290&lt;&gt;0),0,IF($A290=3,OFFSET(E290,-1,0)+1,OFFSET(E290,-1,0)))</f>
        <v>0</v>
      </c>
      <c r="F290">
        <f ca="1">IF(AND($A290&lt;=3,$A290&lt;&gt;0),0,IF($A290=4,OFFSET(F290,-1,0)+1,OFFSET(F290,-1,0)))</f>
        <v>0</v>
      </c>
      <c r="G290">
        <f ca="1">IF(AND($A290&lt;=4,$A290&lt;&gt;0),0,IF($A290="S",OFFSET(G290,-1,0)+1,OFFSET(G290,-1,0)))</f>
        <v>7</v>
      </c>
      <c r="H290">
        <f ca="1">IF(OR($A290="S",$A290=0),0,MATCH(0,OFFSET($B290,1,$A290,ROW($A$1504)-ROW($A290)),0))</f>
        <v>0</v>
      </c>
      <c r="I290">
        <f ca="1">IF(OR($A290="S",$A290=0),0,MATCH(OFFSET($B290,0,$A290)+1,OFFSET($B290,1,$A290,ROW($A$1504)-ROW($A290)),0))</f>
        <v>0</v>
      </c>
      <c r="J290" s="132" t="s">
        <v>29</v>
      </c>
      <c r="K290" s="121" t="str">
        <f t="shared" ca="1" si="229"/>
        <v>4.2.7.</v>
      </c>
      <c r="L290" s="137" t="str">
        <f ca="1">IF(NOT(ISERROR($Y290)),IF($Y290&lt;&gt;FALSE,INDEX(Banco,$Y290,4),""),"")</f>
        <v>COREN</v>
      </c>
      <c r="M290" s="122" t="s">
        <v>80</v>
      </c>
      <c r="N290" s="139" t="s">
        <v>261</v>
      </c>
      <c r="O290" s="137" t="str">
        <f t="shared" ca="1" si="231"/>
        <v>Técnica de Enfermagem (Instrutor)</v>
      </c>
      <c r="P290" s="138" t="str">
        <f ca="1">IF(NOT(ISERROR($Y290)),IF($Y290&lt;&gt;FALSE,INDEX(Banco,$Y290,6),""),"")</f>
        <v>Horas</v>
      </c>
      <c r="Q290" s="134">
        <v>2</v>
      </c>
      <c r="R290" s="124">
        <f ca="1">IF(NOT(ISERROR($Y290)),IF($Y290&lt;&gt;FALSE,INDEX(Banco,$Y290,7),0),0)</f>
        <v>92.65</v>
      </c>
      <c r="S290" s="136" t="s">
        <v>62</v>
      </c>
      <c r="T290" s="123">
        <f ca="1">IF($J290=$G$2,ROUND(ROUND($R290,2)*IF($R$9="Preço Unitário (R$)",1,1+$AA290),2),0)</f>
        <v>115.81</v>
      </c>
      <c r="U290" s="126">
        <f ca="1">IF($A290="S",VTOTAL1,IF($A290=0,0,ROUND(SomaAgrup,2)))</f>
        <v>231.62</v>
      </c>
      <c r="V290" s="1"/>
      <c r="W290" s="39" t="str">
        <f ca="1">IF(OR($A290=0,$A290="S",$A290&gt;CFF!$A$9),"",MAX(W$11:OFFSET(W290,-1,0))+1)</f>
        <v/>
      </c>
      <c r="X290" s="4" t="str">
        <f>IF(AND($J290=$G$2,$N290&lt;&gt;"",$M290&lt;&gt;""),CONCATENATE($M290,"-",$N290))</f>
        <v>Serv. Terc.-086</v>
      </c>
      <c r="Y290" s="39">
        <f t="shared" ca="1" si="237"/>
        <v>166</v>
      </c>
      <c r="Z290" s="1"/>
      <c r="AA290" s="133">
        <f>IF($J290=$G$2,ROUND(IF(ISNUMBER(S290),S290,IF(LEFT(S290,2)="DI",HLOOKUP(S290,DADOS!$T$29:$X$30,2,FALSE),0)),4),"")</f>
        <v>0.25</v>
      </c>
      <c r="AB290" s="2"/>
    </row>
    <row r="291" spans="1:28">
      <c r="A291" t="str">
        <f t="shared" si="222"/>
        <v>S</v>
      </c>
      <c r="B291">
        <f t="shared" si="223"/>
        <v>0</v>
      </c>
      <c r="C291">
        <f ca="1">IF($A291=1,OFFSET(C291,-1,0)+1,OFFSET(C291,-1,0))</f>
        <v>4</v>
      </c>
      <c r="D291">
        <f ca="1">IF($A291=1,0,IF($A291=2,OFFSET(D291,-1,0)+1,OFFSET(D291,-1,0)))</f>
        <v>2</v>
      </c>
      <c r="E291">
        <f ca="1">IF(AND($A291&lt;=2,$A291&lt;&gt;0),0,IF($A291=3,OFFSET(E291,-1,0)+1,OFFSET(E291,-1,0)))</f>
        <v>0</v>
      </c>
      <c r="F291">
        <f ca="1">IF(AND($A291&lt;=3,$A291&lt;&gt;0),0,IF($A291=4,OFFSET(F291,-1,0)+1,OFFSET(F291,-1,0)))</f>
        <v>0</v>
      </c>
      <c r="G291">
        <f ca="1">IF(AND($A291&lt;=4,$A291&lt;&gt;0),0,IF($A291="S",OFFSET(G291,-1,0)+1,OFFSET(G291,-1,0)))</f>
        <v>8</v>
      </c>
      <c r="H291">
        <f ca="1">IF(OR($A291="S",$A291=0),0,MATCH(0,OFFSET($B291,1,$A291,ROW($A$1504)-ROW($A291)),0))</f>
        <v>0</v>
      </c>
      <c r="I291">
        <f ca="1">IF(OR($A291="S",$A291=0),0,MATCH(OFFSET($B291,0,$A291)+1,OFFSET($B291,1,$A291,ROW($A$1504)-ROW($A291)),0))</f>
        <v>0</v>
      </c>
      <c r="J291" s="132" t="s">
        <v>29</v>
      </c>
      <c r="K291" s="121" t="str">
        <f t="shared" ca="1" si="229"/>
        <v>4.2.8.</v>
      </c>
      <c r="L291" s="137" t="str">
        <f ca="1">IF(NOT(ISERROR($Y291)),IF($Y291&lt;&gt;FALSE,INDEX(Banco,$Y291,4),""),"")</f>
        <v>Cotação</v>
      </c>
      <c r="M291" s="122" t="s">
        <v>80</v>
      </c>
      <c r="N291" s="139" t="s">
        <v>256</v>
      </c>
      <c r="O291" s="137" t="str">
        <f ca="1">IF(NOT(ISERROR($Y291)),IF($Y291&lt;&gt;FALSE,INDEX(Banco,$Y291,5),""),"")</f>
        <v>Instrutor/Monitor (Educação Fisíca)</v>
      </c>
      <c r="P291" s="138" t="str">
        <f ca="1">IF(NOT(ISERROR($Y291)),IF($Y291&lt;&gt;FALSE,INDEX(Banco,$Y291,6),""),"")</f>
        <v>Horas</v>
      </c>
      <c r="Q291" s="134">
        <v>2</v>
      </c>
      <c r="R291" s="124">
        <f ca="1">IF(NOT(ISERROR($Y291)),IF($Y291&lt;&gt;FALSE,INDEX(Banco,$Y291,7),0),0)</f>
        <v>100</v>
      </c>
      <c r="S291" s="136" t="s">
        <v>62</v>
      </c>
      <c r="T291" s="123">
        <f ca="1">IF($J291=$G$2,ROUND(ROUND($R291,2)*IF($R$9="Preço Unitário (R$)",1,1+$AA291),2),0)</f>
        <v>125</v>
      </c>
      <c r="U291" s="126">
        <f ca="1">IF($A291="S",VTOTAL1,IF($A291=0,0,ROUND(SomaAgrup,2)))</f>
        <v>250</v>
      </c>
      <c r="V291" s="1"/>
      <c r="W291" s="39" t="str">
        <f ca="1">IF(OR($A291=0,$A291="S",$A291&gt;CFF!$A$9),"",MAX(W$11:OFFSET(W291,-1,0))+1)</f>
        <v/>
      </c>
      <c r="X291" s="4" t="str">
        <f>IF(AND($J291=$G$2,$N291&lt;&gt;"",$M291&lt;&gt;""),CONCATENATE($M291,"-",$N291))</f>
        <v>Serv. Terc.-017</v>
      </c>
      <c r="Y291" s="39">
        <f t="shared" ca="1" si="237"/>
        <v>97</v>
      </c>
      <c r="Z291" s="1"/>
      <c r="AA291" s="133">
        <f>IF($J291=$G$2,ROUND(IF(ISNUMBER(S291),S291,IF(LEFT(S291,2)="DI",HLOOKUP(S291,DADOS!$T$29:$X$30,2,FALSE),0)),4),"")</f>
        <v>0.25</v>
      </c>
      <c r="AB291" s="2"/>
    </row>
    <row r="292" spans="1:28">
      <c r="A292" t="str">
        <f t="shared" si="222"/>
        <v>S</v>
      </c>
      <c r="B292">
        <f t="shared" si="223"/>
        <v>0</v>
      </c>
      <c r="C292">
        <f ca="1">IF($A292=1,OFFSET(C292,-1,0)+1,OFFSET(C292,-1,0))</f>
        <v>4</v>
      </c>
      <c r="D292">
        <f ca="1">IF($A292=1,0,IF($A292=2,OFFSET(D292,-1,0)+1,OFFSET(D292,-1,0)))</f>
        <v>2</v>
      </c>
      <c r="E292">
        <f ca="1">IF(AND($A292&lt;=2,$A292&lt;&gt;0),0,IF($A292=3,OFFSET(E292,-1,0)+1,OFFSET(E292,-1,0)))</f>
        <v>0</v>
      </c>
      <c r="F292">
        <f ca="1">IF(AND($A292&lt;=3,$A292&lt;&gt;0),0,IF($A292=4,OFFSET(F292,-1,0)+1,OFFSET(F292,-1,0)))</f>
        <v>0</v>
      </c>
      <c r="G292">
        <f ca="1">IF(AND($A292&lt;=4,$A292&lt;&gt;0),0,IF($A292="S",OFFSET(G292,-1,0)+1,OFFSET(G292,-1,0)))</f>
        <v>9</v>
      </c>
      <c r="H292">
        <f ca="1">IF(OR($A292="S",$A292=0),0,MATCH(0,OFFSET($B292,1,$A292,ROW($A$1504)-ROW($A292)),0))</f>
        <v>0</v>
      </c>
      <c r="I292">
        <f ca="1">IF(OR($A292="S",$A292=0),0,MATCH(OFFSET($B292,0,$A292)+1,OFFSET($B292,1,$A292,ROW($A$1504)-ROW($A292)),0))</f>
        <v>0</v>
      </c>
      <c r="J292" s="132" t="s">
        <v>29</v>
      </c>
      <c r="K292" s="121" t="str">
        <f t="shared" ca="1" si="229"/>
        <v>4.2.9.</v>
      </c>
      <c r="L292" s="137" t="str">
        <f ca="1">IF(NOT(ISERROR($Y292)),IF($Y292&lt;&gt;FALSE,INDEX(Banco,$Y292,4),""),"")</f>
        <v>Cotação</v>
      </c>
      <c r="M292" s="122" t="s">
        <v>80</v>
      </c>
      <c r="N292" s="139" t="s">
        <v>294</v>
      </c>
      <c r="O292" s="137" t="str">
        <f ca="1">IF(NOT(ISERROR($Y292)),IF($Y292&lt;&gt;FALSE,INDEX(Banco,$Y292,5),""),"")</f>
        <v>KIT (massagem terapêutica)</v>
      </c>
      <c r="P292" s="138" t="str">
        <f ca="1">IF(NOT(ISERROR($Y292)),IF($Y292&lt;&gt;FALSE,INDEX(Banco,$Y292,6),""),"")</f>
        <v>KIT</v>
      </c>
      <c r="Q292" s="134">
        <v>1</v>
      </c>
      <c r="R292" s="124">
        <f ca="1">IF(NOT(ISERROR($Y292)),IF($Y292&lt;&gt;FALSE,INDEX(Banco,$Y292,7),0),0)</f>
        <v>102.94</v>
      </c>
      <c r="S292" s="136" t="s">
        <v>62</v>
      </c>
      <c r="T292" s="123">
        <f ca="1">IF($J292=$G$2,ROUND(ROUND($R292,2)*IF($R$9="Preço Unitário (R$)",1,1+$AA292),2),0)</f>
        <v>128.68</v>
      </c>
      <c r="U292" s="126">
        <f ca="1">IF($A292="S",VTOTAL1,IF($A292=0,0,ROUND(SomaAgrup,2)))</f>
        <v>128.68</v>
      </c>
      <c r="V292" s="1"/>
      <c r="W292" s="39" t="str">
        <f ca="1">IF(OR($A292=0,$A292="S",$A292&gt;CFF!$A$9),"",MAX(W$11:OFFSET(W292,-1,0))+1)</f>
        <v/>
      </c>
      <c r="X292" s="4" t="str">
        <f>IF(AND($J292=$G$2,$N292&lt;&gt;"",$M292&lt;&gt;""),CONCATENATE($M292,"-",$N292))</f>
        <v>Serv. Terc.-061</v>
      </c>
      <c r="Y292" s="39">
        <f t="shared" ca="1" si="237"/>
        <v>141</v>
      </c>
      <c r="Z292" s="1"/>
      <c r="AA292" s="133">
        <f>IF($J292=$G$2,ROUND(IF(ISNUMBER(S292),S292,IF(LEFT(S292,2)="DI",HLOOKUP(S292,DADOS!$T$29:$X$30,2,FALSE),0)),4),"")</f>
        <v>0.25</v>
      </c>
      <c r="AB292" s="2"/>
    </row>
    <row r="293" spans="1:28">
      <c r="A293">
        <f>CHOOSE(1+LOG(1+2*(J293=$C$2)+4*(J293=$D$2)+8*(J293=$E$2)+16*(J293=$F$2)+32*(J293=$G$2),2),0,1,2,3,4,"S")</f>
        <v>2</v>
      </c>
      <c r="B293">
        <f ca="1">IF(OR(A293="S",A293=0),0,IF(ISERROR(I293),H293,SMALL(H293:I293,1)))</f>
        <v>3</v>
      </c>
      <c r="C293">
        <f ca="1">IF($A293=1,OFFSET(C293,-1,0)+1,OFFSET(C293,-1,0))</f>
        <v>4</v>
      </c>
      <c r="D293">
        <f ca="1">IF($A293=1,0,IF($A293=2,OFFSET(D293,-1,0)+1,OFFSET(D293,-1,0)))</f>
        <v>3</v>
      </c>
      <c r="E293">
        <f ca="1">IF(AND($A293&lt;=2,$A293&lt;&gt;0),0,IF($A293=3,OFFSET(E293,-1,0)+1,OFFSET(E293,-1,0)))</f>
        <v>0</v>
      </c>
      <c r="F293">
        <f ca="1">IF(AND($A293&lt;=3,$A293&lt;&gt;0),0,IF($A293=4,OFFSET(F293,-1,0)+1,OFFSET(F293,-1,0)))</f>
        <v>0</v>
      </c>
      <c r="G293">
        <f ca="1">IF(AND($A293&lt;=4,$A293&lt;&gt;0),0,IF($A293="S",OFFSET(G293,-1,0)+1,OFFSET(G293,-1,0)))</f>
        <v>0</v>
      </c>
      <c r="H293">
        <f ca="1">IF(OR($A293="S",$A293=0),0,MATCH(0,OFFSET($B293,1,$A293,ROW($A$1504)-ROW($A293)),0))</f>
        <v>45</v>
      </c>
      <c r="I293">
        <f ca="1">IF(OR($A293="S",$A293=0),0,MATCH(OFFSET($B293,0,$A293)+1,OFFSET($B293,1,$A293,ROW($A$1504)-ROW($A293)),0))</f>
        <v>3</v>
      </c>
      <c r="J293" s="132" t="s">
        <v>68</v>
      </c>
      <c r="K293" s="121" t="str">
        <f ca="1">IF($A293=0,"-",CONCATENATE(C293&amp;".",IF(AND($A$5&gt;=2,$A293&gt;=2),D293&amp;".",""),IF(AND($A$5&gt;=3,$A293&gt;=3),E293&amp;".",""),IF(AND($A$5&gt;=4,$A293&gt;=4),F293&amp;".",""),IF($A293="S",G293&amp;".","")))</f>
        <v>4.3.</v>
      </c>
      <c r="L293" s="137" t="str">
        <f ca="1">IF(NOT(ISERROR($Y293)),IF($Y293&lt;&gt;FALSE,INDEX(Banco,$Y293,4),""),"")</f>
        <v/>
      </c>
      <c r="M293" s="122"/>
      <c r="N293" s="139"/>
      <c r="O293" s="137" t="s">
        <v>363</v>
      </c>
      <c r="P293" s="138" t="str">
        <f ca="1">IF(NOT(ISERROR($Y293)),IF($Y293&lt;&gt;FALSE,INDEX(Banco,$Y293,6),""),"")</f>
        <v/>
      </c>
      <c r="Q293" s="134"/>
      <c r="R293" s="124">
        <f ca="1">IF(NOT(ISERROR($Y293)),IF($Y293&lt;&gt;FALSE,INDEX(Banco,$Y293,7),0),0)</f>
        <v>0</v>
      </c>
      <c r="S293" s="136" t="s">
        <v>62</v>
      </c>
      <c r="T293" s="123">
        <f>IF($J293=$G$2,ROUND(ROUND($R293,2)*IF($R$9="Preço Unitário (R$)",1,1+$AA293),2),0)</f>
        <v>0</v>
      </c>
      <c r="U293" s="126">
        <f ca="1">IF($A293="S",VTOTAL1,IF($A293=0,0,ROUND(SomaAgrup,2)))</f>
        <v>1713.78</v>
      </c>
      <c r="V293" s="1"/>
      <c r="W293" s="39">
        <f ca="1">IF(OR($A293=0,$A293="S",$A293&gt;CFF!$A$9),"",MAX(W$11:OFFSET(W293,-1,0))+1)</f>
        <v>20</v>
      </c>
      <c r="X293" s="4" t="b">
        <f>IF(AND($J293=$G$2,$N293&lt;&gt;"",$M293&lt;&gt;""),CONCATENATE($M293,"-",$N293))</f>
        <v>0</v>
      </c>
      <c r="Y293" s="39" t="b">
        <f ca="1">IF(X293&lt;&gt;FALSE,MATCH(X293,OFFSET(Banco,0,0,,1),0))</f>
        <v>0</v>
      </c>
      <c r="Z293" s="1"/>
      <c r="AA293" s="133" t="str">
        <f>IF($J293=$G$2,ROUND(IF(ISNUMBER(S293),S293,IF(LEFT(S293,2)="DI",HLOOKUP(S293,DADOS!$T$29:$X$30,2,FALSE),0)),4),"")</f>
        <v/>
      </c>
      <c r="AB293" s="2"/>
    </row>
    <row r="294" spans="1:28">
      <c r="A294" t="str">
        <f t="shared" si="222"/>
        <v>S</v>
      </c>
      <c r="B294">
        <f t="shared" si="223"/>
        <v>0</v>
      </c>
      <c r="C294">
        <f t="shared" ca="1" si="224"/>
        <v>4</v>
      </c>
      <c r="D294">
        <f t="shared" ca="1" si="225"/>
        <v>3</v>
      </c>
      <c r="E294">
        <f t="shared" ca="1" si="226"/>
        <v>0</v>
      </c>
      <c r="F294">
        <f t="shared" ca="1" si="227"/>
        <v>0</v>
      </c>
      <c r="G294">
        <f t="shared" ca="1" si="228"/>
        <v>1</v>
      </c>
      <c r="H294">
        <f ca="1">IF(OR($A294="S",$A294=0),0,MATCH(0,OFFSET($B294,1,$A294,ROW($A$1504)-ROW($A294)),0))</f>
        <v>0</v>
      </c>
      <c r="I294">
        <f ca="1">IF(OR($A294="S",$A294=0),0,MATCH(OFFSET($B294,0,$A294)+1,OFFSET($B294,1,$A294,ROW($A$1504)-ROW($A294)),0))</f>
        <v>0</v>
      </c>
      <c r="J294" s="132" t="s">
        <v>29</v>
      </c>
      <c r="K294" s="121" t="str">
        <f t="shared" ca="1" si="229"/>
        <v>4.3.1.</v>
      </c>
      <c r="L294" s="137" t="str">
        <f t="shared" ca="1" si="230"/>
        <v>CRESS</v>
      </c>
      <c r="M294" s="122" t="s">
        <v>78</v>
      </c>
      <c r="N294" s="139" t="s">
        <v>149</v>
      </c>
      <c r="O294" s="137" t="str">
        <f ca="1">IF(NOT(ISERROR($Y294)),IF($Y294&lt;&gt;FALSE,INDEX(Banco,$Y294,5),""),"")</f>
        <v>Responsável Técnica</v>
      </c>
      <c r="P294" s="138" t="str">
        <f t="shared" ca="1" si="232"/>
        <v>Horas</v>
      </c>
      <c r="Q294" s="134">
        <v>2</v>
      </c>
      <c r="R294" s="124">
        <f t="shared" ca="1" si="233"/>
        <v>150.28</v>
      </c>
      <c r="S294" s="136" t="s">
        <v>62</v>
      </c>
      <c r="T294" s="123">
        <f t="shared" ca="1" si="234"/>
        <v>187.85</v>
      </c>
      <c r="U294" s="126">
        <f t="shared" ca="1" si="235"/>
        <v>375.7</v>
      </c>
      <c r="V294" s="1"/>
      <c r="W294" s="39" t="str">
        <f ca="1">IF(OR($A294=0,$A294="S",$A294&gt;CFF!$A$9),"",MAX(W$11:OFFSET(W294,-1,0))+1)</f>
        <v/>
      </c>
      <c r="X294" s="4" t="str">
        <f t="shared" si="236"/>
        <v>Rec. Humanos-001</v>
      </c>
      <c r="Y294" s="39">
        <f t="shared" ca="1" si="237"/>
        <v>3</v>
      </c>
      <c r="Z294" s="1"/>
      <c r="AA294" s="133">
        <f>IF($J294=$G$2,ROUND(IF(ISNUMBER(S294),S294,IF(LEFT(S294,2)="DI",HLOOKUP(S294,DADOS!$T$29:$X$30,2,FALSE),0)),4),"")</f>
        <v>0.25</v>
      </c>
      <c r="AB294" s="2"/>
    </row>
    <row r="295" spans="1:28">
      <c r="A295" t="str">
        <f t="shared" si="222"/>
        <v>S</v>
      </c>
      <c r="B295">
        <f t="shared" si="223"/>
        <v>0</v>
      </c>
      <c r="C295">
        <f t="shared" ca="1" si="224"/>
        <v>4</v>
      </c>
      <c r="D295">
        <f t="shared" ca="1" si="225"/>
        <v>3</v>
      </c>
      <c r="E295">
        <f t="shared" ca="1" si="226"/>
        <v>0</v>
      </c>
      <c r="F295">
        <f t="shared" ca="1" si="227"/>
        <v>0</v>
      </c>
      <c r="G295">
        <f t="shared" ca="1" si="228"/>
        <v>2</v>
      </c>
      <c r="H295">
        <f ca="1">IF(OR($A295="S",$A295=0),0,MATCH(0,OFFSET($B295,1,$A295,ROW($A$1504)-ROW($A295)),0))</f>
        <v>0</v>
      </c>
      <c r="I295">
        <f ca="1">IF(OR($A295="S",$A295=0),0,MATCH(OFFSET($B295,0,$A295)+1,OFFSET($B295,1,$A295,ROW($A$1504)-ROW($A295)),0))</f>
        <v>0</v>
      </c>
      <c r="J295" s="132" t="s">
        <v>29</v>
      </c>
      <c r="K295" s="121" t="str">
        <f t="shared" ca="1" si="229"/>
        <v>4.3.2.</v>
      </c>
      <c r="L295" s="137" t="str">
        <f t="shared" ca="1" si="230"/>
        <v>CRESS</v>
      </c>
      <c r="M295" s="122" t="s">
        <v>78</v>
      </c>
      <c r="N295" s="139" t="s">
        <v>152</v>
      </c>
      <c r="O295" s="137" t="str">
        <f ca="1">IF(NOT(ISERROR($Y295)),IF($Y295&lt;&gt;FALSE,INDEX(Banco,$Y295,5),""),"")</f>
        <v>Assistente Social</v>
      </c>
      <c r="P295" s="138" t="str">
        <f t="shared" ca="1" si="232"/>
        <v>Horas</v>
      </c>
      <c r="Q295" s="134">
        <v>8</v>
      </c>
      <c r="R295" s="124">
        <f t="shared" ca="1" si="233"/>
        <v>133.81</v>
      </c>
      <c r="S295" s="136" t="s">
        <v>62</v>
      </c>
      <c r="T295" s="123">
        <f t="shared" ca="1" si="234"/>
        <v>167.26</v>
      </c>
      <c r="U295" s="126">
        <f t="shared" ca="1" si="235"/>
        <v>1338.08</v>
      </c>
      <c r="V295" s="1"/>
      <c r="W295" s="39" t="str">
        <f ca="1">IF(OR($A295=0,$A295="S",$A295&gt;CFF!$A$9),"",MAX(W$11:OFFSET(W295,-1,0))+1)</f>
        <v/>
      </c>
      <c r="X295" s="4" t="str">
        <f t="shared" si="236"/>
        <v>Rec. Humanos-002</v>
      </c>
      <c r="Y295" s="39">
        <f t="shared" ca="1" si="237"/>
        <v>4</v>
      </c>
      <c r="Z295" s="1"/>
      <c r="AA295" s="133">
        <f>IF($J295=$G$2,ROUND(IF(ISNUMBER(S295),S295,IF(LEFT(S295,2)="DI",HLOOKUP(S295,DADOS!$T$29:$X$30,2,FALSE),0)),4),"")</f>
        <v>0.25</v>
      </c>
      <c r="AB295" s="2"/>
    </row>
    <row r="296" spans="1:28" ht="25.5">
      <c r="A296">
        <f>CHOOSE(1+LOG(1+2*(J296=$C$2)+4*(J296=$D$2)+8*(J296=$E$2)+16*(J296=$F$2)+32*(J296=$G$2),2),0,1,2,3,4,"S")</f>
        <v>2</v>
      </c>
      <c r="B296">
        <f ca="1">IF(OR(A296="S",A296=0),0,IF(ISERROR(I296),H296,SMALL(H296:I296,1)))</f>
        <v>4</v>
      </c>
      <c r="C296">
        <f ca="1">IF($A296=1,OFFSET(C296,-1,0)+1,OFFSET(C296,-1,0))</f>
        <v>4</v>
      </c>
      <c r="D296">
        <f ca="1">IF($A296=1,0,IF($A296=2,OFFSET(D296,-1,0)+1,OFFSET(D296,-1,0)))</f>
        <v>4</v>
      </c>
      <c r="E296">
        <f ca="1">IF(AND($A296&lt;=2,$A296&lt;&gt;0),0,IF($A296=3,OFFSET(E296,-1,0)+1,OFFSET(E296,-1,0)))</f>
        <v>0</v>
      </c>
      <c r="F296">
        <f ca="1">IF(AND($A296&lt;=3,$A296&lt;&gt;0),0,IF($A296=4,OFFSET(F296,-1,0)+1,OFFSET(F296,-1,0)))</f>
        <v>0</v>
      </c>
      <c r="G296">
        <f ca="1">IF(AND($A296&lt;=4,$A296&lt;&gt;0),0,IF($A296="S",OFFSET(G296,-1,0)+1,OFFSET(G296,-1,0)))</f>
        <v>0</v>
      </c>
      <c r="H296">
        <f ca="1">IF(OR($A296="S",$A296=0),0,MATCH(0,OFFSET($B296,1,$A296,ROW($A$1504)-ROW($A296)),0))</f>
        <v>42</v>
      </c>
      <c r="I296">
        <f ca="1">IF(OR($A296="S",$A296=0),0,MATCH(OFFSET($B296,0,$A296)+1,OFFSET($B296,1,$A296,ROW($A$1504)-ROW($A296)),0))</f>
        <v>4</v>
      </c>
      <c r="J296" s="132" t="s">
        <v>68</v>
      </c>
      <c r="K296" s="121" t="str">
        <f ca="1">IF($A296=0,"-",CONCATENATE(C296&amp;".",IF(AND($A$5&gt;=2,$A296&gt;=2),D296&amp;".",""),IF(AND($A$5&gt;=3,$A296&gt;=3),E296&amp;".",""),IF(AND($A$5&gt;=4,$A296&gt;=4),F296&amp;".",""),IF($A296="S",G296&amp;".","")))</f>
        <v>4.4.</v>
      </c>
      <c r="L296" s="137" t="str">
        <f ca="1">IF(NOT(ISERROR($Y296)),IF($Y296&lt;&gt;FALSE,INDEX(Banco,$Y296,4),""),"")</f>
        <v/>
      </c>
      <c r="M296" s="122"/>
      <c r="N296" s="139"/>
      <c r="O296" s="137" t="s">
        <v>364</v>
      </c>
      <c r="P296" s="138" t="str">
        <f ca="1">IF(NOT(ISERROR($Y296)),IF($Y296&lt;&gt;FALSE,INDEX(Banco,$Y296,6),""),"")</f>
        <v/>
      </c>
      <c r="Q296" s="134"/>
      <c r="R296" s="124">
        <f ca="1">IF(NOT(ISERROR($Y296)),IF($Y296&lt;&gt;FALSE,INDEX(Banco,$Y296,7),0),0)</f>
        <v>0</v>
      </c>
      <c r="S296" s="136" t="s">
        <v>62</v>
      </c>
      <c r="T296" s="123">
        <f>IF($J296=$G$2,ROUND(ROUND($R296,2)*IF($R$9="Preço Unitário (R$)",1,1+$AA296),2),0)</f>
        <v>0</v>
      </c>
      <c r="U296" s="126">
        <f ca="1">IF($A296="S",VTOTAL1,IF($A296=0,0,ROUND(SomaAgrup,2)))</f>
        <v>1080.33</v>
      </c>
      <c r="V296" s="1"/>
      <c r="W296" s="39">
        <f ca="1">IF(OR($A296=0,$A296="S",$A296&gt;CFF!$A$9),"",MAX(W$11:OFFSET(W296,-1,0))+1)</f>
        <v>21</v>
      </c>
      <c r="X296" s="4" t="b">
        <f>IF(AND($J296=$G$2,$N296&lt;&gt;"",$M296&lt;&gt;""),CONCATENATE($M296,"-",$N296))</f>
        <v>0</v>
      </c>
      <c r="Y296" s="39" t="b">
        <f ca="1">IF(X296&lt;&gt;FALSE,MATCH(X296,OFFSET(Banco,0,0,,1),0))</f>
        <v>0</v>
      </c>
      <c r="Z296" s="1"/>
      <c r="AA296" s="133" t="str">
        <f>IF($J296=$G$2,ROUND(IF(ISNUMBER(S296),S296,IF(LEFT(S296,2)="DI",HLOOKUP(S296,DADOS!$T$29:$X$30,2,FALSE),0)),4),"")</f>
        <v/>
      </c>
      <c r="AB296" s="2"/>
    </row>
    <row r="297" spans="1:28">
      <c r="A297" t="str">
        <f t="shared" ref="A297:A298" si="238">CHOOSE(1+LOG(1+2*(J297=$C$2)+4*(J297=$D$2)+8*(J297=$E$2)+16*(J297=$F$2)+32*(J297=$G$2),2),0,1,2,3,4,"S")</f>
        <v>S</v>
      </c>
      <c r="B297">
        <f t="shared" ref="B297:B298" si="239">IF(OR(A297="S",A297=0),0,IF(ISERROR(I297),H297,SMALL(H297:I297,1)))</f>
        <v>0</v>
      </c>
      <c r="C297">
        <f t="shared" ref="C297:C298" ca="1" si="240">IF($A297=1,OFFSET(C297,-1,0)+1,OFFSET(C297,-1,0))</f>
        <v>4</v>
      </c>
      <c r="D297">
        <f t="shared" ref="D297:D298" ca="1" si="241">IF($A297=1,0,IF($A297=2,OFFSET(D297,-1,0)+1,OFFSET(D297,-1,0)))</f>
        <v>4</v>
      </c>
      <c r="E297">
        <f t="shared" ref="E297:E298" ca="1" si="242">IF(AND($A297&lt;=2,$A297&lt;&gt;0),0,IF($A297=3,OFFSET(E297,-1,0)+1,OFFSET(E297,-1,0)))</f>
        <v>0</v>
      </c>
      <c r="F297">
        <f t="shared" ref="F297:F298" ca="1" si="243">IF(AND($A297&lt;=3,$A297&lt;&gt;0),0,IF($A297=4,OFFSET(F297,-1,0)+1,OFFSET(F297,-1,0)))</f>
        <v>0</v>
      </c>
      <c r="G297">
        <f t="shared" ref="G297:G298" ca="1" si="244">IF(AND($A297&lt;=4,$A297&lt;&gt;0),0,IF($A297="S",OFFSET(G297,-1,0)+1,OFFSET(G297,-1,0)))</f>
        <v>1</v>
      </c>
      <c r="H297">
        <f ca="1">IF(OR($A297="S",$A297=0),0,MATCH(0,OFFSET($B297,1,$A297,ROW($A$1504)-ROW($A297)),0))</f>
        <v>0</v>
      </c>
      <c r="I297">
        <f ca="1">IF(OR($A297="S",$A297=0),0,MATCH(OFFSET($B297,0,$A297)+1,OFFSET($B297,1,$A297,ROW($A$1504)-ROW($A297)),0))</f>
        <v>0</v>
      </c>
      <c r="J297" s="132" t="s">
        <v>29</v>
      </c>
      <c r="K297" s="121" t="str">
        <f t="shared" ref="K297:K298" ca="1" si="245">IF($A297=0,"-",CONCATENATE(C297&amp;".",IF(AND($A$5&gt;=2,$A297&gt;=2),D297&amp;".",""),IF(AND($A$5&gt;=3,$A297&gt;=3),E297&amp;".",""),IF(AND($A$5&gt;=4,$A297&gt;=4),F297&amp;".",""),IF($A297="S",G297&amp;".","")))</f>
        <v>4.4.1.</v>
      </c>
      <c r="L297" s="137" t="str">
        <f t="shared" ref="L297:L298" ca="1" si="246">IF(NOT(ISERROR($Y297)),IF($Y297&lt;&gt;FALSE,INDEX(Banco,$Y297,4),""),"")</f>
        <v>CRESS</v>
      </c>
      <c r="M297" s="122" t="s">
        <v>78</v>
      </c>
      <c r="N297" s="139" t="s">
        <v>149</v>
      </c>
      <c r="O297" s="137" t="str">
        <f ca="1">IF(NOT(ISERROR($Y297)),IF($Y297&lt;&gt;FALSE,INDEX(Banco,$Y297,5),""),"")</f>
        <v>Responsável Técnica</v>
      </c>
      <c r="P297" s="138" t="str">
        <f t="shared" ref="P297:P298" ca="1" si="247">IF(NOT(ISERROR($Y297)),IF($Y297&lt;&gt;FALSE,INDEX(Banco,$Y297,6),""),"")</f>
        <v>Horas</v>
      </c>
      <c r="Q297" s="134">
        <v>3</v>
      </c>
      <c r="R297" s="124">
        <f t="shared" ref="R297:R298" ca="1" si="248">IF(NOT(ISERROR($Y297)),IF($Y297&lt;&gt;FALSE,INDEX(Banco,$Y297,7),0),0)</f>
        <v>150.28</v>
      </c>
      <c r="S297" s="136" t="s">
        <v>62</v>
      </c>
      <c r="T297" s="123">
        <f t="shared" ref="T297:T298" ca="1" si="249">IF($J297=$G$2,ROUND(ROUND($R297,2)*IF($R$9="Preço Unitário (R$)",1,1+$AA297),2),0)</f>
        <v>187.85</v>
      </c>
      <c r="U297" s="126">
        <f t="shared" ref="U297:U298" ca="1" si="250">IF($A297="S",VTOTAL1,IF($A297=0,0,ROUND(SomaAgrup,2)))</f>
        <v>563.54999999999995</v>
      </c>
      <c r="V297" s="1"/>
      <c r="W297" s="39" t="str">
        <f ca="1">IF(OR($A297=0,$A297="S",$A297&gt;CFF!$A$9),"",MAX(W$11:OFFSET(W297,-1,0))+1)</f>
        <v/>
      </c>
      <c r="X297" s="4" t="str">
        <f t="shared" ref="X297:X298" si="251">IF(AND($J297=$G$2,$N297&lt;&gt;"",$M297&lt;&gt;""),CONCATENATE($M297,"-",$N297))</f>
        <v>Rec. Humanos-001</v>
      </c>
      <c r="Y297" s="39">
        <f t="shared" ref="Y297:Y298" ca="1" si="252">IF(X297&lt;&gt;FALSE,MATCH(X297,OFFSET(Banco,0,0,,1),0))</f>
        <v>3</v>
      </c>
      <c r="Z297" s="1"/>
      <c r="AA297" s="133">
        <f>IF($J297=$G$2,ROUND(IF(ISNUMBER(S297),S297,IF(LEFT(S297,2)="DI",HLOOKUP(S297,DADOS!$T$29:$X$30,2,FALSE),0)),4),"")</f>
        <v>0.25</v>
      </c>
      <c r="AB297" s="2"/>
    </row>
    <row r="298" spans="1:28">
      <c r="A298" t="str">
        <f t="shared" si="238"/>
        <v>S</v>
      </c>
      <c r="B298">
        <f t="shared" si="239"/>
        <v>0</v>
      </c>
      <c r="C298">
        <f t="shared" ca="1" si="240"/>
        <v>4</v>
      </c>
      <c r="D298">
        <f t="shared" ca="1" si="241"/>
        <v>4</v>
      </c>
      <c r="E298">
        <f t="shared" ca="1" si="242"/>
        <v>0</v>
      </c>
      <c r="F298">
        <f t="shared" ca="1" si="243"/>
        <v>0</v>
      </c>
      <c r="G298">
        <f t="shared" ca="1" si="244"/>
        <v>2</v>
      </c>
      <c r="H298">
        <f ca="1">IF(OR($A298="S",$A298=0),0,MATCH(0,OFFSET($B298,1,$A298,ROW($A$1504)-ROW($A298)),0))</f>
        <v>0</v>
      </c>
      <c r="I298">
        <f ca="1">IF(OR($A298="S",$A298=0),0,MATCH(OFFSET($B298,0,$A298)+1,OFFSET($B298,1,$A298,ROW($A$1504)-ROW($A298)),0))</f>
        <v>0</v>
      </c>
      <c r="J298" s="132" t="s">
        <v>29</v>
      </c>
      <c r="K298" s="121" t="str">
        <f t="shared" ca="1" si="245"/>
        <v>4.4.2.</v>
      </c>
      <c r="L298" s="137" t="str">
        <f t="shared" ca="1" si="246"/>
        <v>CRESS</v>
      </c>
      <c r="M298" s="122" t="s">
        <v>78</v>
      </c>
      <c r="N298" s="139" t="s">
        <v>152</v>
      </c>
      <c r="O298" s="137" t="str">
        <f ca="1">IF(NOT(ISERROR($Y298)),IF($Y298&lt;&gt;FALSE,INDEX(Banco,$Y298,5),""),"")</f>
        <v>Assistente Social</v>
      </c>
      <c r="P298" s="138" t="str">
        <f t="shared" ca="1" si="247"/>
        <v>Horas</v>
      </c>
      <c r="Q298" s="134">
        <v>3</v>
      </c>
      <c r="R298" s="124">
        <f t="shared" ca="1" si="248"/>
        <v>133.81</v>
      </c>
      <c r="S298" s="136" t="s">
        <v>62</v>
      </c>
      <c r="T298" s="123">
        <f t="shared" ca="1" si="249"/>
        <v>167.26</v>
      </c>
      <c r="U298" s="126">
        <f t="shared" ca="1" si="250"/>
        <v>501.78</v>
      </c>
      <c r="V298" s="1"/>
      <c r="W298" s="39" t="str">
        <f ca="1">IF(OR($A298=0,$A298="S",$A298&gt;CFF!$A$9),"",MAX(W$11:OFFSET(W298,-1,0))+1)</f>
        <v/>
      </c>
      <c r="X298" s="4" t="str">
        <f t="shared" si="251"/>
        <v>Rec. Humanos-002</v>
      </c>
      <c r="Y298" s="39">
        <f t="shared" ca="1" si="252"/>
        <v>4</v>
      </c>
      <c r="Z298" s="1"/>
      <c r="AA298" s="133">
        <f>IF($J298=$G$2,ROUND(IF(ISNUMBER(S298),S298,IF(LEFT(S298,2)="DI",HLOOKUP(S298,DADOS!$T$29:$X$30,2,FALSE),0)),4),"")</f>
        <v>0.25</v>
      </c>
      <c r="AB298" s="2"/>
    </row>
    <row r="299" spans="1:28">
      <c r="A299" t="str">
        <f>CHOOSE(1+LOG(1+2*(J299=$C$2)+4*(J299=$D$2)+8*(J299=$E$2)+16*(J299=$F$2)+32*(J299=$G$2),2),0,1,2,3,4,"S")</f>
        <v>S</v>
      </c>
      <c r="B299">
        <f>IF(OR(A299="S",A299=0),0,IF(ISERROR(I299),H299,SMALL(H299:I299,1)))</f>
        <v>0</v>
      </c>
      <c r="C299">
        <f ca="1">IF($A299=1,OFFSET(C299,-1,0)+1,OFFSET(C299,-1,0))</f>
        <v>4</v>
      </c>
      <c r="D299">
        <f ca="1">IF($A299=1,0,IF($A299=2,OFFSET(D299,-1,0)+1,OFFSET(D299,-1,0)))</f>
        <v>4</v>
      </c>
      <c r="E299">
        <f ca="1">IF(AND($A299&lt;=2,$A299&lt;&gt;0),0,IF($A299=3,OFFSET(E299,-1,0)+1,OFFSET(E299,-1,0)))</f>
        <v>0</v>
      </c>
      <c r="F299">
        <f ca="1">IF(AND($A299&lt;=3,$A299&lt;&gt;0),0,IF($A299=4,OFFSET(F299,-1,0)+1,OFFSET(F299,-1,0)))</f>
        <v>0</v>
      </c>
      <c r="G299">
        <f ca="1">IF(AND($A299&lt;=4,$A299&lt;&gt;0),0,IF($A299="S",OFFSET(G299,-1,0)+1,OFFSET(G299,-1,0)))</f>
        <v>3</v>
      </c>
      <c r="H299">
        <f ca="1">IF(OR($A299="S",$A299=0),0,MATCH(0,OFFSET($B299,1,$A299,ROW($A$1504)-ROW($A299)),0))</f>
        <v>0</v>
      </c>
      <c r="I299">
        <f ca="1">IF(OR($A299="S",$A299=0),0,MATCH(OFFSET($B299,0,$A299)+1,OFFSET($B299,1,$A299,ROW($A$1504)-ROW($A299)),0))</f>
        <v>0</v>
      </c>
      <c r="J299" s="132" t="s">
        <v>29</v>
      </c>
      <c r="K299" s="121" t="str">
        <f ca="1">IF($A299=0,"-",CONCATENATE(C299&amp;".",IF(AND($A$5&gt;=2,$A299&gt;=2),D299&amp;".",""),IF(AND($A$5&gt;=3,$A299&gt;=3),E299&amp;".",""),IF(AND($A$5&gt;=4,$A299&gt;=4),F299&amp;".",""),IF($A299="S",G299&amp;".","")))</f>
        <v>4.4.3.</v>
      </c>
      <c r="L299" s="137" t="str">
        <f ca="1">IF(NOT(ISERROR($Y299)),IF($Y299&lt;&gt;FALSE,INDEX(Banco,$Y299,4),""),"")</f>
        <v>Cotação</v>
      </c>
      <c r="M299" s="122" t="s">
        <v>80</v>
      </c>
      <c r="N299" s="139" t="s">
        <v>158</v>
      </c>
      <c r="O299" s="137" t="str">
        <f ca="1">IF(NOT(ISERROR($Y299)),IF($Y299&lt;&gt;FALSE,INDEX(Banco,$Y299,5),""),"")</f>
        <v>Água (garrafa de 1,5 litros)</v>
      </c>
      <c r="P299" s="138" t="str">
        <f ca="1">IF(NOT(ISERROR($Y299)),IF($Y299&lt;&gt;FALSE,INDEX(Banco,$Y299,6),""),"")</f>
        <v>Unidade</v>
      </c>
      <c r="Q299" s="134">
        <v>3</v>
      </c>
      <c r="R299" s="124">
        <f ca="1">IF(NOT(ISERROR($Y299)),IF($Y299&lt;&gt;FALSE,INDEX(Banco,$Y299,7),0),0)</f>
        <v>4</v>
      </c>
      <c r="S299" s="136" t="s">
        <v>62</v>
      </c>
      <c r="T299" s="123">
        <f ca="1">IF($J299=$G$2,ROUND(ROUND($R299,2)*IF($R$9="Preço Unitário (R$)",1,1+$AA299),2),0)</f>
        <v>5</v>
      </c>
      <c r="U299" s="126">
        <f ca="1">IF($A299="S",VTOTAL1,IF($A299=0,0,ROUND(SomaAgrup,2)))</f>
        <v>15</v>
      </c>
      <c r="V299" s="1"/>
      <c r="W299" s="39" t="str">
        <f ca="1">IF(OR($A299=0,$A299="S",$A299&gt;CFF!$A$9),"",MAX(W$11:OFFSET(W299,-1,0))+1)</f>
        <v/>
      </c>
      <c r="X299" s="4" t="str">
        <f>IF(AND($J299=$G$2,$N299&lt;&gt;"",$M299&lt;&gt;""),CONCATENATE($M299,"-",$N299))</f>
        <v>Serv. Terc.-009</v>
      </c>
      <c r="Y299" s="39">
        <f ca="1">IF(X299&lt;&gt;FALSE,MATCH(X299,OFFSET(Banco,0,0,,1),0))</f>
        <v>89</v>
      </c>
      <c r="Z299" s="1"/>
      <c r="AA299" s="133">
        <f>IF($J299=$G$2,ROUND(IF(ISNUMBER(S299),S299,IF(LEFT(S299,2)="DI",HLOOKUP(S299,DADOS!$T$29:$X$30,2,FALSE),0)),4),"")</f>
        <v>0.25</v>
      </c>
      <c r="AB299" s="2"/>
    </row>
    <row r="300" spans="1:28">
      <c r="A300">
        <f>CHOOSE(1+LOG(1+2*(J300=$C$2)+4*(J300=$D$2)+8*(J300=$E$2)+16*(J300=$F$2)+32*(J300=$G$2),2),0,1,2,3,4,"S")</f>
        <v>2</v>
      </c>
      <c r="B300">
        <f ca="1">IF(OR(A300="S",A300=0),0,IF(ISERROR(I300),H300,SMALL(H300:I300,1)))</f>
        <v>11</v>
      </c>
      <c r="C300">
        <f ca="1">IF($A300=1,OFFSET(C300,-1,0)+1,OFFSET(C300,-1,0))</f>
        <v>4</v>
      </c>
      <c r="D300">
        <f ca="1">IF($A300=1,0,IF($A300=2,OFFSET(D300,-1,0)+1,OFFSET(D300,-1,0)))</f>
        <v>5</v>
      </c>
      <c r="E300">
        <f ca="1">IF(AND($A300&lt;=2,$A300&lt;&gt;0),0,IF($A300=3,OFFSET(E300,-1,0)+1,OFFSET(E300,-1,0)))</f>
        <v>0</v>
      </c>
      <c r="F300">
        <f ca="1">IF(AND($A300&lt;=3,$A300&lt;&gt;0),0,IF($A300=4,OFFSET(F300,-1,0)+1,OFFSET(F300,-1,0)))</f>
        <v>0</v>
      </c>
      <c r="G300">
        <f ca="1">IF(AND($A300&lt;=4,$A300&lt;&gt;0),0,IF($A300="S",OFFSET(G300,-1,0)+1,OFFSET(G300,-1,0)))</f>
        <v>0</v>
      </c>
      <c r="H300">
        <f ca="1">IF(OR($A300="S",$A300=0),0,MATCH(0,OFFSET($B300,1,$A300,ROW($A$1504)-ROW($A300)),0))</f>
        <v>38</v>
      </c>
      <c r="I300">
        <f ca="1">IF(OR($A300="S",$A300=0),0,MATCH(OFFSET($B300,0,$A300)+1,OFFSET($B300,1,$A300,ROW($A$1504)-ROW($A300)),0))</f>
        <v>11</v>
      </c>
      <c r="J300" s="132" t="s">
        <v>68</v>
      </c>
      <c r="K300" s="121" t="str">
        <f ca="1">IF($A300=0,"-",CONCATENATE(C300&amp;".",IF(AND($A$5&gt;=2,$A300&gt;=2),D300&amp;".",""),IF(AND($A$5&gt;=3,$A300&gt;=3),E300&amp;".",""),IF(AND($A$5&gt;=4,$A300&gt;=4),F300&amp;".",""),IF($A300="S",G300&amp;".","")))</f>
        <v>4.5.</v>
      </c>
      <c r="L300" s="137" t="str">
        <f ca="1">IF(NOT(ISERROR($Y300)),IF($Y300&lt;&gt;FALSE,INDEX(Banco,$Y300,4),""),"")</f>
        <v/>
      </c>
      <c r="M300" s="122"/>
      <c r="N300" s="139"/>
      <c r="O300" s="137" t="s">
        <v>365</v>
      </c>
      <c r="P300" s="138" t="str">
        <f ca="1">IF(NOT(ISERROR($Y300)),IF($Y300&lt;&gt;FALSE,INDEX(Banco,$Y300,6),""),"")</f>
        <v/>
      </c>
      <c r="Q300" s="134"/>
      <c r="R300" s="124">
        <f ca="1">IF(NOT(ISERROR($Y300)),IF($Y300&lt;&gt;FALSE,INDEX(Banco,$Y300,7),0),0)</f>
        <v>0</v>
      </c>
      <c r="S300" s="136" t="s">
        <v>62</v>
      </c>
      <c r="T300" s="123">
        <f>IF($J300=$G$2,ROUND(ROUND($R300,2)*IF($R$9="Preço Unitário (R$)",1,1+$AA300),2),0)</f>
        <v>0</v>
      </c>
      <c r="U300" s="126">
        <f ca="1">IF($A300="S",VTOTAL1,IF($A300=0,0,ROUND(SomaAgrup,2)))</f>
        <v>2955.09</v>
      </c>
      <c r="V300" s="1"/>
      <c r="W300" s="39">
        <f ca="1">IF(OR($A300=0,$A300="S",$A300&gt;CFF!$A$9),"",MAX(W$11:OFFSET(W300,-1,0))+1)</f>
        <v>22</v>
      </c>
      <c r="X300" s="4" t="b">
        <f>IF(AND($J300=$G$2,$N300&lt;&gt;"",$M300&lt;&gt;""),CONCATENATE($M300,"-",$N300))</f>
        <v>0</v>
      </c>
      <c r="Y300" s="39" t="b">
        <f ca="1">IF(X300&lt;&gt;FALSE,MATCH(X300,OFFSET(Banco,0,0,,1),0))</f>
        <v>0</v>
      </c>
      <c r="Z300" s="1"/>
      <c r="AA300" s="133" t="str">
        <f>IF($J300=$G$2,ROUND(IF(ISNUMBER(S300),S300,IF(LEFT(S300,2)="DI",HLOOKUP(S300,DADOS!$T$29:$X$30,2,FALSE),0)),4),"")</f>
        <v/>
      </c>
      <c r="AB300" s="2"/>
    </row>
    <row r="301" spans="1:28">
      <c r="A301" t="str">
        <f t="shared" si="222"/>
        <v>S</v>
      </c>
      <c r="B301">
        <f t="shared" si="223"/>
        <v>0</v>
      </c>
      <c r="C301">
        <f t="shared" ca="1" si="224"/>
        <v>4</v>
      </c>
      <c r="D301">
        <f t="shared" ca="1" si="225"/>
        <v>5</v>
      </c>
      <c r="E301">
        <f t="shared" ca="1" si="226"/>
        <v>0</v>
      </c>
      <c r="F301">
        <f t="shared" ca="1" si="227"/>
        <v>0</v>
      </c>
      <c r="G301">
        <f t="shared" ca="1" si="228"/>
        <v>1</v>
      </c>
      <c r="H301">
        <f ca="1">IF(OR($A301="S",$A301=0),0,MATCH(0,OFFSET($B301,1,$A301,ROW($A$1504)-ROW($A301)),0))</f>
        <v>0</v>
      </c>
      <c r="I301">
        <f ca="1">IF(OR($A301="S",$A301=0),0,MATCH(OFFSET($B301,0,$A301)+1,OFFSET($B301,1,$A301,ROW($A$1504)-ROW($A301)),0))</f>
        <v>0</v>
      </c>
      <c r="J301" s="132" t="s">
        <v>29</v>
      </c>
      <c r="K301" s="121" t="str">
        <f t="shared" ca="1" si="229"/>
        <v>4.5.1.</v>
      </c>
      <c r="L301" s="137" t="str">
        <f t="shared" ca="1" si="230"/>
        <v>CRESS</v>
      </c>
      <c r="M301" s="122" t="s">
        <v>78</v>
      </c>
      <c r="N301" s="139" t="s">
        <v>149</v>
      </c>
      <c r="O301" s="137" t="str">
        <f ca="1">IF(NOT(ISERROR($Y301)),IF($Y301&lt;&gt;FALSE,INDEX(Banco,$Y301,5),""),"")</f>
        <v>Responsável Técnica</v>
      </c>
      <c r="P301" s="138" t="str">
        <f t="shared" ca="1" si="232"/>
        <v>Horas</v>
      </c>
      <c r="Q301" s="134">
        <v>3</v>
      </c>
      <c r="R301" s="124">
        <f t="shared" ca="1" si="233"/>
        <v>150.28</v>
      </c>
      <c r="S301" s="136" t="s">
        <v>62</v>
      </c>
      <c r="T301" s="123">
        <f t="shared" ca="1" si="234"/>
        <v>187.85</v>
      </c>
      <c r="U301" s="126">
        <f t="shared" ca="1" si="235"/>
        <v>563.54999999999995</v>
      </c>
      <c r="V301" s="1"/>
      <c r="W301" s="39" t="str">
        <f ca="1">IF(OR($A301=0,$A301="S",$A301&gt;CFF!$A$9),"",MAX(W$11:OFFSET(W301,-1,0))+1)</f>
        <v/>
      </c>
      <c r="X301" s="4" t="str">
        <f t="shared" si="236"/>
        <v>Rec. Humanos-001</v>
      </c>
      <c r="Y301" s="39">
        <f t="shared" ca="1" si="237"/>
        <v>3</v>
      </c>
      <c r="Z301" s="1"/>
      <c r="AA301" s="133">
        <f>IF($J301=$G$2,ROUND(IF(ISNUMBER(S301),S301,IF(LEFT(S301,2)="DI",HLOOKUP(S301,DADOS!$T$29:$X$30,2,FALSE),0)),4),"")</f>
        <v>0.25</v>
      </c>
      <c r="AB301" s="2"/>
    </row>
    <row r="302" spans="1:28">
      <c r="A302" t="str">
        <f t="shared" si="222"/>
        <v>S</v>
      </c>
      <c r="B302">
        <f t="shared" si="223"/>
        <v>0</v>
      </c>
      <c r="C302">
        <f t="shared" ca="1" si="224"/>
        <v>4</v>
      </c>
      <c r="D302">
        <f t="shared" ca="1" si="225"/>
        <v>5</v>
      </c>
      <c r="E302">
        <f t="shared" ca="1" si="226"/>
        <v>0</v>
      </c>
      <c r="F302">
        <f t="shared" ca="1" si="227"/>
        <v>0</v>
      </c>
      <c r="G302">
        <f t="shared" ca="1" si="228"/>
        <v>2</v>
      </c>
      <c r="H302">
        <f ca="1">IF(OR($A302="S",$A302=0),0,MATCH(0,OFFSET($B302,1,$A302,ROW($A$1504)-ROW($A302)),0))</f>
        <v>0</v>
      </c>
      <c r="I302">
        <f ca="1">IF(OR($A302="S",$A302=0),0,MATCH(OFFSET($B302,0,$A302)+1,OFFSET($B302,1,$A302,ROW($A$1504)-ROW($A302)),0))</f>
        <v>0</v>
      </c>
      <c r="J302" s="132" t="s">
        <v>29</v>
      </c>
      <c r="K302" s="121" t="str">
        <f t="shared" ca="1" si="229"/>
        <v>4.5.2.</v>
      </c>
      <c r="L302" s="137" t="str">
        <f t="shared" ca="1" si="230"/>
        <v>CRESS</v>
      </c>
      <c r="M302" s="122" t="s">
        <v>78</v>
      </c>
      <c r="N302" s="139" t="s">
        <v>152</v>
      </c>
      <c r="O302" s="137" t="str">
        <f ca="1">IF(NOT(ISERROR($Y302)),IF($Y302&lt;&gt;FALSE,INDEX(Banco,$Y302,5),""),"")</f>
        <v>Assistente Social</v>
      </c>
      <c r="P302" s="138" t="str">
        <f t="shared" ca="1" si="232"/>
        <v>Horas</v>
      </c>
      <c r="Q302" s="134">
        <v>2</v>
      </c>
      <c r="R302" s="124">
        <f t="shared" ca="1" si="233"/>
        <v>133.81</v>
      </c>
      <c r="S302" s="136" t="s">
        <v>62</v>
      </c>
      <c r="T302" s="123">
        <f t="shared" ca="1" si="234"/>
        <v>167.26</v>
      </c>
      <c r="U302" s="126">
        <f t="shared" ca="1" si="235"/>
        <v>334.52</v>
      </c>
      <c r="V302" s="1"/>
      <c r="W302" s="39" t="str">
        <f ca="1">IF(OR($A302=0,$A302="S",$A302&gt;CFF!$A$9),"",MAX(W$11:OFFSET(W302,-1,0))+1)</f>
        <v/>
      </c>
      <c r="X302" s="4" t="str">
        <f t="shared" si="236"/>
        <v>Rec. Humanos-002</v>
      </c>
      <c r="Y302" s="39">
        <f t="shared" ca="1" si="237"/>
        <v>4</v>
      </c>
      <c r="Z302" s="1"/>
      <c r="AA302" s="133">
        <f>IF($J302=$G$2,ROUND(IF(ISNUMBER(S302),S302,IF(LEFT(S302,2)="DI",HLOOKUP(S302,DADOS!$T$29:$X$30,2,FALSE),0)),4),"")</f>
        <v>0.25</v>
      </c>
      <c r="AB302" s="2"/>
    </row>
    <row r="303" spans="1:28">
      <c r="A303" t="str">
        <f t="shared" si="222"/>
        <v>S</v>
      </c>
      <c r="B303">
        <f t="shared" si="223"/>
        <v>0</v>
      </c>
      <c r="C303">
        <f t="shared" ca="1" si="224"/>
        <v>4</v>
      </c>
      <c r="D303">
        <f t="shared" ca="1" si="225"/>
        <v>5</v>
      </c>
      <c r="E303">
        <f t="shared" ca="1" si="226"/>
        <v>0</v>
      </c>
      <c r="F303">
        <f t="shared" ca="1" si="227"/>
        <v>0</v>
      </c>
      <c r="G303">
        <f t="shared" ca="1" si="228"/>
        <v>3</v>
      </c>
      <c r="H303">
        <f ca="1">IF(OR($A303="S",$A303=0),0,MATCH(0,OFFSET($B303,1,$A303,ROW($A$1504)-ROW($A303)),0))</f>
        <v>0</v>
      </c>
      <c r="I303">
        <f ca="1">IF(OR($A303="S",$A303=0),0,MATCH(OFFSET($B303,0,$A303)+1,OFFSET($B303,1,$A303,ROW($A$1504)-ROW($A303)),0))</f>
        <v>0</v>
      </c>
      <c r="J303" s="132" t="s">
        <v>29</v>
      </c>
      <c r="K303" s="121" t="str">
        <f t="shared" ca="1" si="229"/>
        <v>4.5.3.</v>
      </c>
      <c r="L303" s="137" t="str">
        <f t="shared" ca="1" si="230"/>
        <v>Cotação</v>
      </c>
      <c r="M303" s="122" t="s">
        <v>78</v>
      </c>
      <c r="N303" s="139" t="s">
        <v>151</v>
      </c>
      <c r="O303" s="137" t="str">
        <f ca="1">IF(NOT(ISERROR($Y303)),IF($Y303&lt;&gt;FALSE,INDEX(Banco,$Y303,5),""),"")</f>
        <v xml:space="preserve">Administrador (Técnico de Apoio) </v>
      </c>
      <c r="P303" s="138" t="str">
        <f t="shared" ca="1" si="232"/>
        <v>Horas</v>
      </c>
      <c r="Q303" s="134">
        <v>2</v>
      </c>
      <c r="R303" s="124">
        <f t="shared" ca="1" si="233"/>
        <v>103.65</v>
      </c>
      <c r="S303" s="136" t="s">
        <v>62</v>
      </c>
      <c r="T303" s="123">
        <f t="shared" ca="1" si="234"/>
        <v>129.56</v>
      </c>
      <c r="U303" s="126">
        <f t="shared" ca="1" si="235"/>
        <v>259.12</v>
      </c>
      <c r="V303" s="1"/>
      <c r="W303" s="39" t="str">
        <f ca="1">IF(OR($A303=0,$A303="S",$A303&gt;CFF!$A$9),"",MAX(W$11:OFFSET(W303,-1,0))+1)</f>
        <v/>
      </c>
      <c r="X303" s="4" t="str">
        <f t="shared" si="236"/>
        <v>Rec. Humanos-003</v>
      </c>
      <c r="Y303" s="39">
        <f t="shared" ca="1" si="237"/>
        <v>5</v>
      </c>
      <c r="Z303" s="1"/>
      <c r="AA303" s="133">
        <f>IF($J303=$G$2,ROUND(IF(ISNUMBER(S303),S303,IF(LEFT(S303,2)="DI",HLOOKUP(S303,DADOS!$T$29:$X$30,2,FALSE),0)),4),"")</f>
        <v>0.25</v>
      </c>
      <c r="AB303" s="2"/>
    </row>
    <row r="304" spans="1:28">
      <c r="A304" t="str">
        <f t="shared" si="222"/>
        <v>S</v>
      </c>
      <c r="B304">
        <f t="shared" si="223"/>
        <v>0</v>
      </c>
      <c r="C304">
        <f ca="1">IF($A304=1,OFFSET(C304,-1,0)+1,OFFSET(C304,-1,0))</f>
        <v>4</v>
      </c>
      <c r="D304">
        <f ca="1">IF($A304=1,0,IF($A304=2,OFFSET(D304,-1,0)+1,OFFSET(D304,-1,0)))</f>
        <v>5</v>
      </c>
      <c r="E304">
        <f ca="1">IF(AND($A304&lt;=2,$A304&lt;&gt;0),0,IF($A304=3,OFFSET(E304,-1,0)+1,OFFSET(E304,-1,0)))</f>
        <v>0</v>
      </c>
      <c r="F304">
        <f ca="1">IF(AND($A304&lt;=3,$A304&lt;&gt;0),0,IF($A304=4,OFFSET(F304,-1,0)+1,OFFSET(F304,-1,0)))</f>
        <v>0</v>
      </c>
      <c r="G304">
        <f ca="1">IF(AND($A304&lt;=4,$A304&lt;&gt;0),0,IF($A304="S",OFFSET(G304,-1,0)+1,OFFSET(G304,-1,0)))</f>
        <v>4</v>
      </c>
      <c r="H304">
        <f ca="1">IF(OR($A304="S",$A304=0),0,MATCH(0,OFFSET($B304,1,$A304,ROW($A$1504)-ROW($A304)),0))</f>
        <v>0</v>
      </c>
      <c r="I304">
        <f ca="1">IF(OR($A304="S",$A304=0),0,MATCH(OFFSET($B304,0,$A304)+1,OFFSET($B304,1,$A304,ROW($A$1504)-ROW($A304)),0))</f>
        <v>0</v>
      </c>
      <c r="J304" s="132" t="s">
        <v>29</v>
      </c>
      <c r="K304" s="121" t="str">
        <f t="shared" ca="1" si="229"/>
        <v>4.5.4.</v>
      </c>
      <c r="L304" s="137" t="str">
        <f ca="1">IF(NOT(ISERROR($Y304)),IF($Y304&lt;&gt;FALSE,INDEX(Banco,$Y304,4),""),"")</f>
        <v xml:space="preserve">Cotação </v>
      </c>
      <c r="M304" s="122" t="s">
        <v>79</v>
      </c>
      <c r="N304" s="139" t="s">
        <v>255</v>
      </c>
      <c r="O304" s="137" t="str">
        <f t="shared" ref="O304:O310" ca="1" si="253">IF(NOT(ISERROR($Y304)),IF($Y304&lt;&gt;FALSE,INDEX(Banco,$Y304,5),""),"")</f>
        <v>KIT 01 - Material oficina de limpeza (descrição nos orçamentos e PTS)</v>
      </c>
      <c r="P304" s="138" t="str">
        <f ca="1">IF(NOT(ISERROR($Y304)),IF($Y304&lt;&gt;FALSE,INDEX(Banco,$Y304,6),""),"")</f>
        <v>Unidade</v>
      </c>
      <c r="Q304" s="134">
        <v>1</v>
      </c>
      <c r="R304" s="124">
        <f ca="1">IF(NOT(ISERROR($Y304)),IF($Y304&lt;&gt;FALSE,INDEX(Banco,$Y304,7),0),0)</f>
        <v>200</v>
      </c>
      <c r="S304" s="136" t="s">
        <v>62</v>
      </c>
      <c r="T304" s="123">
        <f ca="1">IF($J304=$G$2,ROUND(ROUND($R304,2)*IF($R$9="Preço Unitário (R$)",1,1+$AA304),2),0)</f>
        <v>250</v>
      </c>
      <c r="U304" s="126">
        <f ca="1">IF($A304="S",VTOTAL1,IF($A304=0,0,ROUND(SomaAgrup,2)))</f>
        <v>250</v>
      </c>
      <c r="V304" s="1"/>
      <c r="W304" s="39" t="str">
        <f ca="1">IF(OR($A304=0,$A304="S",$A304&gt;CFF!$A$9),"",MAX(W$11:OFFSET(W304,-1,0))+1)</f>
        <v/>
      </c>
      <c r="X304" s="4" t="str">
        <f>IF(AND($J304=$G$2,$N304&lt;&gt;"",$M304&lt;&gt;""),CONCATENATE($M304,"-",$N304))</f>
        <v>Rec. Materiais-069</v>
      </c>
      <c r="Y304" s="39">
        <f t="shared" ca="1" si="237"/>
        <v>78</v>
      </c>
      <c r="Z304" s="1"/>
      <c r="AA304" s="133">
        <f>IF($J304=$G$2,ROUND(IF(ISNUMBER(S304),S304,IF(LEFT(S304,2)="DI",HLOOKUP(S304,DADOS!$T$29:$X$30,2,FALSE),0)),4),"")</f>
        <v>0.25</v>
      </c>
      <c r="AB304" s="2"/>
    </row>
    <row r="305" spans="1:28">
      <c r="A305" t="str">
        <f t="shared" si="222"/>
        <v>S</v>
      </c>
      <c r="B305">
        <f t="shared" si="223"/>
        <v>0</v>
      </c>
      <c r="C305">
        <f ca="1">IF($A305=1,OFFSET(C305,-1,0)+1,OFFSET(C305,-1,0))</f>
        <v>4</v>
      </c>
      <c r="D305">
        <f ca="1">IF($A305=1,0,IF($A305=2,OFFSET(D305,-1,0)+1,OFFSET(D305,-1,0)))</f>
        <v>5</v>
      </c>
      <c r="E305">
        <f ca="1">IF(AND($A305&lt;=2,$A305&lt;&gt;0),0,IF($A305=3,OFFSET(E305,-1,0)+1,OFFSET(E305,-1,0)))</f>
        <v>0</v>
      </c>
      <c r="F305">
        <f ca="1">IF(AND($A305&lt;=3,$A305&lt;&gt;0),0,IF($A305=4,OFFSET(F305,-1,0)+1,OFFSET(F305,-1,0)))</f>
        <v>0</v>
      </c>
      <c r="G305">
        <f ca="1">IF(AND($A305&lt;=4,$A305&lt;&gt;0),0,IF($A305="S",OFFSET(G305,-1,0)+1,OFFSET(G305,-1,0)))</f>
        <v>5</v>
      </c>
      <c r="H305">
        <f ca="1">IF(OR($A305="S",$A305=0),0,MATCH(0,OFFSET($B305,1,$A305,ROW($A$1504)-ROW($A305)),0))</f>
        <v>0</v>
      </c>
      <c r="I305">
        <f ca="1">IF(OR($A305="S",$A305=0),0,MATCH(OFFSET($B305,0,$A305)+1,OFFSET($B305,1,$A305,ROW($A$1504)-ROW($A305)),0))</f>
        <v>0</v>
      </c>
      <c r="J305" s="132" t="s">
        <v>29</v>
      </c>
      <c r="K305" s="121" t="str">
        <f t="shared" ca="1" si="229"/>
        <v>4.5.5.</v>
      </c>
      <c r="L305" s="137" t="str">
        <f ca="1">IF(NOT(ISERROR($Y305)),IF($Y305&lt;&gt;FALSE,INDEX(Banco,$Y305,4),""),"")</f>
        <v>Cotação</v>
      </c>
      <c r="M305" s="122" t="s">
        <v>79</v>
      </c>
      <c r="N305" s="139" t="s">
        <v>295</v>
      </c>
      <c r="O305" s="137" t="str">
        <f ca="1">IF(NOT(ISERROR($Y305)),IF($Y305&lt;&gt;FALSE,INDEX(Banco,$Y305,5),""),"")</f>
        <v xml:space="preserve">KIT 02 - Vasilhame p/ oficina de limpeza (descrição nos orçamentos e PTS) </v>
      </c>
      <c r="P305" s="138" t="str">
        <f ca="1">IF(NOT(ISERROR($Y305)),IF($Y305&lt;&gt;FALSE,INDEX(Banco,$Y305,6),""),"")</f>
        <v>Unidade</v>
      </c>
      <c r="Q305" s="134">
        <v>1</v>
      </c>
      <c r="R305" s="124">
        <f ca="1">IF(NOT(ISERROR($Y305)),IF($Y305&lt;&gt;FALSE,INDEX(Banco,$Y305,7),0),0)</f>
        <v>150</v>
      </c>
      <c r="S305" s="136" t="s">
        <v>62</v>
      </c>
      <c r="T305" s="123">
        <f ca="1">IF($J305=$G$2,ROUND(ROUND($R305,2)*IF($R$9="Preço Unitário (R$)",1,1+$AA305),2),0)</f>
        <v>187.5</v>
      </c>
      <c r="U305" s="126">
        <f ca="1">IF($A305="S",VTOTAL1,IF($A305=0,0,ROUND(SomaAgrup,2)))</f>
        <v>187.5</v>
      </c>
      <c r="V305" s="1"/>
      <c r="W305" s="39" t="str">
        <f ca="1">IF(OR($A305=0,$A305="S",$A305&gt;CFF!$A$9),"",MAX(W$11:OFFSET(W305,-1,0))+1)</f>
        <v/>
      </c>
      <c r="X305" s="4" t="str">
        <f>IF(AND($J305=$G$2,$N305&lt;&gt;"",$M305&lt;&gt;""),CONCATENATE($M305,"-",$N305))</f>
        <v>Rec. Materiais-070</v>
      </c>
      <c r="Y305" s="39">
        <f t="shared" ca="1" si="237"/>
        <v>79</v>
      </c>
      <c r="Z305" s="1"/>
      <c r="AA305" s="133">
        <f>IF($J305=$G$2,ROUND(IF(ISNUMBER(S305),S305,IF(LEFT(S305,2)="DI",HLOOKUP(S305,DADOS!$T$29:$X$30,2,FALSE),0)),4),"")</f>
        <v>0.25</v>
      </c>
      <c r="AB305" s="2"/>
    </row>
    <row r="306" spans="1:28">
      <c r="A306" t="str">
        <f t="shared" si="222"/>
        <v>S</v>
      </c>
      <c r="B306">
        <f t="shared" si="223"/>
        <v>0</v>
      </c>
      <c r="C306">
        <f ca="1">IF($A306=1,OFFSET(C306,-1,0)+1,OFFSET(C306,-1,0))</f>
        <v>4</v>
      </c>
      <c r="D306">
        <f ca="1">IF($A306=1,0,IF($A306=2,OFFSET(D306,-1,0)+1,OFFSET(D306,-1,0)))</f>
        <v>5</v>
      </c>
      <c r="E306">
        <f ca="1">IF(AND($A306&lt;=2,$A306&lt;&gt;0),0,IF($A306=3,OFFSET(E306,-1,0)+1,OFFSET(E306,-1,0)))</f>
        <v>0</v>
      </c>
      <c r="F306">
        <f ca="1">IF(AND($A306&lt;=3,$A306&lt;&gt;0),0,IF($A306=4,OFFSET(F306,-1,0)+1,OFFSET(F306,-1,0)))</f>
        <v>0</v>
      </c>
      <c r="G306">
        <f ca="1">IF(AND($A306&lt;=4,$A306&lt;&gt;0),0,IF($A306="S",OFFSET(G306,-1,0)+1,OFFSET(G306,-1,0)))</f>
        <v>6</v>
      </c>
      <c r="H306">
        <f ca="1">IF(OR($A306="S",$A306=0),0,MATCH(0,OFFSET($B306,1,$A306,ROW($A$1504)-ROW($A306)),0))</f>
        <v>0</v>
      </c>
      <c r="I306">
        <f ca="1">IF(OR($A306="S",$A306=0),0,MATCH(OFFSET($B306,0,$A306)+1,OFFSET($B306,1,$A306,ROW($A$1504)-ROW($A306)),0))</f>
        <v>0</v>
      </c>
      <c r="J306" s="132" t="s">
        <v>29</v>
      </c>
      <c r="K306" s="121" t="str">
        <f t="shared" ca="1" si="229"/>
        <v>4.5.6.</v>
      </c>
      <c r="L306" s="137" t="str">
        <f ca="1">IF(NOT(ISERROR($Y306)),IF($Y306&lt;&gt;FALSE,INDEX(Banco,$Y306,4),""),"")</f>
        <v>CRBio</v>
      </c>
      <c r="M306" s="122" t="s">
        <v>80</v>
      </c>
      <c r="N306" s="139" t="s">
        <v>226</v>
      </c>
      <c r="O306" s="137" t="str">
        <f t="shared" ca="1" si="253"/>
        <v>Biólogo (Instrutor)</v>
      </c>
      <c r="P306" s="138" t="str">
        <f ca="1">IF(NOT(ISERROR($Y306)),IF($Y306&lt;&gt;FALSE,INDEX(Banco,$Y306,6),""),"")</f>
        <v>Horas</v>
      </c>
      <c r="Q306" s="134">
        <v>6</v>
      </c>
      <c r="R306" s="124">
        <f ca="1">IF(NOT(ISERROR($Y306)),IF($Y306&lt;&gt;FALSE,INDEX(Banco,$Y306,7),0),0)</f>
        <v>100.72</v>
      </c>
      <c r="S306" s="136" t="s">
        <v>62</v>
      </c>
      <c r="T306" s="123">
        <f ca="1">IF($J306=$G$2,ROUND(ROUND($R306,2)*IF($R$9="Preço Unitário (R$)",1,1+$AA306),2),0)</f>
        <v>125.9</v>
      </c>
      <c r="U306" s="126">
        <f ca="1">IF($A306="S",VTOTAL1,IF($A306=0,0,ROUND(SomaAgrup,2)))</f>
        <v>755.4</v>
      </c>
      <c r="V306" s="1"/>
      <c r="W306" s="39" t="str">
        <f ca="1">IF(OR($A306=0,$A306="S",$A306&gt;CFF!$A$9),"",MAX(W$11:OFFSET(W306,-1,0))+1)</f>
        <v/>
      </c>
      <c r="X306" s="4" t="str">
        <f>IF(AND($J306=$G$2,$N306&lt;&gt;"",$M306&lt;&gt;""),CONCATENATE($M306,"-",$N306))</f>
        <v>Serv. Terc.-068</v>
      </c>
      <c r="Y306" s="39">
        <f t="shared" ca="1" si="237"/>
        <v>148</v>
      </c>
      <c r="Z306" s="1"/>
      <c r="AA306" s="133">
        <f>IF($J306=$G$2,ROUND(IF(ISNUMBER(S306),S306,IF(LEFT(S306,2)="DI",HLOOKUP(S306,DADOS!$T$29:$X$30,2,FALSE),0)),4),"")</f>
        <v>0.25</v>
      </c>
      <c r="AB306" s="2"/>
    </row>
    <row r="307" spans="1:28">
      <c r="A307" t="str">
        <f t="shared" ref="A307:A310" si="254">CHOOSE(1+LOG(1+2*(J307=$C$2)+4*(J307=$D$2)+8*(J307=$E$2)+16*(J307=$F$2)+32*(J307=$G$2),2),0,1,2,3,4,"S")</f>
        <v>S</v>
      </c>
      <c r="B307">
        <f t="shared" ref="B307:B310" si="255">IF(OR(A307="S",A307=0),0,IF(ISERROR(I307),H307,SMALL(H307:I307,1)))</f>
        <v>0</v>
      </c>
      <c r="C307">
        <f t="shared" ref="C307:C310" ca="1" si="256">IF($A307=1,OFFSET(C307,-1,0)+1,OFFSET(C307,-1,0))</f>
        <v>4</v>
      </c>
      <c r="D307">
        <f t="shared" ref="D307:D310" ca="1" si="257">IF($A307=1,0,IF($A307=2,OFFSET(D307,-1,0)+1,OFFSET(D307,-1,0)))</f>
        <v>5</v>
      </c>
      <c r="E307">
        <f t="shared" ref="E307:E310" ca="1" si="258">IF(AND($A307&lt;=2,$A307&lt;&gt;0),0,IF($A307=3,OFFSET(E307,-1,0)+1,OFFSET(E307,-1,0)))</f>
        <v>0</v>
      </c>
      <c r="F307">
        <f t="shared" ref="F307:F310" ca="1" si="259">IF(AND($A307&lt;=3,$A307&lt;&gt;0),0,IF($A307=4,OFFSET(F307,-1,0)+1,OFFSET(F307,-1,0)))</f>
        <v>0</v>
      </c>
      <c r="G307">
        <f t="shared" ref="G307:G310" ca="1" si="260">IF(AND($A307&lt;=4,$A307&lt;&gt;0),0,IF($A307="S",OFFSET(G307,-1,0)+1,OFFSET(G307,-1,0)))</f>
        <v>7</v>
      </c>
      <c r="H307">
        <f ca="1">IF(OR($A307="S",$A307=0),0,MATCH(0,OFFSET($B307,1,$A307,ROW($A$1504)-ROW($A307)),0))</f>
        <v>0</v>
      </c>
      <c r="I307">
        <f ca="1">IF(OR($A307="S",$A307=0),0,MATCH(OFFSET($B307,0,$A307)+1,OFFSET($B307,1,$A307,ROW($A$1504)-ROW($A307)),0))</f>
        <v>0</v>
      </c>
      <c r="J307" s="132" t="s">
        <v>29</v>
      </c>
      <c r="K307" s="121" t="str">
        <f t="shared" ref="K307:K310" ca="1" si="261">IF($A307=0,"-",CONCATENATE(C307&amp;".",IF(AND($A$5&gt;=2,$A307&gt;=2),D307&amp;".",""),IF(AND($A$5&gt;=3,$A307&gt;=3),E307&amp;".",""),IF(AND($A$5&gt;=4,$A307&gt;=4),F307&amp;".",""),IF($A307="S",G307&amp;".","")))</f>
        <v>4.5.7.</v>
      </c>
      <c r="L307" s="137" t="str">
        <f t="shared" ref="L307:L310" ca="1" si="262">IF(NOT(ISERROR($Y307)),IF($Y307&lt;&gt;FALSE,INDEX(Banco,$Y307,4),""),"")</f>
        <v>Cotação</v>
      </c>
      <c r="M307" s="122" t="s">
        <v>80</v>
      </c>
      <c r="N307" s="139" t="s">
        <v>162</v>
      </c>
      <c r="O307" s="137" t="str">
        <f t="shared" ca="1" si="253"/>
        <v>Coffee break (salgados)</v>
      </c>
      <c r="P307" s="138" t="str">
        <f t="shared" ref="P307:P310" ca="1" si="263">IF(NOT(ISERROR($Y307)),IF($Y307&lt;&gt;FALSE,INDEX(Banco,$Y307,6),""),"")</f>
        <v>Centro</v>
      </c>
      <c r="Q307" s="134">
        <v>6</v>
      </c>
      <c r="R307" s="124">
        <f t="shared" ref="R307:R310" ca="1" si="264">IF(NOT(ISERROR($Y307)),IF($Y307&lt;&gt;FALSE,INDEX(Banco,$Y307,7),0),0)</f>
        <v>65</v>
      </c>
      <c r="S307" s="136" t="s">
        <v>62</v>
      </c>
      <c r="T307" s="123">
        <f t="shared" ref="T307:T310" ca="1" si="265">IF($J307=$G$2,ROUND(ROUND($R307,2)*IF($R$9="Preço Unitário (R$)",1,1+$AA307),2),0)</f>
        <v>81.25</v>
      </c>
      <c r="U307" s="126">
        <f t="shared" ref="U307:U310" ca="1" si="266">IF($A307="S",VTOTAL1,IF($A307=0,0,ROUND(SomaAgrup,2)))</f>
        <v>487.5</v>
      </c>
      <c r="V307" s="1"/>
      <c r="W307" s="39" t="str">
        <f ca="1">IF(OR($A307=0,$A307="S",$A307&gt;CFF!$A$9),"",MAX(W$11:OFFSET(W307,-1,0))+1)</f>
        <v/>
      </c>
      <c r="X307" s="4" t="str">
        <f t="shared" ref="X307:X310" si="267">IF(AND($J307=$G$2,$N307&lt;&gt;"",$M307&lt;&gt;""),CONCATENATE($M307,"-",$N307))</f>
        <v>Serv. Terc.-015</v>
      </c>
      <c r="Y307" s="39">
        <f t="shared" ref="Y307:Y310" ca="1" si="268">IF(X307&lt;&gt;FALSE,MATCH(X307,OFFSET(Banco,0,0,,1),0))</f>
        <v>95</v>
      </c>
      <c r="Z307" s="1"/>
      <c r="AA307" s="133">
        <f>IF($J307=$G$2,ROUND(IF(ISNUMBER(S307),S307,IF(LEFT(S307,2)="DI",HLOOKUP(S307,DADOS!$T$29:$X$30,2,FALSE),0)),4),"")</f>
        <v>0.25</v>
      </c>
      <c r="AB307" s="2"/>
    </row>
    <row r="308" spans="1:28">
      <c r="A308" t="str">
        <f>CHOOSE(1+LOG(1+2*(J308=$C$2)+4*(J308=$D$2)+8*(J308=$E$2)+16*(J308=$F$2)+32*(J308=$G$2),2),0,1,2,3,4,"S")</f>
        <v>S</v>
      </c>
      <c r="B308">
        <f>IF(OR(A308="S",A308=0),0,IF(ISERROR(I308),H308,SMALL(H308:I308,1)))</f>
        <v>0</v>
      </c>
      <c r="C308">
        <f ca="1">IF($A308=1,OFFSET(C308,-1,0)+1,OFFSET(C308,-1,0))</f>
        <v>4</v>
      </c>
      <c r="D308">
        <f ca="1">IF($A308=1,0,IF($A308=2,OFFSET(D308,-1,0)+1,OFFSET(D308,-1,0)))</f>
        <v>5</v>
      </c>
      <c r="E308">
        <f ca="1">IF(AND($A308&lt;=2,$A308&lt;&gt;0),0,IF($A308=3,OFFSET(E308,-1,0)+1,OFFSET(E308,-1,0)))</f>
        <v>0</v>
      </c>
      <c r="F308">
        <f ca="1">IF(AND($A308&lt;=3,$A308&lt;&gt;0),0,IF($A308=4,OFFSET(F308,-1,0)+1,OFFSET(F308,-1,0)))</f>
        <v>0</v>
      </c>
      <c r="G308">
        <f ca="1">IF(AND($A308&lt;=4,$A308&lt;&gt;0),0,IF($A308="S",OFFSET(G308,-1,0)+1,OFFSET(G308,-1,0)))</f>
        <v>8</v>
      </c>
      <c r="H308">
        <f ca="1">IF(OR($A308="S",$A308=0),0,MATCH(0,OFFSET($B308,1,$A308,ROW($A$1504)-ROW($A308)),0))</f>
        <v>0</v>
      </c>
      <c r="I308">
        <f ca="1">IF(OR($A308="S",$A308=0),0,MATCH(OFFSET($B308,0,$A308)+1,OFFSET($B308,1,$A308,ROW($A$1504)-ROW($A308)),0))</f>
        <v>0</v>
      </c>
      <c r="J308" s="132" t="s">
        <v>29</v>
      </c>
      <c r="K308" s="121" t="str">
        <f ca="1">IF($A308=0,"-",CONCATENATE(C308&amp;".",IF(AND($A$5&gt;=2,$A308&gt;=2),D308&amp;".",""),IF(AND($A$5&gt;=3,$A308&gt;=3),E308&amp;".",""),IF(AND($A$5&gt;=4,$A308&gt;=4),F308&amp;".",""),IF($A308="S",G308&amp;".","")))</f>
        <v>4.5.8.</v>
      </c>
      <c r="L308" s="137" t="str">
        <f ca="1">IF(NOT(ISERROR($Y308)),IF($Y308&lt;&gt;FALSE,INDEX(Banco,$Y308,4),""),"")</f>
        <v>Cotação</v>
      </c>
      <c r="M308" s="122" t="s">
        <v>80</v>
      </c>
      <c r="N308" s="139" t="s">
        <v>171</v>
      </c>
      <c r="O308" s="137" t="str">
        <f ca="1">IF(NOT(ISERROR($Y308)),IF($Y308&lt;&gt;FALSE,INDEX(Banco,$Y308,5),""),"")</f>
        <v xml:space="preserve">Refrigerantes (02 litros) </v>
      </c>
      <c r="P308" s="138" t="str">
        <f ca="1">IF(NOT(ISERROR($Y308)),IF($Y308&lt;&gt;FALSE,INDEX(Banco,$Y308,6),""),"")</f>
        <v>Unidade</v>
      </c>
      <c r="Q308" s="134">
        <v>7</v>
      </c>
      <c r="R308" s="124">
        <f ca="1">IF(NOT(ISERROR($Y308)),IF($Y308&lt;&gt;FALSE,INDEX(Banco,$Y308,7),0),0)</f>
        <v>6</v>
      </c>
      <c r="S308" s="136" t="s">
        <v>62</v>
      </c>
      <c r="T308" s="123">
        <f ca="1">IF($J308=$G$2,ROUND(ROUND($R308,2)*IF($R$9="Preço Unitário (R$)",1,1+$AA308),2),0)</f>
        <v>7.5</v>
      </c>
      <c r="U308" s="126">
        <f ca="1">IF($A308="S",VTOTAL1,IF($A308=0,0,ROUND(SomaAgrup,2)))</f>
        <v>52.5</v>
      </c>
      <c r="V308" s="1"/>
      <c r="W308" s="39" t="str">
        <f ca="1">IF(OR($A308=0,$A308="S",$A308&gt;CFF!$A$9),"",MAX(W$11:OFFSET(W308,-1,0))+1)</f>
        <v/>
      </c>
      <c r="X308" s="4" t="str">
        <f>IF(AND($J308=$G$2,$N308&lt;&gt;"",$M308&lt;&gt;""),CONCATENATE($M308,"-",$N308))</f>
        <v>Serv. Terc.-027</v>
      </c>
      <c r="Y308" s="39">
        <f ca="1">IF(X308&lt;&gt;FALSE,MATCH(X308,OFFSET(Banco,0,0,,1),0))</f>
        <v>107</v>
      </c>
      <c r="Z308" s="1"/>
      <c r="AA308" s="133">
        <f>IF($J308=$G$2,ROUND(IF(ISNUMBER(S308),S308,IF(LEFT(S308,2)="DI",HLOOKUP(S308,DADOS!$T$29:$X$30,2,FALSE),0)),4),"")</f>
        <v>0.25</v>
      </c>
      <c r="AB308" s="2"/>
    </row>
    <row r="309" spans="1:28">
      <c r="A309" t="str">
        <f t="shared" si="254"/>
        <v>S</v>
      </c>
      <c r="B309">
        <f t="shared" si="255"/>
        <v>0</v>
      </c>
      <c r="C309">
        <f t="shared" ca="1" si="256"/>
        <v>4</v>
      </c>
      <c r="D309">
        <f t="shared" ca="1" si="257"/>
        <v>5</v>
      </c>
      <c r="E309">
        <f t="shared" ca="1" si="258"/>
        <v>0</v>
      </c>
      <c r="F309">
        <f t="shared" ca="1" si="259"/>
        <v>0</v>
      </c>
      <c r="G309">
        <f t="shared" ca="1" si="260"/>
        <v>9</v>
      </c>
      <c r="H309">
        <f ca="1">IF(OR($A309="S",$A309=0),0,MATCH(0,OFFSET($B309,1,$A309,ROW($A$1504)-ROW($A309)),0))</f>
        <v>0</v>
      </c>
      <c r="I309">
        <f ca="1">IF(OR($A309="S",$A309=0),0,MATCH(OFFSET($B309,0,$A309)+1,OFFSET($B309,1,$A309,ROW($A$1504)-ROW($A309)),0))</f>
        <v>0</v>
      </c>
      <c r="J309" s="132" t="s">
        <v>29</v>
      </c>
      <c r="K309" s="121" t="str">
        <f t="shared" ca="1" si="261"/>
        <v>4.5.9.</v>
      </c>
      <c r="L309" s="137" t="str">
        <f t="shared" ca="1" si="262"/>
        <v xml:space="preserve">Cotação </v>
      </c>
      <c r="M309" s="122" t="s">
        <v>80</v>
      </c>
      <c r="N309" s="139" t="s">
        <v>160</v>
      </c>
      <c r="O309" s="137" t="str">
        <f t="shared" ca="1" si="253"/>
        <v>Barra de gelo</v>
      </c>
      <c r="P309" s="138" t="str">
        <f t="shared" ca="1" si="263"/>
        <v>Unidade</v>
      </c>
      <c r="Q309" s="134">
        <v>1</v>
      </c>
      <c r="R309" s="124">
        <f t="shared" ca="1" si="264"/>
        <v>12</v>
      </c>
      <c r="S309" s="136" t="s">
        <v>62</v>
      </c>
      <c r="T309" s="123">
        <f t="shared" ca="1" si="265"/>
        <v>15</v>
      </c>
      <c r="U309" s="126">
        <f t="shared" ca="1" si="266"/>
        <v>15</v>
      </c>
      <c r="V309" s="1"/>
      <c r="W309" s="39" t="str">
        <f ca="1">IF(OR($A309=0,$A309="S",$A309&gt;CFF!$A$9),"",MAX(W$11:OFFSET(W309,-1,0))+1)</f>
        <v/>
      </c>
      <c r="X309" s="4" t="str">
        <f t="shared" si="267"/>
        <v>Serv. Terc.-011</v>
      </c>
      <c r="Y309" s="39">
        <f t="shared" ca="1" si="268"/>
        <v>91</v>
      </c>
      <c r="Z309" s="1"/>
      <c r="AA309" s="133">
        <f>IF($J309=$G$2,ROUND(IF(ISNUMBER(S309),S309,IF(LEFT(S309,2)="DI",HLOOKUP(S309,DADOS!$T$29:$X$30,2,FALSE),0)),4),"")</f>
        <v>0.25</v>
      </c>
      <c r="AB309" s="2"/>
    </row>
    <row r="310" spans="1:28">
      <c r="A310" t="str">
        <f t="shared" si="254"/>
        <v>S</v>
      </c>
      <c r="B310">
        <f t="shared" si="255"/>
        <v>0</v>
      </c>
      <c r="C310">
        <f t="shared" ca="1" si="256"/>
        <v>4</v>
      </c>
      <c r="D310">
        <f t="shared" ca="1" si="257"/>
        <v>5</v>
      </c>
      <c r="E310">
        <f t="shared" ca="1" si="258"/>
        <v>0</v>
      </c>
      <c r="F310">
        <f t="shared" ca="1" si="259"/>
        <v>0</v>
      </c>
      <c r="G310">
        <f t="shared" ca="1" si="260"/>
        <v>10</v>
      </c>
      <c r="H310">
        <f ca="1">IF(OR($A310="S",$A310=0),0,MATCH(0,OFFSET($B310,1,$A310,ROW($A$1504)-ROW($A310)),0))</f>
        <v>0</v>
      </c>
      <c r="I310">
        <f ca="1">IF(OR($A310="S",$A310=0),0,MATCH(OFFSET($B310,0,$A310)+1,OFFSET($B310,1,$A310,ROW($A$1504)-ROW($A310)),0))</f>
        <v>0</v>
      </c>
      <c r="J310" s="132" t="s">
        <v>29</v>
      </c>
      <c r="K310" s="121" t="str">
        <f t="shared" ca="1" si="261"/>
        <v>4.5.10.</v>
      </c>
      <c r="L310" s="137" t="str">
        <f t="shared" ca="1" si="262"/>
        <v>Cotação</v>
      </c>
      <c r="M310" s="122" t="s">
        <v>80</v>
      </c>
      <c r="N310" s="139" t="s">
        <v>154</v>
      </c>
      <c r="O310" s="137" t="str">
        <f t="shared" ca="1" si="253"/>
        <v>Locação de caixa térmica</v>
      </c>
      <c r="P310" s="138" t="str">
        <f t="shared" ca="1" si="263"/>
        <v>Unidade</v>
      </c>
      <c r="Q310" s="134">
        <v>1</v>
      </c>
      <c r="R310" s="124">
        <f t="shared" ca="1" si="264"/>
        <v>40</v>
      </c>
      <c r="S310" s="136" t="s">
        <v>62</v>
      </c>
      <c r="T310" s="123">
        <f t="shared" ca="1" si="265"/>
        <v>50</v>
      </c>
      <c r="U310" s="126">
        <f t="shared" ca="1" si="266"/>
        <v>50</v>
      </c>
      <c r="V310" s="1"/>
      <c r="W310" s="39" t="str">
        <f ca="1">IF(OR($A310=0,$A310="S",$A310&gt;CFF!$A$9),"",MAX(W$11:OFFSET(W310,-1,0))+1)</f>
        <v/>
      </c>
      <c r="X310" s="4" t="str">
        <f t="shared" si="267"/>
        <v>Serv. Terc.-005</v>
      </c>
      <c r="Y310" s="39">
        <f t="shared" ca="1" si="268"/>
        <v>85</v>
      </c>
      <c r="Z310" s="1"/>
      <c r="AA310" s="133">
        <f>IF($J310=$G$2,ROUND(IF(ISNUMBER(S310),S310,IF(LEFT(S310,2)="DI",HLOOKUP(S310,DADOS!$T$29:$X$30,2,FALSE),0)),4),"")</f>
        <v>0.25</v>
      </c>
      <c r="AB310" s="2"/>
    </row>
    <row r="311" spans="1:28">
      <c r="A311">
        <f>CHOOSE(1+LOG(1+2*(J311=$C$2)+4*(J311=$D$2)+8*(J311=$E$2)+16*(J311=$F$2)+32*(J311=$G$2),2),0,1,2,3,4,"S")</f>
        <v>2</v>
      </c>
      <c r="B311">
        <f ca="1">IF(OR(A311="S",A311=0),0,IF(ISERROR(I311),H311,SMALL(H311:I311,1)))</f>
        <v>9</v>
      </c>
      <c r="C311">
        <f ca="1">IF($A311=1,OFFSET(C311,-1,0)+1,OFFSET(C311,-1,0))</f>
        <v>4</v>
      </c>
      <c r="D311">
        <f ca="1">IF($A311=1,0,IF($A311=2,OFFSET(D311,-1,0)+1,OFFSET(D311,-1,0)))</f>
        <v>6</v>
      </c>
      <c r="E311">
        <f ca="1">IF(AND($A311&lt;=2,$A311&lt;&gt;0),0,IF($A311=3,OFFSET(E311,-1,0)+1,OFFSET(E311,-1,0)))</f>
        <v>0</v>
      </c>
      <c r="F311">
        <f ca="1">IF(AND($A311&lt;=3,$A311&lt;&gt;0),0,IF($A311=4,OFFSET(F311,-1,0)+1,OFFSET(F311,-1,0)))</f>
        <v>0</v>
      </c>
      <c r="G311">
        <f ca="1">IF(AND($A311&lt;=4,$A311&lt;&gt;0),0,IF($A311="S",OFFSET(G311,-1,0)+1,OFFSET(G311,-1,0)))</f>
        <v>0</v>
      </c>
      <c r="H311">
        <f ca="1">IF(OR($A311="S",$A311=0),0,MATCH(0,OFFSET($B311,1,$A311,ROW($A$1504)-ROW($A311)),0))</f>
        <v>27</v>
      </c>
      <c r="I311">
        <f ca="1">IF(OR($A311="S",$A311=0),0,MATCH(OFFSET($B311,0,$A311)+1,OFFSET($B311,1,$A311,ROW($A$1504)-ROW($A311)),0))</f>
        <v>9</v>
      </c>
      <c r="J311" s="132" t="s">
        <v>68</v>
      </c>
      <c r="K311" s="121" t="str">
        <f ca="1">IF($A311=0,"-",CONCATENATE(C311&amp;".",IF(AND($A$5&gt;=2,$A311&gt;=2),D311&amp;".",""),IF(AND($A$5&gt;=3,$A311&gt;=3),E311&amp;".",""),IF(AND($A$5&gt;=4,$A311&gt;=4),F311&amp;".",""),IF($A311="S",G311&amp;".","")))</f>
        <v>4.6.</v>
      </c>
      <c r="L311" s="137" t="str">
        <f ca="1">IF(NOT(ISERROR($Y311)),IF($Y311&lt;&gt;FALSE,INDEX(Banco,$Y311,4),""),"")</f>
        <v/>
      </c>
      <c r="M311" s="122"/>
      <c r="N311" s="139"/>
      <c r="O311" s="137" t="s">
        <v>366</v>
      </c>
      <c r="P311" s="138" t="str">
        <f ca="1">IF(NOT(ISERROR($Y311)),IF($Y311&lt;&gt;FALSE,INDEX(Banco,$Y311,6),""),"")</f>
        <v/>
      </c>
      <c r="Q311" s="134"/>
      <c r="R311" s="124">
        <f ca="1">IF(NOT(ISERROR($Y311)),IF($Y311&lt;&gt;FALSE,INDEX(Banco,$Y311,7),0),0)</f>
        <v>0</v>
      </c>
      <c r="S311" s="136" t="s">
        <v>62</v>
      </c>
      <c r="T311" s="123">
        <f>IF($J311=$G$2,ROUND(ROUND($R311,2)*IF($R$9="Preço Unitário (R$)",1,1+$AA311),2),0)</f>
        <v>0</v>
      </c>
      <c r="U311" s="126">
        <f ca="1">IF($A311="S",VTOTAL1,IF($A311=0,0,ROUND(SomaAgrup,2)))</f>
        <v>4049.49</v>
      </c>
      <c r="V311" s="1"/>
      <c r="W311" s="39">
        <f ca="1">IF(OR($A311=0,$A311="S",$A311&gt;CFF!$A$9),"",MAX(W$11:OFFSET(W311,-1,0))+1)</f>
        <v>23</v>
      </c>
      <c r="X311" s="4" t="b">
        <f>IF(AND($J311=$G$2,$N311&lt;&gt;"",$M311&lt;&gt;""),CONCATENATE($M311,"-",$N311))</f>
        <v>0</v>
      </c>
      <c r="Y311" s="39" t="b">
        <f ca="1">IF(X311&lt;&gt;FALSE,MATCH(X311,OFFSET(Banco,0,0,,1),0))</f>
        <v>0</v>
      </c>
      <c r="Z311" s="1"/>
      <c r="AA311" s="133" t="str">
        <f>IF($J311=$G$2,ROUND(IF(ISNUMBER(S311),S311,IF(LEFT(S311,2)="DI",HLOOKUP(S311,DADOS!$T$29:$X$30,2,FALSE),0)),4),"")</f>
        <v/>
      </c>
      <c r="AB311" s="2"/>
    </row>
    <row r="312" spans="1:28">
      <c r="A312" t="str">
        <f>CHOOSE(1+LOG(1+2*(J312=$C$2)+4*(J312=$D$2)+8*(J312=$E$2)+16*(J312=$F$2)+32*(J312=$G$2),2),0,1,2,3,4,"S")</f>
        <v>S</v>
      </c>
      <c r="B312">
        <f>IF(OR(A312="S",A312=0),0,IF(ISERROR(I312),H312,SMALL(H312:I312,1)))</f>
        <v>0</v>
      </c>
      <c r="C312">
        <f ca="1">IF($A312=1,OFFSET(C312,-1,0)+1,OFFSET(C312,-1,0))</f>
        <v>4</v>
      </c>
      <c r="D312">
        <f ca="1">IF($A312=1,0,IF($A312=2,OFFSET(D312,-1,0)+1,OFFSET(D312,-1,0)))</f>
        <v>6</v>
      </c>
      <c r="E312">
        <f ca="1">IF(AND($A312&lt;=2,$A312&lt;&gt;0),0,IF($A312=3,OFFSET(E312,-1,0)+1,OFFSET(E312,-1,0)))</f>
        <v>0</v>
      </c>
      <c r="F312">
        <f ca="1">IF(AND($A312&lt;=3,$A312&lt;&gt;0),0,IF($A312=4,OFFSET(F312,-1,0)+1,OFFSET(F312,-1,0)))</f>
        <v>0</v>
      </c>
      <c r="G312">
        <f ca="1">IF(AND($A312&lt;=4,$A312&lt;&gt;0),0,IF($A312="S",OFFSET(G312,-1,0)+1,OFFSET(G312,-1,0)))</f>
        <v>1</v>
      </c>
      <c r="H312">
        <f ca="1">IF(OR($A312="S",$A312=0),0,MATCH(0,OFFSET($B312,1,$A312,ROW($A$1504)-ROW($A312)),0))</f>
        <v>0</v>
      </c>
      <c r="I312">
        <f ca="1">IF(OR($A312="S",$A312=0),0,MATCH(OFFSET($B312,0,$A312)+1,OFFSET($B312,1,$A312,ROW($A$1504)-ROW($A312)),0))</f>
        <v>0</v>
      </c>
      <c r="J312" s="132" t="s">
        <v>29</v>
      </c>
      <c r="K312" s="121" t="str">
        <f ca="1">IF($A312=0,"-",CONCATENATE(C312&amp;".",IF(AND($A$5&gt;=2,$A312&gt;=2),D312&amp;".",""),IF(AND($A$5&gt;=3,$A312&gt;=3),E312&amp;".",""),IF(AND($A$5&gt;=4,$A312&gt;=4),F312&amp;".",""),IF($A312="S",G312&amp;".","")))</f>
        <v>4.6.1.</v>
      </c>
      <c r="L312" s="137" t="str">
        <f ca="1">IF(NOT(ISERROR($Y312)),IF($Y312&lt;&gt;FALSE,INDEX(Banco,$Y312,4),""),"")</f>
        <v>CRESS</v>
      </c>
      <c r="M312" s="122" t="s">
        <v>78</v>
      </c>
      <c r="N312" s="139" t="s">
        <v>149</v>
      </c>
      <c r="O312" s="137" t="str">
        <f t="shared" ref="O312:O317" ca="1" si="269">IF(NOT(ISERROR($Y312)),IF($Y312&lt;&gt;FALSE,INDEX(Banco,$Y312,5),""),"")</f>
        <v>Responsável Técnica</v>
      </c>
      <c r="P312" s="138" t="str">
        <f ca="1">IF(NOT(ISERROR($Y312)),IF($Y312&lt;&gt;FALSE,INDEX(Banco,$Y312,6),""),"")</f>
        <v>Horas</v>
      </c>
      <c r="Q312" s="134">
        <v>4</v>
      </c>
      <c r="R312" s="124">
        <f ca="1">IF(NOT(ISERROR($Y312)),IF($Y312&lt;&gt;FALSE,INDEX(Banco,$Y312,7),0),0)</f>
        <v>150.28</v>
      </c>
      <c r="S312" s="136" t="s">
        <v>62</v>
      </c>
      <c r="T312" s="123">
        <f ca="1">IF($J312=$G$2,ROUND(ROUND($R312,2)*IF($R$9="Preço Unitário (R$)",1,1+$AA312),2),0)</f>
        <v>187.85</v>
      </c>
      <c r="U312" s="126">
        <f ca="1">IF($A312="S",VTOTAL1,IF($A312=0,0,ROUND(SomaAgrup,2)))</f>
        <v>751.4</v>
      </c>
      <c r="V312" s="1"/>
      <c r="W312" s="39" t="str">
        <f ca="1">IF(OR($A312=0,$A312="S",$A312&gt;CFF!$A$9),"",MAX(W$11:OFFSET(W312,-1,0))+1)</f>
        <v/>
      </c>
      <c r="X312" s="4" t="str">
        <f>IF(AND($J312=$G$2,$N312&lt;&gt;"",$M312&lt;&gt;""),CONCATENATE($M312,"-",$N312))</f>
        <v>Rec. Humanos-001</v>
      </c>
      <c r="Y312" s="39">
        <f ca="1">IF(X312&lt;&gt;FALSE,MATCH(X312,OFFSET(Banco,0,0,,1),0))</f>
        <v>3</v>
      </c>
      <c r="Z312" s="1"/>
      <c r="AA312" s="133">
        <f>IF($J312=$G$2,ROUND(IF(ISNUMBER(S312),S312,IF(LEFT(S312,2)="DI",HLOOKUP(S312,DADOS!$T$29:$X$30,2,FALSE),0)),4),"")</f>
        <v>0.25</v>
      </c>
      <c r="AB312" s="2"/>
    </row>
    <row r="313" spans="1:28">
      <c r="A313" t="str">
        <f t="shared" ref="A313:A316" si="270">CHOOSE(1+LOG(1+2*(J313=$C$2)+4*(J313=$D$2)+8*(J313=$E$2)+16*(J313=$F$2)+32*(J313=$G$2),2),0,1,2,3,4,"S")</f>
        <v>S</v>
      </c>
      <c r="B313">
        <f t="shared" ref="B313:B316" si="271">IF(OR(A313="S",A313=0),0,IF(ISERROR(I313),H313,SMALL(H313:I313,1)))</f>
        <v>0</v>
      </c>
      <c r="C313">
        <f t="shared" ref="C313:C316" ca="1" si="272">IF($A313=1,OFFSET(C313,-1,0)+1,OFFSET(C313,-1,0))</f>
        <v>4</v>
      </c>
      <c r="D313">
        <f t="shared" ref="D313:D316" ca="1" si="273">IF($A313=1,0,IF($A313=2,OFFSET(D313,-1,0)+1,OFFSET(D313,-1,0)))</f>
        <v>6</v>
      </c>
      <c r="E313">
        <f t="shared" ref="E313:E316" ca="1" si="274">IF(AND($A313&lt;=2,$A313&lt;&gt;0),0,IF($A313=3,OFFSET(E313,-1,0)+1,OFFSET(E313,-1,0)))</f>
        <v>0</v>
      </c>
      <c r="F313">
        <f t="shared" ref="F313:F316" ca="1" si="275">IF(AND($A313&lt;=3,$A313&lt;&gt;0),0,IF($A313=4,OFFSET(F313,-1,0)+1,OFFSET(F313,-1,0)))</f>
        <v>0</v>
      </c>
      <c r="G313">
        <f t="shared" ref="G313:G316" ca="1" si="276">IF(AND($A313&lt;=4,$A313&lt;&gt;0),0,IF($A313="S",OFFSET(G313,-1,0)+1,OFFSET(G313,-1,0)))</f>
        <v>2</v>
      </c>
      <c r="H313">
        <f ca="1">IF(OR($A313="S",$A313=0),0,MATCH(0,OFFSET($B313,1,$A313,ROW($A$1504)-ROW($A313)),0))</f>
        <v>0</v>
      </c>
      <c r="I313">
        <f ca="1">IF(OR($A313="S",$A313=0),0,MATCH(OFFSET($B313,0,$A313)+1,OFFSET($B313,1,$A313,ROW($A$1504)-ROW($A313)),0))</f>
        <v>0</v>
      </c>
      <c r="J313" s="132" t="s">
        <v>29</v>
      </c>
      <c r="K313" s="121" t="str">
        <f t="shared" ref="K313:K316" ca="1" si="277">IF($A313=0,"-",CONCATENATE(C313&amp;".",IF(AND($A$5&gt;=2,$A313&gt;=2),D313&amp;".",""),IF(AND($A$5&gt;=3,$A313&gt;=3),E313&amp;".",""),IF(AND($A$5&gt;=4,$A313&gt;=4),F313&amp;".",""),IF($A313="S",G313&amp;".","")))</f>
        <v>4.6.2.</v>
      </c>
      <c r="L313" s="137" t="str">
        <f t="shared" ref="L313:L316" ca="1" si="278">IF(NOT(ISERROR($Y313)),IF($Y313&lt;&gt;FALSE,INDEX(Banco,$Y313,4),""),"")</f>
        <v>CRESS</v>
      </c>
      <c r="M313" s="122" t="s">
        <v>78</v>
      </c>
      <c r="N313" s="139" t="s">
        <v>152</v>
      </c>
      <c r="O313" s="137" t="str">
        <f t="shared" ca="1" si="269"/>
        <v>Assistente Social</v>
      </c>
      <c r="P313" s="138" t="str">
        <f t="shared" ref="P313:P316" ca="1" si="279">IF(NOT(ISERROR($Y313)),IF($Y313&lt;&gt;FALSE,INDEX(Banco,$Y313,6),""),"")</f>
        <v>Horas</v>
      </c>
      <c r="Q313" s="134">
        <v>4</v>
      </c>
      <c r="R313" s="124">
        <f t="shared" ref="R313:R316" ca="1" si="280">IF(NOT(ISERROR($Y313)),IF($Y313&lt;&gt;FALSE,INDEX(Banco,$Y313,7),0),0)</f>
        <v>133.81</v>
      </c>
      <c r="S313" s="136" t="s">
        <v>62</v>
      </c>
      <c r="T313" s="123">
        <f t="shared" ref="T313:T316" ca="1" si="281">IF($J313=$G$2,ROUND(ROUND($R313,2)*IF($R$9="Preço Unitário (R$)",1,1+$AA313),2),0)</f>
        <v>167.26</v>
      </c>
      <c r="U313" s="126">
        <f t="shared" ref="U313:U316" ca="1" si="282">IF($A313="S",VTOTAL1,IF($A313=0,0,ROUND(SomaAgrup,2)))</f>
        <v>669.04</v>
      </c>
      <c r="V313" s="1"/>
      <c r="W313" s="39" t="str">
        <f ca="1">IF(OR($A313=0,$A313="S",$A313&gt;CFF!$A$9),"",MAX(W$11:OFFSET(W313,-1,0))+1)</f>
        <v/>
      </c>
      <c r="X313" s="4" t="str">
        <f t="shared" ref="X313:X316" si="283">IF(AND($J313=$G$2,$N313&lt;&gt;"",$M313&lt;&gt;""),CONCATENATE($M313,"-",$N313))</f>
        <v>Rec. Humanos-002</v>
      </c>
      <c r="Y313" s="39">
        <f t="shared" ref="Y313:Y316" ca="1" si="284">IF(X313&lt;&gt;FALSE,MATCH(X313,OFFSET(Banco,0,0,,1),0))</f>
        <v>4</v>
      </c>
      <c r="Z313" s="1"/>
      <c r="AA313" s="133">
        <f>IF($J313=$G$2,ROUND(IF(ISNUMBER(S313),S313,IF(LEFT(S313,2)="DI",HLOOKUP(S313,DADOS!$T$29:$X$30,2,FALSE),0)),4),"")</f>
        <v>0.25</v>
      </c>
      <c r="AB313" s="2"/>
    </row>
    <row r="314" spans="1:28">
      <c r="A314" t="str">
        <f t="shared" si="270"/>
        <v>S</v>
      </c>
      <c r="B314">
        <f t="shared" si="271"/>
        <v>0</v>
      </c>
      <c r="C314">
        <f t="shared" ca="1" si="272"/>
        <v>4</v>
      </c>
      <c r="D314">
        <f t="shared" ca="1" si="273"/>
        <v>6</v>
      </c>
      <c r="E314">
        <f t="shared" ca="1" si="274"/>
        <v>0</v>
      </c>
      <c r="F314">
        <f t="shared" ca="1" si="275"/>
        <v>0</v>
      </c>
      <c r="G314">
        <f t="shared" ca="1" si="276"/>
        <v>3</v>
      </c>
      <c r="H314">
        <f ca="1">IF(OR($A314="S",$A314=0),0,MATCH(0,OFFSET($B314,1,$A314,ROW($A$1504)-ROW($A314)),0))</f>
        <v>0</v>
      </c>
      <c r="I314">
        <f ca="1">IF(OR($A314="S",$A314=0),0,MATCH(OFFSET($B314,0,$A314)+1,OFFSET($B314,1,$A314,ROW($A$1504)-ROW($A314)),0))</f>
        <v>0</v>
      </c>
      <c r="J314" s="132" t="s">
        <v>29</v>
      </c>
      <c r="K314" s="121" t="str">
        <f t="shared" ca="1" si="277"/>
        <v>4.6.3.</v>
      </c>
      <c r="L314" s="137" t="str">
        <f t="shared" ca="1" si="278"/>
        <v>Cotação</v>
      </c>
      <c r="M314" s="122" t="s">
        <v>80</v>
      </c>
      <c r="N314" s="139" t="s">
        <v>201</v>
      </c>
      <c r="O314" s="137" t="str">
        <f t="shared" ca="1" si="269"/>
        <v xml:space="preserve">Coffe break (salgados) </v>
      </c>
      <c r="P314" s="138" t="str">
        <f t="shared" ca="1" si="279"/>
        <v>Centro</v>
      </c>
      <c r="Q314" s="134">
        <v>5</v>
      </c>
      <c r="R314" s="124">
        <f t="shared" ca="1" si="280"/>
        <v>65</v>
      </c>
      <c r="S314" s="136" t="s">
        <v>62</v>
      </c>
      <c r="T314" s="123">
        <f t="shared" ca="1" si="281"/>
        <v>81.25</v>
      </c>
      <c r="U314" s="126">
        <f t="shared" ca="1" si="282"/>
        <v>406.25</v>
      </c>
      <c r="V314" s="1"/>
      <c r="W314" s="39" t="str">
        <f ca="1">IF(OR($A314=0,$A314="S",$A314&gt;CFF!$A$9),"",MAX(W$11:OFFSET(W314,-1,0))+1)</f>
        <v/>
      </c>
      <c r="X314" s="4" t="str">
        <f t="shared" si="283"/>
        <v>Serv. Terc.-033</v>
      </c>
      <c r="Y314" s="39">
        <f t="shared" ca="1" si="284"/>
        <v>113</v>
      </c>
      <c r="Z314" s="1"/>
      <c r="AA314" s="133">
        <f>IF($J314=$G$2,ROUND(IF(ISNUMBER(S314),S314,IF(LEFT(S314,2)="DI",HLOOKUP(S314,DADOS!$T$29:$X$30,2,FALSE),0)),4),"")</f>
        <v>0.25</v>
      </c>
      <c r="AB314" s="2"/>
    </row>
    <row r="315" spans="1:28">
      <c r="A315" t="str">
        <f>CHOOSE(1+LOG(1+2*(J315=$C$2)+4*(J315=$D$2)+8*(J315=$E$2)+16*(J315=$F$2)+32*(J315=$G$2),2),0,1,2,3,4,"S")</f>
        <v>S</v>
      </c>
      <c r="B315">
        <f>IF(OR(A315="S",A315=0),0,IF(ISERROR(I315),H315,SMALL(H315:I315,1)))</f>
        <v>0</v>
      </c>
      <c r="C315">
        <f ca="1">IF($A315=1,OFFSET(C315,-1,0)+1,OFFSET(C315,-1,0))</f>
        <v>4</v>
      </c>
      <c r="D315">
        <f ca="1">IF($A315=1,0,IF($A315=2,OFFSET(D315,-1,0)+1,OFFSET(D315,-1,0)))</f>
        <v>6</v>
      </c>
      <c r="E315">
        <f ca="1">IF(AND($A315&lt;=2,$A315&lt;&gt;0),0,IF($A315=3,OFFSET(E315,-1,0)+1,OFFSET(E315,-1,0)))</f>
        <v>0</v>
      </c>
      <c r="F315">
        <f ca="1">IF(AND($A315&lt;=3,$A315&lt;&gt;0),0,IF($A315=4,OFFSET(F315,-1,0)+1,OFFSET(F315,-1,0)))</f>
        <v>0</v>
      </c>
      <c r="G315">
        <f ca="1">IF(AND($A315&lt;=4,$A315&lt;&gt;0),0,IF($A315="S",OFFSET(G315,-1,0)+1,OFFSET(G315,-1,0)))</f>
        <v>4</v>
      </c>
      <c r="H315">
        <f ca="1">IF(OR($A315="S",$A315=0),0,MATCH(0,OFFSET($B315,1,$A315,ROW($A$1504)-ROW($A315)),0))</f>
        <v>0</v>
      </c>
      <c r="I315">
        <f ca="1">IF(OR($A315="S",$A315=0),0,MATCH(OFFSET($B315,0,$A315)+1,OFFSET($B315,1,$A315,ROW($A$1504)-ROW($A315)),0))</f>
        <v>0</v>
      </c>
      <c r="J315" s="132" t="s">
        <v>29</v>
      </c>
      <c r="K315" s="121" t="str">
        <f ca="1">IF($A315=0,"-",CONCATENATE(C315&amp;".",IF(AND($A$5&gt;=2,$A315&gt;=2),D315&amp;".",""),IF(AND($A$5&gt;=3,$A315&gt;=3),E315&amp;".",""),IF(AND($A$5&gt;=4,$A315&gt;=4),F315&amp;".",""),IF($A315="S",G315&amp;".","")))</f>
        <v>4.6.4.</v>
      </c>
      <c r="L315" s="137" t="str">
        <f ca="1">IF(NOT(ISERROR($Y315)),IF($Y315&lt;&gt;FALSE,INDEX(Banco,$Y315,4),""),"")</f>
        <v>Cotação</v>
      </c>
      <c r="M315" s="122" t="s">
        <v>80</v>
      </c>
      <c r="N315" s="139" t="s">
        <v>171</v>
      </c>
      <c r="O315" s="137" t="str">
        <f ca="1">IF(NOT(ISERROR($Y315)),IF($Y315&lt;&gt;FALSE,INDEX(Banco,$Y315,5),""),"")</f>
        <v xml:space="preserve">Refrigerantes (02 litros) </v>
      </c>
      <c r="P315" s="138" t="str">
        <f ca="1">IF(NOT(ISERROR($Y315)),IF($Y315&lt;&gt;FALSE,INDEX(Banco,$Y315,6),""),"")</f>
        <v>Unidade</v>
      </c>
      <c r="Q315" s="134">
        <v>7</v>
      </c>
      <c r="R315" s="124">
        <f ca="1">IF(NOT(ISERROR($Y315)),IF($Y315&lt;&gt;FALSE,INDEX(Banco,$Y315,7),0),0)</f>
        <v>6</v>
      </c>
      <c r="S315" s="136" t="s">
        <v>62</v>
      </c>
      <c r="T315" s="123">
        <f ca="1">IF($J315=$G$2,ROUND(ROUND($R315,2)*IF($R$9="Preço Unitário (R$)",1,1+$AA315),2),0)</f>
        <v>7.5</v>
      </c>
      <c r="U315" s="126">
        <f ca="1">IF($A315="S",VTOTAL1,IF($A315=0,0,ROUND(SomaAgrup,2)))</f>
        <v>52.5</v>
      </c>
      <c r="V315" s="1"/>
      <c r="W315" s="39" t="str">
        <f ca="1">IF(OR($A315=0,$A315="S",$A315&gt;CFF!$A$9),"",MAX(W$11:OFFSET(W315,-1,0))+1)</f>
        <v/>
      </c>
      <c r="X315" s="4" t="str">
        <f>IF(AND($J315=$G$2,$N315&lt;&gt;"",$M315&lt;&gt;""),CONCATENATE($M315,"-",$N315))</f>
        <v>Serv. Terc.-027</v>
      </c>
      <c r="Y315" s="39">
        <f ca="1">IF(X315&lt;&gt;FALSE,MATCH(X315,OFFSET(Banco,0,0,,1),0))</f>
        <v>107</v>
      </c>
      <c r="Z315" s="1"/>
      <c r="AA315" s="133">
        <f>IF($J315=$G$2,ROUND(IF(ISNUMBER(S315),S315,IF(LEFT(S315,2)="DI",HLOOKUP(S315,DADOS!$T$29:$X$30,2,FALSE),0)),4),"")</f>
        <v>0.25</v>
      </c>
      <c r="AB315" s="2"/>
    </row>
    <row r="316" spans="1:28">
      <c r="A316" t="str">
        <f t="shared" si="270"/>
        <v>S</v>
      </c>
      <c r="B316">
        <f t="shared" si="271"/>
        <v>0</v>
      </c>
      <c r="C316">
        <f t="shared" ca="1" si="272"/>
        <v>4</v>
      </c>
      <c r="D316">
        <f t="shared" ca="1" si="273"/>
        <v>6</v>
      </c>
      <c r="E316">
        <f t="shared" ca="1" si="274"/>
        <v>0</v>
      </c>
      <c r="F316">
        <f t="shared" ca="1" si="275"/>
        <v>0</v>
      </c>
      <c r="G316">
        <f t="shared" ca="1" si="276"/>
        <v>5</v>
      </c>
      <c r="H316">
        <f ca="1">IF(OR($A316="S",$A316=0),0,MATCH(0,OFFSET($B316,1,$A316,ROW($A$1504)-ROW($A316)),0))</f>
        <v>0</v>
      </c>
      <c r="I316">
        <f ca="1">IF(OR($A316="S",$A316=0),0,MATCH(OFFSET($B316,0,$A316)+1,OFFSET($B316,1,$A316,ROW($A$1504)-ROW($A316)),0))</f>
        <v>0</v>
      </c>
      <c r="J316" s="132" t="s">
        <v>29</v>
      </c>
      <c r="K316" s="121" t="str">
        <f t="shared" ca="1" si="277"/>
        <v>4.6.5.</v>
      </c>
      <c r="L316" s="137" t="str">
        <f t="shared" ca="1" si="278"/>
        <v>CREFITO</v>
      </c>
      <c r="M316" s="122" t="s">
        <v>80</v>
      </c>
      <c r="N316" s="139" t="s">
        <v>260</v>
      </c>
      <c r="O316" s="137" t="str">
        <f t="shared" ca="1" si="269"/>
        <v>Fisioterapeuta (Massagem terapêutica)</v>
      </c>
      <c r="P316" s="138" t="str">
        <f t="shared" ca="1" si="279"/>
        <v>Vagas</v>
      </c>
      <c r="Q316" s="134">
        <v>30</v>
      </c>
      <c r="R316" s="124">
        <f t="shared" ca="1" si="280"/>
        <v>41.6</v>
      </c>
      <c r="S316" s="136" t="s">
        <v>62</v>
      </c>
      <c r="T316" s="123">
        <f t="shared" ca="1" si="281"/>
        <v>52</v>
      </c>
      <c r="U316" s="126">
        <f t="shared" ca="1" si="282"/>
        <v>1560</v>
      </c>
      <c r="V316" s="1"/>
      <c r="W316" s="39" t="str">
        <f ca="1">IF(OR($A316=0,$A316="S",$A316&gt;CFF!$A$9),"",MAX(W$11:OFFSET(W316,-1,0))+1)</f>
        <v/>
      </c>
      <c r="X316" s="4" t="str">
        <f t="shared" si="283"/>
        <v>Serv. Terc.-085</v>
      </c>
      <c r="Y316" s="39">
        <f t="shared" ca="1" si="284"/>
        <v>165</v>
      </c>
      <c r="Z316" s="1"/>
      <c r="AA316" s="133">
        <f>IF($J316=$G$2,ROUND(IF(ISNUMBER(S316),S316,IF(LEFT(S316,2)="DI",HLOOKUP(S316,DADOS!$T$29:$X$30,2,FALSE),0)),4),"")</f>
        <v>0.25</v>
      </c>
      <c r="AB316" s="2"/>
    </row>
    <row r="317" spans="1:28">
      <c r="A317" t="str">
        <f t="shared" ref="A317:A338" si="285">CHOOSE(1+LOG(1+2*(J317=$C$2)+4*(J317=$D$2)+8*(J317=$E$2)+16*(J317=$F$2)+32*(J317=$G$2),2),0,1,2,3,4,"S")</f>
        <v>S</v>
      </c>
      <c r="B317">
        <f t="shared" ref="B317:B338" si="286">IF(OR(A317="S",A317=0),0,IF(ISERROR(I317),H317,SMALL(H317:I317,1)))</f>
        <v>0</v>
      </c>
      <c r="C317">
        <f t="shared" ref="C317:C322" ca="1" si="287">IF($A317=1,OFFSET(C317,-1,0)+1,OFFSET(C317,-1,0))</f>
        <v>4</v>
      </c>
      <c r="D317">
        <f t="shared" ref="D317:D322" ca="1" si="288">IF($A317=1,0,IF($A317=2,OFFSET(D317,-1,0)+1,OFFSET(D317,-1,0)))</f>
        <v>6</v>
      </c>
      <c r="E317">
        <f t="shared" ref="E317:E322" ca="1" si="289">IF(AND($A317&lt;=2,$A317&lt;&gt;0),0,IF($A317=3,OFFSET(E317,-1,0)+1,OFFSET(E317,-1,0)))</f>
        <v>0</v>
      </c>
      <c r="F317">
        <f t="shared" ref="F317:F322" ca="1" si="290">IF(AND($A317&lt;=3,$A317&lt;&gt;0),0,IF($A317=4,OFFSET(F317,-1,0)+1,OFFSET(F317,-1,0)))</f>
        <v>0</v>
      </c>
      <c r="G317">
        <f t="shared" ref="G317:G322" ca="1" si="291">IF(AND($A317&lt;=4,$A317&lt;&gt;0),0,IF($A317="S",OFFSET(G317,-1,0)+1,OFFSET(G317,-1,0)))</f>
        <v>6</v>
      </c>
      <c r="H317">
        <f ca="1">IF(OR($A317="S",$A317=0),0,MATCH(0,OFFSET($B317,1,$A317,ROW($A$1504)-ROW($A317)),0))</f>
        <v>0</v>
      </c>
      <c r="I317">
        <f ca="1">IF(OR($A317="S",$A317=0),0,MATCH(OFFSET($B317,0,$A317)+1,OFFSET($B317,1,$A317,ROW($A$1504)-ROW($A317)),0))</f>
        <v>0</v>
      </c>
      <c r="J317" s="132" t="s">
        <v>29</v>
      </c>
      <c r="K317" s="121" t="str">
        <f t="shared" ref="K317:K322" ca="1" si="292">IF($A317=0,"-",CONCATENATE(C317&amp;".",IF(AND($A$5&gt;=2,$A317&gt;=2),D317&amp;".",""),IF(AND($A$5&gt;=3,$A317&gt;=3),E317&amp;".",""),IF(AND($A$5&gt;=4,$A317&gt;=4),F317&amp;".",""),IF($A317="S",G317&amp;".","")))</f>
        <v>4.6.6.</v>
      </c>
      <c r="L317" s="137" t="str">
        <f t="shared" ref="L317:L322" ca="1" si="293">IF(NOT(ISERROR($Y317)),IF($Y317&lt;&gt;FALSE,INDEX(Banco,$Y317,4),""),"")</f>
        <v>COREN</v>
      </c>
      <c r="M317" s="122" t="s">
        <v>80</v>
      </c>
      <c r="N317" s="139" t="s">
        <v>261</v>
      </c>
      <c r="O317" s="137" t="str">
        <f t="shared" ca="1" si="269"/>
        <v>Técnica de Enfermagem (Instrutor)</v>
      </c>
      <c r="P317" s="138" t="str">
        <f t="shared" ref="P317:P322" ca="1" si="294">IF(NOT(ISERROR($Y317)),IF($Y317&lt;&gt;FALSE,INDEX(Banco,$Y317,6),""),"")</f>
        <v>Horas</v>
      </c>
      <c r="Q317" s="134">
        <v>2</v>
      </c>
      <c r="R317" s="124">
        <f t="shared" ref="R317:R322" ca="1" si="295">IF(NOT(ISERROR($Y317)),IF($Y317&lt;&gt;FALSE,INDEX(Banco,$Y317,7),0),0)</f>
        <v>92.65</v>
      </c>
      <c r="S317" s="136" t="s">
        <v>62</v>
      </c>
      <c r="T317" s="123">
        <f t="shared" ref="T317:T322" ca="1" si="296">IF($J317=$G$2,ROUND(ROUND($R317,2)*IF($R$9="Preço Unitário (R$)",1,1+$AA317),2),0)</f>
        <v>115.81</v>
      </c>
      <c r="U317" s="126">
        <f t="shared" ref="U317:U322" ca="1" si="297">IF($A317="S",VTOTAL1,IF($A317=0,0,ROUND(SomaAgrup,2)))</f>
        <v>231.62</v>
      </c>
      <c r="V317" s="1"/>
      <c r="W317" s="39" t="str">
        <f ca="1">IF(OR($A317=0,$A317="S",$A317&gt;CFF!$A$9),"",MAX(W$11:OFFSET(W317,-1,0))+1)</f>
        <v/>
      </c>
      <c r="X317" s="4" t="str">
        <f t="shared" ref="X317:X322" si="298">IF(AND($J317=$G$2,$N317&lt;&gt;"",$M317&lt;&gt;""),CONCATENATE($M317,"-",$N317))</f>
        <v>Serv. Terc.-086</v>
      </c>
      <c r="Y317" s="39">
        <f t="shared" ref="Y317:Y338" ca="1" si="299">IF(X317&lt;&gt;FALSE,MATCH(X317,OFFSET(Banco,0,0,,1),0))</f>
        <v>166</v>
      </c>
      <c r="Z317" s="1"/>
      <c r="AA317" s="133">
        <f>IF($J317=$G$2,ROUND(IF(ISNUMBER(S317),S317,IF(LEFT(S317,2)="DI",HLOOKUP(S317,DADOS!$T$29:$X$30,2,FALSE),0)),4),"")</f>
        <v>0.25</v>
      </c>
      <c r="AB317" s="2"/>
    </row>
    <row r="318" spans="1:28">
      <c r="A318" t="str">
        <f t="shared" si="285"/>
        <v>S</v>
      </c>
      <c r="B318">
        <f t="shared" si="286"/>
        <v>0</v>
      </c>
      <c r="C318">
        <f t="shared" ca="1" si="287"/>
        <v>4</v>
      </c>
      <c r="D318">
        <f t="shared" ca="1" si="288"/>
        <v>6</v>
      </c>
      <c r="E318">
        <f t="shared" ca="1" si="289"/>
        <v>0</v>
      </c>
      <c r="F318">
        <f t="shared" ca="1" si="290"/>
        <v>0</v>
      </c>
      <c r="G318">
        <f t="shared" ca="1" si="291"/>
        <v>7</v>
      </c>
      <c r="H318">
        <f ca="1">IF(OR($A318="S",$A318=0),0,MATCH(0,OFFSET($B318,1,$A318,ROW($A$1504)-ROW($A318)),0))</f>
        <v>0</v>
      </c>
      <c r="I318">
        <f ca="1">IF(OR($A318="S",$A318=0),0,MATCH(OFFSET($B318,0,$A318)+1,OFFSET($B318,1,$A318,ROW($A$1504)-ROW($A318)),0))</f>
        <v>0</v>
      </c>
      <c r="J318" s="132" t="s">
        <v>29</v>
      </c>
      <c r="K318" s="121" t="str">
        <f t="shared" ca="1" si="292"/>
        <v>4.6.7.</v>
      </c>
      <c r="L318" s="137" t="str">
        <f t="shared" ca="1" si="293"/>
        <v>Cotação</v>
      </c>
      <c r="M318" s="122" t="s">
        <v>80</v>
      </c>
      <c r="N318" s="139" t="s">
        <v>256</v>
      </c>
      <c r="O318" s="137" t="str">
        <f ca="1">IF(NOT(ISERROR($Y318)),IF($Y318&lt;&gt;FALSE,INDEX(Banco,$Y318,5),""),"")</f>
        <v>Instrutor/Monitor (Educação Fisíca)</v>
      </c>
      <c r="P318" s="138" t="str">
        <f t="shared" ca="1" si="294"/>
        <v>Horas</v>
      </c>
      <c r="Q318" s="134">
        <v>2</v>
      </c>
      <c r="R318" s="124">
        <f t="shared" ca="1" si="295"/>
        <v>100</v>
      </c>
      <c r="S318" s="136" t="s">
        <v>62</v>
      </c>
      <c r="T318" s="123">
        <f t="shared" ca="1" si="296"/>
        <v>125</v>
      </c>
      <c r="U318" s="126">
        <f t="shared" ca="1" si="297"/>
        <v>250</v>
      </c>
      <c r="V318" s="1"/>
      <c r="W318" s="39" t="str">
        <f ca="1">IF(OR($A318=0,$A318="S",$A318&gt;CFF!$A$9),"",MAX(W$11:OFFSET(W318,-1,0))+1)</f>
        <v/>
      </c>
      <c r="X318" s="4" t="str">
        <f t="shared" si="298"/>
        <v>Serv. Terc.-017</v>
      </c>
      <c r="Y318" s="39">
        <f t="shared" ca="1" si="299"/>
        <v>97</v>
      </c>
      <c r="Z318" s="1"/>
      <c r="AA318" s="133">
        <f>IF($J318=$G$2,ROUND(IF(ISNUMBER(S318),S318,IF(LEFT(S318,2)="DI",HLOOKUP(S318,DADOS!$T$29:$X$30,2,FALSE),0)),4),"")</f>
        <v>0.25</v>
      </c>
      <c r="AB318" s="2"/>
    </row>
    <row r="319" spans="1:28">
      <c r="A319" t="str">
        <f t="shared" si="285"/>
        <v>S</v>
      </c>
      <c r="B319">
        <f t="shared" si="286"/>
        <v>0</v>
      </c>
      <c r="C319">
        <f t="shared" ca="1" si="287"/>
        <v>4</v>
      </c>
      <c r="D319">
        <f t="shared" ca="1" si="288"/>
        <v>6</v>
      </c>
      <c r="E319">
        <f t="shared" ca="1" si="289"/>
        <v>0</v>
      </c>
      <c r="F319">
        <f t="shared" ca="1" si="290"/>
        <v>0</v>
      </c>
      <c r="G319">
        <f t="shared" ca="1" si="291"/>
        <v>8</v>
      </c>
      <c r="H319">
        <f ca="1">IF(OR($A319="S",$A319=0),0,MATCH(0,OFFSET($B319,1,$A319,ROW($A$1504)-ROW($A319)),0))</f>
        <v>0</v>
      </c>
      <c r="I319">
        <f ca="1">IF(OR($A319="S",$A319=0),0,MATCH(OFFSET($B319,0,$A319)+1,OFFSET($B319,1,$A319,ROW($A$1504)-ROW($A319)),0))</f>
        <v>0</v>
      </c>
      <c r="J319" s="132" t="s">
        <v>29</v>
      </c>
      <c r="K319" s="121" t="str">
        <f t="shared" ca="1" si="292"/>
        <v>4.6.8.</v>
      </c>
      <c r="L319" s="137" t="str">
        <f t="shared" ca="1" si="293"/>
        <v>Cotação</v>
      </c>
      <c r="M319" s="122" t="s">
        <v>80</v>
      </c>
      <c r="N319" s="139" t="s">
        <v>294</v>
      </c>
      <c r="O319" s="137" t="str">
        <f ca="1">IF(NOT(ISERROR($Y319)),IF($Y319&lt;&gt;FALSE,INDEX(Banco,$Y319,5),""),"")</f>
        <v>KIT (massagem terapêutica)</v>
      </c>
      <c r="P319" s="138" t="str">
        <f t="shared" ca="1" si="294"/>
        <v>KIT</v>
      </c>
      <c r="Q319" s="134">
        <v>1</v>
      </c>
      <c r="R319" s="124">
        <f t="shared" ca="1" si="295"/>
        <v>102.94</v>
      </c>
      <c r="S319" s="136" t="s">
        <v>62</v>
      </c>
      <c r="T319" s="123">
        <f t="shared" ca="1" si="296"/>
        <v>128.68</v>
      </c>
      <c r="U319" s="126">
        <f t="shared" ca="1" si="297"/>
        <v>128.68</v>
      </c>
      <c r="V319" s="1"/>
      <c r="W319" s="39" t="str">
        <f ca="1">IF(OR($A319=0,$A319="S",$A319&gt;CFF!$A$9),"",MAX(W$11:OFFSET(W319,-1,0))+1)</f>
        <v/>
      </c>
      <c r="X319" s="4" t="str">
        <f t="shared" si="298"/>
        <v>Serv. Terc.-061</v>
      </c>
      <c r="Y319" s="39">
        <f t="shared" ca="1" si="299"/>
        <v>141</v>
      </c>
      <c r="Z319" s="1"/>
      <c r="AA319" s="133">
        <f>IF($J319=$G$2,ROUND(IF(ISNUMBER(S319),S319,IF(LEFT(S319,2)="DI",HLOOKUP(S319,DADOS!$T$29:$X$30,2,FALSE),0)),4),"")</f>
        <v>0.25</v>
      </c>
      <c r="AB319" s="2"/>
    </row>
    <row r="320" spans="1:28">
      <c r="A320">
        <f>CHOOSE(1+LOG(1+2*(J320=$C$2)+4*(J320=$D$2)+8*(J320=$E$2)+16*(J320=$F$2)+32*(J320=$G$2),2),0,1,2,3,4,"S")</f>
        <v>2</v>
      </c>
      <c r="B320">
        <f ca="1">IF(OR(A320="S",A320=0),0,IF(ISERROR(I320),H320,SMALL(H320:I320,1)))</f>
        <v>3</v>
      </c>
      <c r="C320">
        <f ca="1">IF($A320=1,OFFSET(C320,-1,0)+1,OFFSET(C320,-1,0))</f>
        <v>4</v>
      </c>
      <c r="D320">
        <f ca="1">IF($A320=1,0,IF($A320=2,OFFSET(D320,-1,0)+1,OFFSET(D320,-1,0)))</f>
        <v>7</v>
      </c>
      <c r="E320">
        <f ca="1">IF(AND($A320&lt;=2,$A320&lt;&gt;0),0,IF($A320=3,OFFSET(E320,-1,0)+1,OFFSET(E320,-1,0)))</f>
        <v>0</v>
      </c>
      <c r="F320">
        <f ca="1">IF(AND($A320&lt;=3,$A320&lt;&gt;0),0,IF($A320=4,OFFSET(F320,-1,0)+1,OFFSET(F320,-1,0)))</f>
        <v>0</v>
      </c>
      <c r="G320">
        <f ca="1">IF(AND($A320&lt;=4,$A320&lt;&gt;0),0,IF($A320="S",OFFSET(G320,-1,0)+1,OFFSET(G320,-1,0)))</f>
        <v>0</v>
      </c>
      <c r="H320">
        <f ca="1">IF(OR($A320="S",$A320=0),0,MATCH(0,OFFSET($B320,1,$A320,ROW($A$1504)-ROW($A320)),0))</f>
        <v>18</v>
      </c>
      <c r="I320">
        <f ca="1">IF(OR($A320="S",$A320=0),0,MATCH(OFFSET($B320,0,$A320)+1,OFFSET($B320,1,$A320,ROW($A$1504)-ROW($A320)),0))</f>
        <v>3</v>
      </c>
      <c r="J320" s="132" t="s">
        <v>68</v>
      </c>
      <c r="K320" s="121" t="str">
        <f ca="1">IF($A320=0,"-",CONCATENATE(C320&amp;".",IF(AND($A$5&gt;=2,$A320&gt;=2),D320&amp;".",""),IF(AND($A$5&gt;=3,$A320&gt;=3),E320&amp;".",""),IF(AND($A$5&gt;=4,$A320&gt;=4),F320&amp;".",""),IF($A320="S",G320&amp;".","")))</f>
        <v>4.7.</v>
      </c>
      <c r="L320" s="137" t="str">
        <f ca="1">IF(NOT(ISERROR($Y320)),IF($Y320&lt;&gt;FALSE,INDEX(Banco,$Y320,4),""),"")</f>
        <v/>
      </c>
      <c r="M320" s="122"/>
      <c r="N320" s="139"/>
      <c r="O320" s="137" t="s">
        <v>367</v>
      </c>
      <c r="P320" s="138" t="str">
        <f ca="1">IF(NOT(ISERROR($Y320)),IF($Y320&lt;&gt;FALSE,INDEX(Banco,$Y320,6),""),"")</f>
        <v/>
      </c>
      <c r="Q320" s="134"/>
      <c r="R320" s="124">
        <f ca="1">IF(NOT(ISERROR($Y320)),IF($Y320&lt;&gt;FALSE,INDEX(Banco,$Y320,7),0),0)</f>
        <v>0</v>
      </c>
      <c r="S320" s="136" t="s">
        <v>62</v>
      </c>
      <c r="T320" s="123">
        <f>IF($J320=$G$2,ROUND(ROUND($R320,2)*IF($R$9="Preço Unitário (R$)",1,1+$AA320),2),0)</f>
        <v>0</v>
      </c>
      <c r="U320" s="126">
        <f ca="1">IF($A320="S",VTOTAL1,IF($A320=0,0,ROUND(SomaAgrup,2)))</f>
        <v>1713.78</v>
      </c>
      <c r="V320" s="1"/>
      <c r="W320" s="39">
        <f ca="1">IF(OR($A320=0,$A320="S",$A320&gt;CFF!$A$9),"",MAX(W$11:OFFSET(W320,-1,0))+1)</f>
        <v>24</v>
      </c>
      <c r="X320" s="4" t="b">
        <f>IF(AND($J320=$G$2,$N320&lt;&gt;"",$M320&lt;&gt;""),CONCATENATE($M320,"-",$N320))</f>
        <v>0</v>
      </c>
      <c r="Y320" s="39" t="b">
        <f ca="1">IF(X320&lt;&gt;FALSE,MATCH(X320,OFFSET(Banco,0,0,,1),0))</f>
        <v>0</v>
      </c>
      <c r="Z320" s="1"/>
      <c r="AA320" s="133" t="str">
        <f>IF($J320=$G$2,ROUND(IF(ISNUMBER(S320),S320,IF(LEFT(S320,2)="DI",HLOOKUP(S320,DADOS!$T$29:$X$30,2,FALSE),0)),4),"")</f>
        <v/>
      </c>
      <c r="AB320" s="2"/>
    </row>
    <row r="321" spans="1:28">
      <c r="A321" t="str">
        <f t="shared" si="285"/>
        <v>S</v>
      </c>
      <c r="B321">
        <f t="shared" si="286"/>
        <v>0</v>
      </c>
      <c r="C321">
        <f t="shared" ca="1" si="287"/>
        <v>4</v>
      </c>
      <c r="D321">
        <f t="shared" ca="1" si="288"/>
        <v>7</v>
      </c>
      <c r="E321">
        <f t="shared" ca="1" si="289"/>
        <v>0</v>
      </c>
      <c r="F321">
        <f t="shared" ca="1" si="290"/>
        <v>0</v>
      </c>
      <c r="G321">
        <f t="shared" ca="1" si="291"/>
        <v>1</v>
      </c>
      <c r="H321">
        <f ca="1">IF(OR($A321="S",$A321=0),0,MATCH(0,OFFSET($B321,1,$A321,ROW($A$1504)-ROW($A321)),0))</f>
        <v>0</v>
      </c>
      <c r="I321">
        <f ca="1">IF(OR($A321="S",$A321=0),0,MATCH(OFFSET($B321,0,$A321)+1,OFFSET($B321,1,$A321,ROW($A$1504)-ROW($A321)),0))</f>
        <v>0</v>
      </c>
      <c r="J321" s="132" t="s">
        <v>29</v>
      </c>
      <c r="K321" s="121" t="str">
        <f t="shared" ca="1" si="292"/>
        <v>4.7.1.</v>
      </c>
      <c r="L321" s="137" t="str">
        <f t="shared" ca="1" si="293"/>
        <v>CRESS</v>
      </c>
      <c r="M321" s="122" t="s">
        <v>78</v>
      </c>
      <c r="N321" s="139" t="s">
        <v>149</v>
      </c>
      <c r="O321" s="137" t="str">
        <f ca="1">IF(NOT(ISERROR($Y321)),IF($Y321&lt;&gt;FALSE,INDEX(Banco,$Y321,5),""),"")</f>
        <v>Responsável Técnica</v>
      </c>
      <c r="P321" s="138" t="str">
        <f t="shared" ca="1" si="294"/>
        <v>Horas</v>
      </c>
      <c r="Q321" s="134">
        <v>2</v>
      </c>
      <c r="R321" s="124">
        <f t="shared" ca="1" si="295"/>
        <v>150.28</v>
      </c>
      <c r="S321" s="136" t="s">
        <v>62</v>
      </c>
      <c r="T321" s="123">
        <f t="shared" ca="1" si="296"/>
        <v>187.85</v>
      </c>
      <c r="U321" s="126">
        <f t="shared" ca="1" si="297"/>
        <v>375.7</v>
      </c>
      <c r="V321" s="1"/>
      <c r="W321" s="39" t="str">
        <f ca="1">IF(OR($A321=0,$A321="S",$A321&gt;CFF!$A$9),"",MAX(W$11:OFFSET(W321,-1,0))+1)</f>
        <v/>
      </c>
      <c r="X321" s="4" t="str">
        <f t="shared" si="298"/>
        <v>Rec. Humanos-001</v>
      </c>
      <c r="Y321" s="39">
        <f t="shared" ca="1" si="299"/>
        <v>3</v>
      </c>
      <c r="Z321" s="1"/>
      <c r="AA321" s="133">
        <f>IF($J321=$G$2,ROUND(IF(ISNUMBER(S321),S321,IF(LEFT(S321,2)="DI",HLOOKUP(S321,DADOS!$T$29:$X$30,2,FALSE),0)),4),"")</f>
        <v>0.25</v>
      </c>
      <c r="AB321" s="2"/>
    </row>
    <row r="322" spans="1:28">
      <c r="A322" t="str">
        <f t="shared" si="285"/>
        <v>S</v>
      </c>
      <c r="B322">
        <f t="shared" si="286"/>
        <v>0</v>
      </c>
      <c r="C322">
        <f t="shared" ca="1" si="287"/>
        <v>4</v>
      </c>
      <c r="D322">
        <f t="shared" ca="1" si="288"/>
        <v>7</v>
      </c>
      <c r="E322">
        <f t="shared" ca="1" si="289"/>
        <v>0</v>
      </c>
      <c r="F322">
        <f t="shared" ca="1" si="290"/>
        <v>0</v>
      </c>
      <c r="G322">
        <f t="shared" ca="1" si="291"/>
        <v>2</v>
      </c>
      <c r="H322">
        <f ca="1">IF(OR($A322="S",$A322=0),0,MATCH(0,OFFSET($B322,1,$A322,ROW($A$1504)-ROW($A322)),0))</f>
        <v>0</v>
      </c>
      <c r="I322">
        <f ca="1">IF(OR($A322="S",$A322=0),0,MATCH(OFFSET($B322,0,$A322)+1,OFFSET($B322,1,$A322,ROW($A$1504)-ROW($A322)),0))</f>
        <v>0</v>
      </c>
      <c r="J322" s="132" t="s">
        <v>29</v>
      </c>
      <c r="K322" s="121" t="str">
        <f t="shared" ca="1" si="292"/>
        <v>4.7.2.</v>
      </c>
      <c r="L322" s="137" t="str">
        <f t="shared" ca="1" si="293"/>
        <v>CRESS</v>
      </c>
      <c r="M322" s="122" t="s">
        <v>78</v>
      </c>
      <c r="N322" s="139" t="s">
        <v>152</v>
      </c>
      <c r="O322" s="137" t="str">
        <f ca="1">IF(NOT(ISERROR($Y322)),IF($Y322&lt;&gt;FALSE,INDEX(Banco,$Y322,5),""),"")</f>
        <v>Assistente Social</v>
      </c>
      <c r="P322" s="138" t="str">
        <f t="shared" ca="1" si="294"/>
        <v>Horas</v>
      </c>
      <c r="Q322" s="134">
        <v>8</v>
      </c>
      <c r="R322" s="124">
        <f t="shared" ca="1" si="295"/>
        <v>133.81</v>
      </c>
      <c r="S322" s="136" t="s">
        <v>62</v>
      </c>
      <c r="T322" s="123">
        <f t="shared" ca="1" si="296"/>
        <v>167.26</v>
      </c>
      <c r="U322" s="126">
        <f t="shared" ca="1" si="297"/>
        <v>1338.08</v>
      </c>
      <c r="V322" s="1"/>
      <c r="W322" s="39" t="str">
        <f ca="1">IF(OR($A322=0,$A322="S",$A322&gt;CFF!$A$9),"",MAX(W$11:OFFSET(W322,-1,0))+1)</f>
        <v/>
      </c>
      <c r="X322" s="4" t="str">
        <f t="shared" si="298"/>
        <v>Rec. Humanos-002</v>
      </c>
      <c r="Y322" s="39">
        <f t="shared" ca="1" si="299"/>
        <v>4</v>
      </c>
      <c r="Z322" s="1"/>
      <c r="AA322" s="133">
        <f>IF($J322=$G$2,ROUND(IF(ISNUMBER(S322),S322,IF(LEFT(S322,2)="DI",HLOOKUP(S322,DADOS!$T$29:$X$30,2,FALSE),0)),4),"")</f>
        <v>0.25</v>
      </c>
      <c r="AB322" s="2"/>
    </row>
    <row r="323" spans="1:28" ht="25.5">
      <c r="A323">
        <f>CHOOSE(1+LOG(1+2*(J323=$C$2)+4*(J323=$D$2)+8*(J323=$E$2)+16*(J323=$F$2)+32*(J323=$G$2),2),0,1,2,3,4,"S")</f>
        <v>2</v>
      </c>
      <c r="B323">
        <f ca="1">IF(OR(A323="S",A323=0),0,IF(ISERROR(I323),H323,SMALL(H323:I323,1)))</f>
        <v>4</v>
      </c>
      <c r="C323">
        <f ca="1">IF($A323=1,OFFSET(C323,-1,0)+1,OFFSET(C323,-1,0))</f>
        <v>4</v>
      </c>
      <c r="D323">
        <f ca="1">IF($A323=1,0,IF($A323=2,OFFSET(D323,-1,0)+1,OFFSET(D323,-1,0)))</f>
        <v>8</v>
      </c>
      <c r="E323">
        <f ca="1">IF(AND($A323&lt;=2,$A323&lt;&gt;0),0,IF($A323=3,OFFSET(E323,-1,0)+1,OFFSET(E323,-1,0)))</f>
        <v>0</v>
      </c>
      <c r="F323">
        <f ca="1">IF(AND($A323&lt;=3,$A323&lt;&gt;0),0,IF($A323=4,OFFSET(F323,-1,0)+1,OFFSET(F323,-1,0)))</f>
        <v>0</v>
      </c>
      <c r="G323">
        <f ca="1">IF(AND($A323&lt;=4,$A323&lt;&gt;0),0,IF($A323="S",OFFSET(G323,-1,0)+1,OFFSET(G323,-1,0)))</f>
        <v>0</v>
      </c>
      <c r="H323">
        <f ca="1">IF(OR($A323="S",$A323=0),0,MATCH(0,OFFSET($B323,1,$A323,ROW($A$1504)-ROW($A323)),0))</f>
        <v>15</v>
      </c>
      <c r="I323">
        <f ca="1">IF(OR($A323="S",$A323=0),0,MATCH(OFFSET($B323,0,$A323)+1,OFFSET($B323,1,$A323,ROW($A$1504)-ROW($A323)),0))</f>
        <v>4</v>
      </c>
      <c r="J323" s="132" t="s">
        <v>68</v>
      </c>
      <c r="K323" s="121" t="str">
        <f ca="1">IF($A323=0,"-",CONCATENATE(C323&amp;".",IF(AND($A$5&gt;=2,$A323&gt;=2),D323&amp;".",""),IF(AND($A$5&gt;=3,$A323&gt;=3),E323&amp;".",""),IF(AND($A$5&gt;=4,$A323&gt;=4),F323&amp;".",""),IF($A323="S",G323&amp;".","")))</f>
        <v>4.8.</v>
      </c>
      <c r="L323" s="137" t="str">
        <f ca="1">IF(NOT(ISERROR($Y323)),IF($Y323&lt;&gt;FALSE,INDEX(Banco,$Y323,4),""),"")</f>
        <v/>
      </c>
      <c r="M323" s="122"/>
      <c r="N323" s="139"/>
      <c r="O323" s="137" t="s">
        <v>368</v>
      </c>
      <c r="P323" s="138" t="str">
        <f ca="1">IF(NOT(ISERROR($Y323)),IF($Y323&lt;&gt;FALSE,INDEX(Banco,$Y323,6),""),"")</f>
        <v/>
      </c>
      <c r="Q323" s="134"/>
      <c r="R323" s="124">
        <f ca="1">IF(NOT(ISERROR($Y323)),IF($Y323&lt;&gt;FALSE,INDEX(Banco,$Y323,7),0),0)</f>
        <v>0</v>
      </c>
      <c r="S323" s="136" t="s">
        <v>62</v>
      </c>
      <c r="T323" s="123">
        <f>IF($J323=$G$2,ROUND(ROUND($R323,2)*IF($R$9="Preço Unitário (R$)",1,1+$AA323),2),0)</f>
        <v>0</v>
      </c>
      <c r="U323" s="126">
        <f ca="1">IF($A323="S",VTOTAL1,IF($A323=0,0,ROUND(SomaAgrup,2)))</f>
        <v>1080.33</v>
      </c>
      <c r="V323" s="1"/>
      <c r="W323" s="39">
        <f ca="1">IF(OR($A323=0,$A323="S",$A323&gt;CFF!$A$9),"",MAX(W$11:OFFSET(W323,-1,0))+1)</f>
        <v>25</v>
      </c>
      <c r="X323" s="4" t="b">
        <f>IF(AND($J323=$G$2,$N323&lt;&gt;"",$M323&lt;&gt;""),CONCATENATE($M323,"-",$N323))</f>
        <v>0</v>
      </c>
      <c r="Y323" s="39" t="b">
        <f ca="1">IF(X323&lt;&gt;FALSE,MATCH(X323,OFFSET(Banco,0,0,,1),0))</f>
        <v>0</v>
      </c>
      <c r="Z323" s="1"/>
      <c r="AA323" s="133" t="str">
        <f>IF($J323=$G$2,ROUND(IF(ISNUMBER(S323),S323,IF(LEFT(S323,2)="DI",HLOOKUP(S323,DADOS!$T$29:$X$30,2,FALSE),0)),4),"")</f>
        <v/>
      </c>
      <c r="AB323" s="2"/>
    </row>
    <row r="324" spans="1:28">
      <c r="A324" t="str">
        <f t="shared" ref="A324:A326" si="300">CHOOSE(1+LOG(1+2*(J324=$C$2)+4*(J324=$D$2)+8*(J324=$E$2)+16*(J324=$F$2)+32*(J324=$G$2),2),0,1,2,3,4,"S")</f>
        <v>S</v>
      </c>
      <c r="B324">
        <f t="shared" ref="B324:B326" si="301">IF(OR(A324="S",A324=0),0,IF(ISERROR(I324),H324,SMALL(H324:I324,1)))</f>
        <v>0</v>
      </c>
      <c r="C324">
        <f t="shared" ref="C324:C326" ca="1" si="302">IF($A324=1,OFFSET(C324,-1,0)+1,OFFSET(C324,-1,0))</f>
        <v>4</v>
      </c>
      <c r="D324">
        <f t="shared" ref="D324:D326" ca="1" si="303">IF($A324=1,0,IF($A324=2,OFFSET(D324,-1,0)+1,OFFSET(D324,-1,0)))</f>
        <v>8</v>
      </c>
      <c r="E324">
        <f t="shared" ref="E324:E326" ca="1" si="304">IF(AND($A324&lt;=2,$A324&lt;&gt;0),0,IF($A324=3,OFFSET(E324,-1,0)+1,OFFSET(E324,-1,0)))</f>
        <v>0</v>
      </c>
      <c r="F324">
        <f t="shared" ref="F324:F326" ca="1" si="305">IF(AND($A324&lt;=3,$A324&lt;&gt;0),0,IF($A324=4,OFFSET(F324,-1,0)+1,OFFSET(F324,-1,0)))</f>
        <v>0</v>
      </c>
      <c r="G324">
        <f t="shared" ref="G324:G326" ca="1" si="306">IF(AND($A324&lt;=4,$A324&lt;&gt;0),0,IF($A324="S",OFFSET(G324,-1,0)+1,OFFSET(G324,-1,0)))</f>
        <v>1</v>
      </c>
      <c r="H324">
        <f ca="1">IF(OR($A324="S",$A324=0),0,MATCH(0,OFFSET($B324,1,$A324,ROW($A$1504)-ROW($A324)),0))</f>
        <v>0</v>
      </c>
      <c r="I324">
        <f ca="1">IF(OR($A324="S",$A324=0),0,MATCH(OFFSET($B324,0,$A324)+1,OFFSET($B324,1,$A324,ROW($A$1504)-ROW($A324)),0))</f>
        <v>0</v>
      </c>
      <c r="J324" s="132" t="s">
        <v>29</v>
      </c>
      <c r="K324" s="121" t="str">
        <f t="shared" ref="K324:K326" ca="1" si="307">IF($A324=0,"-",CONCATENATE(C324&amp;".",IF(AND($A$5&gt;=2,$A324&gt;=2),D324&amp;".",""),IF(AND($A$5&gt;=3,$A324&gt;=3),E324&amp;".",""),IF(AND($A$5&gt;=4,$A324&gt;=4),F324&amp;".",""),IF($A324="S",G324&amp;".","")))</f>
        <v>4.8.1.</v>
      </c>
      <c r="L324" s="137" t="str">
        <f t="shared" ref="L324:L326" ca="1" si="308">IF(NOT(ISERROR($Y324)),IF($Y324&lt;&gt;FALSE,INDEX(Banco,$Y324,4),""),"")</f>
        <v>CRESS</v>
      </c>
      <c r="M324" s="122" t="s">
        <v>78</v>
      </c>
      <c r="N324" s="139" t="s">
        <v>149</v>
      </c>
      <c r="O324" s="137" t="str">
        <f ca="1">IF(NOT(ISERROR($Y324)),IF($Y324&lt;&gt;FALSE,INDEX(Banco,$Y324,5),""),"")</f>
        <v>Responsável Técnica</v>
      </c>
      <c r="P324" s="138" t="str">
        <f t="shared" ref="P324:P326" ca="1" si="309">IF(NOT(ISERROR($Y324)),IF($Y324&lt;&gt;FALSE,INDEX(Banco,$Y324,6),""),"")</f>
        <v>Horas</v>
      </c>
      <c r="Q324" s="134">
        <v>3</v>
      </c>
      <c r="R324" s="124">
        <f t="shared" ref="R324:R326" ca="1" si="310">IF(NOT(ISERROR($Y324)),IF($Y324&lt;&gt;FALSE,INDEX(Banco,$Y324,7),0),0)</f>
        <v>150.28</v>
      </c>
      <c r="S324" s="136" t="s">
        <v>62</v>
      </c>
      <c r="T324" s="123">
        <f t="shared" ref="T324:T326" ca="1" si="311">IF($J324=$G$2,ROUND(ROUND($R324,2)*IF($R$9="Preço Unitário (R$)",1,1+$AA324),2),0)</f>
        <v>187.85</v>
      </c>
      <c r="U324" s="126">
        <f t="shared" ref="U324:U326" ca="1" si="312">IF($A324="S",VTOTAL1,IF($A324=0,0,ROUND(SomaAgrup,2)))</f>
        <v>563.54999999999995</v>
      </c>
      <c r="V324" s="1"/>
      <c r="W324" s="39" t="str">
        <f ca="1">IF(OR($A324=0,$A324="S",$A324&gt;CFF!$A$9),"",MAX(W$11:OFFSET(W324,-1,0))+1)</f>
        <v/>
      </c>
      <c r="X324" s="4" t="str">
        <f t="shared" ref="X324:X326" si="313">IF(AND($J324=$G$2,$N324&lt;&gt;"",$M324&lt;&gt;""),CONCATENATE($M324,"-",$N324))</f>
        <v>Rec. Humanos-001</v>
      </c>
      <c r="Y324" s="39">
        <f t="shared" ref="Y324:Y326" ca="1" si="314">IF(X324&lt;&gt;FALSE,MATCH(X324,OFFSET(Banco,0,0,,1),0))</f>
        <v>3</v>
      </c>
      <c r="Z324" s="1"/>
      <c r="AA324" s="133">
        <f>IF($J324=$G$2,ROUND(IF(ISNUMBER(S324),S324,IF(LEFT(S324,2)="DI",HLOOKUP(S324,DADOS!$T$29:$X$30,2,FALSE),0)),4),"")</f>
        <v>0.25</v>
      </c>
      <c r="AB324" s="2"/>
    </row>
    <row r="325" spans="1:28">
      <c r="A325" t="str">
        <f t="shared" si="300"/>
        <v>S</v>
      </c>
      <c r="B325">
        <f t="shared" si="301"/>
        <v>0</v>
      </c>
      <c r="C325">
        <f t="shared" ca="1" si="302"/>
        <v>4</v>
      </c>
      <c r="D325">
        <f t="shared" ca="1" si="303"/>
        <v>8</v>
      </c>
      <c r="E325">
        <f t="shared" ca="1" si="304"/>
        <v>0</v>
      </c>
      <c r="F325">
        <f t="shared" ca="1" si="305"/>
        <v>0</v>
      </c>
      <c r="G325">
        <f t="shared" ca="1" si="306"/>
        <v>2</v>
      </c>
      <c r="H325">
        <f ca="1">IF(OR($A325="S",$A325=0),0,MATCH(0,OFFSET($B325,1,$A325,ROW($A$1504)-ROW($A325)),0))</f>
        <v>0</v>
      </c>
      <c r="I325">
        <f ca="1">IF(OR($A325="S",$A325=0),0,MATCH(OFFSET($B325,0,$A325)+1,OFFSET($B325,1,$A325,ROW($A$1504)-ROW($A325)),0))</f>
        <v>0</v>
      </c>
      <c r="J325" s="132" t="s">
        <v>29</v>
      </c>
      <c r="K325" s="121" t="str">
        <f t="shared" ca="1" si="307"/>
        <v>4.8.2.</v>
      </c>
      <c r="L325" s="137" t="str">
        <f t="shared" ca="1" si="308"/>
        <v>CRESS</v>
      </c>
      <c r="M325" s="122" t="s">
        <v>78</v>
      </c>
      <c r="N325" s="139" t="s">
        <v>152</v>
      </c>
      <c r="O325" s="137" t="str">
        <f ca="1">IF(NOT(ISERROR($Y325)),IF($Y325&lt;&gt;FALSE,INDEX(Banco,$Y325,5),""),"")</f>
        <v>Assistente Social</v>
      </c>
      <c r="P325" s="138" t="str">
        <f t="shared" ca="1" si="309"/>
        <v>Horas</v>
      </c>
      <c r="Q325" s="134">
        <v>3</v>
      </c>
      <c r="R325" s="124">
        <f t="shared" ca="1" si="310"/>
        <v>133.81</v>
      </c>
      <c r="S325" s="136" t="s">
        <v>62</v>
      </c>
      <c r="T325" s="123">
        <f t="shared" ca="1" si="311"/>
        <v>167.26</v>
      </c>
      <c r="U325" s="126">
        <f t="shared" ca="1" si="312"/>
        <v>501.78</v>
      </c>
      <c r="V325" s="1"/>
      <c r="W325" s="39" t="str">
        <f ca="1">IF(OR($A325=0,$A325="S",$A325&gt;CFF!$A$9),"",MAX(W$11:OFFSET(W325,-1,0))+1)</f>
        <v/>
      </c>
      <c r="X325" s="4" t="str">
        <f t="shared" si="313"/>
        <v>Rec. Humanos-002</v>
      </c>
      <c r="Y325" s="39">
        <f t="shared" ca="1" si="314"/>
        <v>4</v>
      </c>
      <c r="Z325" s="1"/>
      <c r="AA325" s="133">
        <f>IF($J325=$G$2,ROUND(IF(ISNUMBER(S325),S325,IF(LEFT(S325,2)="DI",HLOOKUP(S325,DADOS!$T$29:$X$30,2,FALSE),0)),4),"")</f>
        <v>0.25</v>
      </c>
      <c r="AB325" s="2"/>
    </row>
    <row r="326" spans="1:28">
      <c r="A326" t="str">
        <f t="shared" si="300"/>
        <v>S</v>
      </c>
      <c r="B326">
        <f t="shared" si="301"/>
        <v>0</v>
      </c>
      <c r="C326">
        <f t="shared" ca="1" si="302"/>
        <v>4</v>
      </c>
      <c r="D326">
        <f t="shared" ca="1" si="303"/>
        <v>8</v>
      </c>
      <c r="E326">
        <f t="shared" ca="1" si="304"/>
        <v>0</v>
      </c>
      <c r="F326">
        <f t="shared" ca="1" si="305"/>
        <v>0</v>
      </c>
      <c r="G326">
        <f t="shared" ca="1" si="306"/>
        <v>3</v>
      </c>
      <c r="H326">
        <f ca="1">IF(OR($A326="S",$A326=0),0,MATCH(0,OFFSET($B326,1,$A326,ROW($A$1504)-ROW($A326)),0))</f>
        <v>0</v>
      </c>
      <c r="I326">
        <f ca="1">IF(OR($A326="S",$A326=0),0,MATCH(OFFSET($B326,0,$A326)+1,OFFSET($B326,1,$A326,ROW($A$1504)-ROW($A326)),0))</f>
        <v>0</v>
      </c>
      <c r="J326" s="132" t="s">
        <v>29</v>
      </c>
      <c r="K326" s="121" t="str">
        <f t="shared" ca="1" si="307"/>
        <v>4.8.3.</v>
      </c>
      <c r="L326" s="137" t="str">
        <f t="shared" ca="1" si="308"/>
        <v>Cotação</v>
      </c>
      <c r="M326" s="122" t="s">
        <v>80</v>
      </c>
      <c r="N326" s="139" t="s">
        <v>158</v>
      </c>
      <c r="O326" s="137" t="str">
        <f ca="1">IF(NOT(ISERROR($Y326)),IF($Y326&lt;&gt;FALSE,INDEX(Banco,$Y326,5),""),"")</f>
        <v>Água (garrafa de 1,5 litros)</v>
      </c>
      <c r="P326" s="138" t="str">
        <f t="shared" ca="1" si="309"/>
        <v>Unidade</v>
      </c>
      <c r="Q326" s="134">
        <v>3</v>
      </c>
      <c r="R326" s="124">
        <f t="shared" ca="1" si="310"/>
        <v>4</v>
      </c>
      <c r="S326" s="136" t="s">
        <v>62</v>
      </c>
      <c r="T326" s="123">
        <f t="shared" ca="1" si="311"/>
        <v>5</v>
      </c>
      <c r="U326" s="126">
        <f t="shared" ca="1" si="312"/>
        <v>15</v>
      </c>
      <c r="V326" s="1"/>
      <c r="W326" s="39" t="str">
        <f ca="1">IF(OR($A326=0,$A326="S",$A326&gt;CFF!$A$9),"",MAX(W$11:OFFSET(W326,-1,0))+1)</f>
        <v/>
      </c>
      <c r="X326" s="4" t="str">
        <f t="shared" si="313"/>
        <v>Serv. Terc.-009</v>
      </c>
      <c r="Y326" s="39">
        <f t="shared" ca="1" si="314"/>
        <v>89</v>
      </c>
      <c r="Z326" s="1"/>
      <c r="AA326" s="133">
        <f>IF($J326=$G$2,ROUND(IF(ISNUMBER(S326),S326,IF(LEFT(S326,2)="DI",HLOOKUP(S326,DADOS!$T$29:$X$30,2,FALSE),0)),4),"")</f>
        <v>0.25</v>
      </c>
      <c r="AB326" s="2"/>
    </row>
    <row r="327" spans="1:28">
      <c r="A327">
        <f>CHOOSE(1+LOG(1+2*(J327=$C$2)+4*(J327=$D$2)+8*(J327=$E$2)+16*(J327=$F$2)+32*(J327=$G$2),2),0,1,2,3,4,"S")</f>
        <v>2</v>
      </c>
      <c r="B327">
        <f ca="1">IF(OR(A327="S",A327=0),0,IF(ISERROR(I327),H327,SMALL(H327:I327,1)))</f>
        <v>11</v>
      </c>
      <c r="C327">
        <f ca="1">IF($A327=1,OFFSET(C327,-1,0)+1,OFFSET(C327,-1,0))</f>
        <v>4</v>
      </c>
      <c r="D327">
        <f ca="1">IF($A327=1,0,IF($A327=2,OFFSET(D327,-1,0)+1,OFFSET(D327,-1,0)))</f>
        <v>9</v>
      </c>
      <c r="E327">
        <f ca="1">IF(AND($A327&lt;=2,$A327&lt;&gt;0),0,IF($A327=3,OFFSET(E327,-1,0)+1,OFFSET(E327,-1,0)))</f>
        <v>0</v>
      </c>
      <c r="F327">
        <f ca="1">IF(AND($A327&lt;=3,$A327&lt;&gt;0),0,IF($A327=4,OFFSET(F327,-1,0)+1,OFFSET(F327,-1,0)))</f>
        <v>0</v>
      </c>
      <c r="G327">
        <f ca="1">IF(AND($A327&lt;=4,$A327&lt;&gt;0),0,IF($A327="S",OFFSET(G327,-1,0)+1,OFFSET(G327,-1,0)))</f>
        <v>0</v>
      </c>
      <c r="H327">
        <f ca="1">IF(OR($A327="S",$A327=0),0,MATCH(0,OFFSET($B327,1,$A327,ROW($A$1504)-ROW($A327)),0))</f>
        <v>11</v>
      </c>
      <c r="I327">
        <f ca="1">IF(OR($A327="S",$A327=0),0,MATCH(OFFSET($B327,0,$A327)+1,OFFSET($B327,1,$A327,ROW($A$1504)-ROW($A327)),0))</f>
        <v>295</v>
      </c>
      <c r="J327" s="132" t="s">
        <v>68</v>
      </c>
      <c r="K327" s="121" t="str">
        <f ca="1">IF($A327=0,"-",CONCATENATE(C327&amp;".",IF(AND($A$5&gt;=2,$A327&gt;=2),D327&amp;".",""),IF(AND($A$5&gt;=3,$A327&gt;=3),E327&amp;".",""),IF(AND($A$5&gt;=4,$A327&gt;=4),F327&amp;".",""),IF($A327="S",G327&amp;".","")))</f>
        <v>4.9.</v>
      </c>
      <c r="L327" s="137" t="str">
        <f ca="1">IF(NOT(ISERROR($Y327)),IF($Y327&lt;&gt;FALSE,INDEX(Banco,$Y327,4),""),"")</f>
        <v/>
      </c>
      <c r="M327" s="122"/>
      <c r="N327" s="139"/>
      <c r="O327" s="137" t="s">
        <v>369</v>
      </c>
      <c r="P327" s="138" t="str">
        <f ca="1">IF(NOT(ISERROR($Y327)),IF($Y327&lt;&gt;FALSE,INDEX(Banco,$Y327,6),""),"")</f>
        <v/>
      </c>
      <c r="Q327" s="134"/>
      <c r="R327" s="124">
        <f ca="1">IF(NOT(ISERROR($Y327)),IF($Y327&lt;&gt;FALSE,INDEX(Banco,$Y327,7),0),0)</f>
        <v>0</v>
      </c>
      <c r="S327" s="136" t="s">
        <v>62</v>
      </c>
      <c r="T327" s="123">
        <f>IF($J327=$G$2,ROUND(ROUND($R327,2)*IF($R$9="Preço Unitário (R$)",1,1+$AA327),2),0)</f>
        <v>0</v>
      </c>
      <c r="U327" s="126">
        <f ca="1">IF($A327="S",VTOTAL1,IF($A327=0,0,ROUND(SomaAgrup,2)))</f>
        <v>2688.84</v>
      </c>
      <c r="V327" s="1"/>
      <c r="W327" s="39">
        <f ca="1">IF(OR($A327=0,$A327="S",$A327&gt;CFF!$A$9),"",MAX(W$11:OFFSET(W327,-1,0))+1)</f>
        <v>26</v>
      </c>
      <c r="X327" s="4" t="b">
        <f>IF(AND($J327=$G$2,$N327&lt;&gt;"",$M327&lt;&gt;""),CONCATENATE($M327,"-",$N327))</f>
        <v>0</v>
      </c>
      <c r="Y327" s="39" t="b">
        <f ca="1">IF(X327&lt;&gt;FALSE,MATCH(X327,OFFSET(Banco,0,0,,1),0))</f>
        <v>0</v>
      </c>
      <c r="Z327" s="1"/>
      <c r="AA327" s="133" t="str">
        <f>IF($J327=$G$2,ROUND(IF(ISNUMBER(S327),S327,IF(LEFT(S327,2)="DI",HLOOKUP(S327,DADOS!$T$29:$X$30,2,FALSE),0)),4),"")</f>
        <v/>
      </c>
      <c r="AB327" s="2"/>
    </row>
    <row r="328" spans="1:28">
      <c r="A328" t="str">
        <f t="shared" si="285"/>
        <v>S</v>
      </c>
      <c r="B328">
        <f t="shared" si="286"/>
        <v>0</v>
      </c>
      <c r="C328">
        <f t="shared" ref="C328:C337" ca="1" si="315">IF($A328=1,OFFSET(C328,-1,0)+1,OFFSET(C328,-1,0))</f>
        <v>4</v>
      </c>
      <c r="D328">
        <f t="shared" ref="D328:D337" ca="1" si="316">IF($A328=1,0,IF($A328=2,OFFSET(D328,-1,0)+1,OFFSET(D328,-1,0)))</f>
        <v>9</v>
      </c>
      <c r="E328">
        <f t="shared" ref="E328:E337" ca="1" si="317">IF(AND($A328&lt;=2,$A328&lt;&gt;0),0,IF($A328=3,OFFSET(E328,-1,0)+1,OFFSET(E328,-1,0)))</f>
        <v>0</v>
      </c>
      <c r="F328">
        <f t="shared" ref="F328:F337" ca="1" si="318">IF(AND($A328&lt;=3,$A328&lt;&gt;0),0,IF($A328=4,OFFSET(F328,-1,0)+1,OFFSET(F328,-1,0)))</f>
        <v>0</v>
      </c>
      <c r="G328">
        <f t="shared" ref="G328:G337" ca="1" si="319">IF(AND($A328&lt;=4,$A328&lt;&gt;0),0,IF($A328="S",OFFSET(G328,-1,0)+1,OFFSET(G328,-1,0)))</f>
        <v>1</v>
      </c>
      <c r="H328">
        <f ca="1">IF(OR($A328="S",$A328=0),0,MATCH(0,OFFSET($B328,1,$A328,ROW($A$1504)-ROW($A328)),0))</f>
        <v>0</v>
      </c>
      <c r="I328">
        <f ca="1">IF(OR($A328="S",$A328=0),0,MATCH(OFFSET($B328,0,$A328)+1,OFFSET($B328,1,$A328,ROW($A$1504)-ROW($A328)),0))</f>
        <v>0</v>
      </c>
      <c r="J328" s="132" t="s">
        <v>29</v>
      </c>
      <c r="K328" s="121" t="str">
        <f t="shared" ref="K328:K337" ca="1" si="320">IF($A328=0,"-",CONCATENATE(C328&amp;".",IF(AND($A$5&gt;=2,$A328&gt;=2),D328&amp;".",""),IF(AND($A$5&gt;=3,$A328&gt;=3),E328&amp;".",""),IF(AND($A$5&gt;=4,$A328&gt;=4),F328&amp;".",""),IF($A328="S",G328&amp;".","")))</f>
        <v>4.9.1.</v>
      </c>
      <c r="L328" s="137" t="str">
        <f t="shared" ref="L328:L337" ca="1" si="321">IF(NOT(ISERROR($Y328)),IF($Y328&lt;&gt;FALSE,INDEX(Banco,$Y328,4),""),"")</f>
        <v>CRESS</v>
      </c>
      <c r="M328" s="122" t="s">
        <v>78</v>
      </c>
      <c r="N328" s="139" t="s">
        <v>149</v>
      </c>
      <c r="O328" s="137" t="str">
        <f t="shared" ref="O328:O337" ca="1" si="322">IF(NOT(ISERROR($Y328)),IF($Y328&lt;&gt;FALSE,INDEX(Banco,$Y328,5),""),"")</f>
        <v>Responsável Técnica</v>
      </c>
      <c r="P328" s="138" t="str">
        <f t="shared" ref="P328:P337" ca="1" si="323">IF(NOT(ISERROR($Y328)),IF($Y328&lt;&gt;FALSE,INDEX(Banco,$Y328,6),""),"")</f>
        <v>Horas</v>
      </c>
      <c r="Q328" s="134">
        <v>3</v>
      </c>
      <c r="R328" s="124">
        <f t="shared" ref="R328:R337" ca="1" si="324">IF(NOT(ISERROR($Y328)),IF($Y328&lt;&gt;FALSE,INDEX(Banco,$Y328,7),0),0)</f>
        <v>150.28</v>
      </c>
      <c r="S328" s="136" t="s">
        <v>62</v>
      </c>
      <c r="T328" s="123">
        <f t="shared" ref="T328:T337" ca="1" si="325">IF($J328=$G$2,ROUND(ROUND($R328,2)*IF($R$9="Preço Unitário (R$)",1,1+$AA328),2),0)</f>
        <v>187.85</v>
      </c>
      <c r="U328" s="126">
        <f t="shared" ref="U328:U337" ca="1" si="326">IF($A328="S",VTOTAL1,IF($A328=0,0,ROUND(SomaAgrup,2)))</f>
        <v>563.54999999999995</v>
      </c>
      <c r="V328" s="1"/>
      <c r="W328" s="39" t="str">
        <f ca="1">IF(OR($A328=0,$A328="S",$A328&gt;CFF!$A$9),"",MAX(W$11:OFFSET(W328,-1,0))+1)</f>
        <v/>
      </c>
      <c r="X328" s="4" t="str">
        <f t="shared" ref="X328:X337" si="327">IF(AND($J328=$G$2,$N328&lt;&gt;"",$M328&lt;&gt;""),CONCATENATE($M328,"-",$N328))</f>
        <v>Rec. Humanos-001</v>
      </c>
      <c r="Y328" s="39">
        <f t="shared" ca="1" si="299"/>
        <v>3</v>
      </c>
      <c r="Z328" s="1"/>
      <c r="AA328" s="133">
        <f>IF($J328=$G$2,ROUND(IF(ISNUMBER(S328),S328,IF(LEFT(S328,2)="DI",HLOOKUP(S328,DADOS!$T$29:$X$30,2,FALSE),0)),4),"")</f>
        <v>0.25</v>
      </c>
      <c r="AB328" s="2"/>
    </row>
    <row r="329" spans="1:28">
      <c r="A329" t="str">
        <f t="shared" si="285"/>
        <v>S</v>
      </c>
      <c r="B329">
        <f t="shared" si="286"/>
        <v>0</v>
      </c>
      <c r="C329">
        <f t="shared" ca="1" si="315"/>
        <v>4</v>
      </c>
      <c r="D329">
        <f t="shared" ca="1" si="316"/>
        <v>9</v>
      </c>
      <c r="E329">
        <f t="shared" ca="1" si="317"/>
        <v>0</v>
      </c>
      <c r="F329">
        <f t="shared" ca="1" si="318"/>
        <v>0</v>
      </c>
      <c r="G329">
        <f t="shared" ca="1" si="319"/>
        <v>2</v>
      </c>
      <c r="H329">
        <f ca="1">IF(OR($A329="S",$A329=0),0,MATCH(0,OFFSET($B329,1,$A329,ROW($A$1504)-ROW($A329)),0))</f>
        <v>0</v>
      </c>
      <c r="I329">
        <f ca="1">IF(OR($A329="S",$A329=0),0,MATCH(OFFSET($B329,0,$A329)+1,OFFSET($B329,1,$A329,ROW($A$1504)-ROW($A329)),0))</f>
        <v>0</v>
      </c>
      <c r="J329" s="132" t="s">
        <v>29</v>
      </c>
      <c r="K329" s="121" t="str">
        <f t="shared" ca="1" si="320"/>
        <v>4.9.2.</v>
      </c>
      <c r="L329" s="137" t="str">
        <f t="shared" ca="1" si="321"/>
        <v>CRESS</v>
      </c>
      <c r="M329" s="122" t="s">
        <v>78</v>
      </c>
      <c r="N329" s="139" t="s">
        <v>152</v>
      </c>
      <c r="O329" s="137" t="str">
        <f t="shared" ca="1" si="322"/>
        <v>Assistente Social</v>
      </c>
      <c r="P329" s="138" t="str">
        <f t="shared" ca="1" si="323"/>
        <v>Horas</v>
      </c>
      <c r="Q329" s="134">
        <v>2</v>
      </c>
      <c r="R329" s="124">
        <f t="shared" ca="1" si="324"/>
        <v>133.81</v>
      </c>
      <c r="S329" s="136" t="s">
        <v>62</v>
      </c>
      <c r="T329" s="123">
        <f t="shared" ca="1" si="325"/>
        <v>167.26</v>
      </c>
      <c r="U329" s="126">
        <f t="shared" ca="1" si="326"/>
        <v>334.52</v>
      </c>
      <c r="V329" s="1"/>
      <c r="W329" s="39" t="str">
        <f ca="1">IF(OR($A329=0,$A329="S",$A329&gt;CFF!$A$9),"",MAX(W$11:OFFSET(W329,-1,0))+1)</f>
        <v/>
      </c>
      <c r="X329" s="4" t="str">
        <f t="shared" si="327"/>
        <v>Rec. Humanos-002</v>
      </c>
      <c r="Y329" s="39">
        <f t="shared" ca="1" si="299"/>
        <v>4</v>
      </c>
      <c r="Z329" s="1"/>
      <c r="AA329" s="133">
        <f>IF($J329=$G$2,ROUND(IF(ISNUMBER(S329),S329,IF(LEFT(S329,2)="DI",HLOOKUP(S329,DADOS!$T$29:$X$30,2,FALSE),0)),4),"")</f>
        <v>0.25</v>
      </c>
      <c r="AB329" s="2"/>
    </row>
    <row r="330" spans="1:28">
      <c r="A330" t="str">
        <f t="shared" si="285"/>
        <v>S</v>
      </c>
      <c r="B330">
        <f t="shared" si="286"/>
        <v>0</v>
      </c>
      <c r="C330">
        <f t="shared" ca="1" si="315"/>
        <v>4</v>
      </c>
      <c r="D330">
        <f t="shared" ca="1" si="316"/>
        <v>9</v>
      </c>
      <c r="E330">
        <f t="shared" ca="1" si="317"/>
        <v>0</v>
      </c>
      <c r="F330">
        <f t="shared" ca="1" si="318"/>
        <v>0</v>
      </c>
      <c r="G330">
        <f t="shared" ca="1" si="319"/>
        <v>3</v>
      </c>
      <c r="H330">
        <f ca="1">IF(OR($A330="S",$A330=0),0,MATCH(0,OFFSET($B330,1,$A330,ROW($A$1504)-ROW($A330)),0))</f>
        <v>0</v>
      </c>
      <c r="I330">
        <f ca="1">IF(OR($A330="S",$A330=0),0,MATCH(OFFSET($B330,0,$A330)+1,OFFSET($B330,1,$A330,ROW($A$1504)-ROW($A330)),0))</f>
        <v>0</v>
      </c>
      <c r="J330" s="132" t="s">
        <v>29</v>
      </c>
      <c r="K330" s="121" t="str">
        <f t="shared" ca="1" si="320"/>
        <v>4.9.3.</v>
      </c>
      <c r="L330" s="137" t="str">
        <f t="shared" ca="1" si="321"/>
        <v>Cotação</v>
      </c>
      <c r="M330" s="122" t="s">
        <v>78</v>
      </c>
      <c r="N330" s="139" t="s">
        <v>151</v>
      </c>
      <c r="O330" s="137" t="str">
        <f t="shared" ca="1" si="322"/>
        <v xml:space="preserve">Administrador (Técnico de Apoio) </v>
      </c>
      <c r="P330" s="138" t="str">
        <f t="shared" ca="1" si="323"/>
        <v>Horas</v>
      </c>
      <c r="Q330" s="134">
        <v>2</v>
      </c>
      <c r="R330" s="124">
        <f t="shared" ca="1" si="324"/>
        <v>103.65</v>
      </c>
      <c r="S330" s="136" t="s">
        <v>62</v>
      </c>
      <c r="T330" s="123">
        <f t="shared" ca="1" si="325"/>
        <v>129.56</v>
      </c>
      <c r="U330" s="126">
        <f t="shared" ca="1" si="326"/>
        <v>259.12</v>
      </c>
      <c r="V330" s="1"/>
      <c r="W330" s="39" t="str">
        <f ca="1">IF(OR($A330=0,$A330="S",$A330&gt;CFF!$A$9),"",MAX(W$11:OFFSET(W330,-1,0))+1)</f>
        <v/>
      </c>
      <c r="X330" s="4" t="str">
        <f t="shared" si="327"/>
        <v>Rec. Humanos-003</v>
      </c>
      <c r="Y330" s="39">
        <f t="shared" ca="1" si="299"/>
        <v>5</v>
      </c>
      <c r="Z330" s="1"/>
      <c r="AA330" s="133">
        <f>IF($J330=$G$2,ROUND(IF(ISNUMBER(S330),S330,IF(LEFT(S330,2)="DI",HLOOKUP(S330,DADOS!$T$29:$X$30,2,FALSE),0)),4),"")</f>
        <v>0.25</v>
      </c>
      <c r="AB330" s="2"/>
    </row>
    <row r="331" spans="1:28">
      <c r="A331" t="str">
        <f t="shared" si="285"/>
        <v>S</v>
      </c>
      <c r="B331">
        <f t="shared" si="286"/>
        <v>0</v>
      </c>
      <c r="C331">
        <f t="shared" ca="1" si="315"/>
        <v>4</v>
      </c>
      <c r="D331">
        <f t="shared" ca="1" si="316"/>
        <v>9</v>
      </c>
      <c r="E331">
        <f t="shared" ca="1" si="317"/>
        <v>0</v>
      </c>
      <c r="F331">
        <f t="shared" ca="1" si="318"/>
        <v>0</v>
      </c>
      <c r="G331">
        <f t="shared" ca="1" si="319"/>
        <v>4</v>
      </c>
      <c r="H331">
        <f ca="1">IF(OR($A331="S",$A331=0),0,MATCH(0,OFFSET($B331,1,$A331,ROW($A$1504)-ROW($A331)),0))</f>
        <v>0</v>
      </c>
      <c r="I331">
        <f ca="1">IF(OR($A331="S",$A331=0),0,MATCH(OFFSET($B331,0,$A331)+1,OFFSET($B331,1,$A331,ROW($A$1504)-ROW($A331)),0))</f>
        <v>0</v>
      </c>
      <c r="J331" s="132" t="s">
        <v>29</v>
      </c>
      <c r="K331" s="121" t="str">
        <f t="shared" ca="1" si="320"/>
        <v>4.9.4.</v>
      </c>
      <c r="L331" s="137" t="str">
        <f t="shared" ca="1" si="321"/>
        <v xml:space="preserve">Cotação </v>
      </c>
      <c r="M331" s="122" t="s">
        <v>79</v>
      </c>
      <c r="N331" s="139" t="s">
        <v>255</v>
      </c>
      <c r="O331" s="137" t="str">
        <f t="shared" ca="1" si="322"/>
        <v>KIT 01 - Material oficina de limpeza (descrição nos orçamentos e PTS)</v>
      </c>
      <c r="P331" s="138" t="str">
        <f t="shared" ca="1" si="323"/>
        <v>Unidade</v>
      </c>
      <c r="Q331" s="134">
        <v>1</v>
      </c>
      <c r="R331" s="124">
        <f t="shared" ca="1" si="324"/>
        <v>200</v>
      </c>
      <c r="S331" s="136" t="s">
        <v>62</v>
      </c>
      <c r="T331" s="123">
        <f t="shared" ca="1" si="325"/>
        <v>250</v>
      </c>
      <c r="U331" s="126">
        <f t="shared" ca="1" si="326"/>
        <v>250</v>
      </c>
      <c r="V331" s="1"/>
      <c r="W331" s="39" t="str">
        <f ca="1">IF(OR($A331=0,$A331="S",$A331&gt;CFF!$A$9),"",MAX(W$11:OFFSET(W331,-1,0))+1)</f>
        <v/>
      </c>
      <c r="X331" s="4" t="str">
        <f t="shared" si="327"/>
        <v>Rec. Materiais-069</v>
      </c>
      <c r="Y331" s="39">
        <f t="shared" ca="1" si="299"/>
        <v>78</v>
      </c>
      <c r="Z331" s="1"/>
      <c r="AA331" s="133">
        <f>IF($J331=$G$2,ROUND(IF(ISNUMBER(S331),S331,IF(LEFT(S331,2)="DI",HLOOKUP(S331,DADOS!$T$29:$X$30,2,FALSE),0)),4),"")</f>
        <v>0.25</v>
      </c>
      <c r="AB331" s="2"/>
    </row>
    <row r="332" spans="1:28">
      <c r="A332" t="str">
        <f t="shared" si="285"/>
        <v>S</v>
      </c>
      <c r="B332">
        <f t="shared" si="286"/>
        <v>0</v>
      </c>
      <c r="C332">
        <f ca="1">IF($A332=1,OFFSET(C332,-1,0)+1,OFFSET(C332,-1,0))</f>
        <v>4</v>
      </c>
      <c r="D332">
        <f ca="1">IF($A332=1,0,IF($A332=2,OFFSET(D332,-1,0)+1,OFFSET(D332,-1,0)))</f>
        <v>9</v>
      </c>
      <c r="E332">
        <f ca="1">IF(AND($A332&lt;=2,$A332&lt;&gt;0),0,IF($A332=3,OFFSET(E332,-1,0)+1,OFFSET(E332,-1,0)))</f>
        <v>0</v>
      </c>
      <c r="F332">
        <f ca="1">IF(AND($A332&lt;=3,$A332&lt;&gt;0),0,IF($A332=4,OFFSET(F332,-1,0)+1,OFFSET(F332,-1,0)))</f>
        <v>0</v>
      </c>
      <c r="G332">
        <f ca="1">IF(AND($A332&lt;=4,$A332&lt;&gt;0),0,IF($A332="S",OFFSET(G332,-1,0)+1,OFFSET(G332,-1,0)))</f>
        <v>5</v>
      </c>
      <c r="H332">
        <f ca="1">IF(OR($A332="S",$A332=0),0,MATCH(0,OFFSET($B332,1,$A332,ROW($A$1504)-ROW($A332)),0))</f>
        <v>0</v>
      </c>
      <c r="I332">
        <f ca="1">IF(OR($A332="S",$A332=0),0,MATCH(OFFSET($B332,0,$A332)+1,OFFSET($B332,1,$A332,ROW($A$1504)-ROW($A332)),0))</f>
        <v>0</v>
      </c>
      <c r="J332" s="132" t="s">
        <v>29</v>
      </c>
      <c r="K332" s="121" t="str">
        <f ca="1">IF($A332=0,"-",CONCATENATE(C332&amp;".",IF(AND($A$5&gt;=2,$A332&gt;=2),D332&amp;".",""),IF(AND($A$5&gt;=3,$A332&gt;=3),E332&amp;".",""),IF(AND($A$5&gt;=4,$A332&gt;=4),F332&amp;".",""),IF($A332="S",G332&amp;".","")))</f>
        <v>4.9.5.</v>
      </c>
      <c r="L332" s="137" t="str">
        <f ca="1">IF(NOT(ISERROR($Y332)),IF($Y332&lt;&gt;FALSE,INDEX(Banco,$Y332,4),""),"")</f>
        <v>Cotação</v>
      </c>
      <c r="M332" s="122" t="s">
        <v>79</v>
      </c>
      <c r="N332" s="139" t="s">
        <v>295</v>
      </c>
      <c r="O332" s="137" t="str">
        <f ca="1">IF(NOT(ISERROR($Y332)),IF($Y332&lt;&gt;FALSE,INDEX(Banco,$Y332,5),""),"")</f>
        <v xml:space="preserve">KIT 02 - Vasilhame p/ oficina de limpeza (descrição nos orçamentos e PTS) </v>
      </c>
      <c r="P332" s="138" t="str">
        <f ca="1">IF(NOT(ISERROR($Y332)),IF($Y332&lt;&gt;FALSE,INDEX(Banco,$Y332,6),""),"")</f>
        <v>Unidade</v>
      </c>
      <c r="Q332" s="134">
        <v>1</v>
      </c>
      <c r="R332" s="124">
        <f ca="1">IF(NOT(ISERROR($Y332)),IF($Y332&lt;&gt;FALSE,INDEX(Banco,$Y332,7),0),0)</f>
        <v>150</v>
      </c>
      <c r="S332" s="136" t="s">
        <v>62</v>
      </c>
      <c r="T332" s="123">
        <f ca="1">IF($J332=$G$2,ROUND(ROUND($R332,2)*IF($R$9="Preço Unitário (R$)",1,1+$AA332),2),0)</f>
        <v>187.5</v>
      </c>
      <c r="U332" s="126">
        <f ca="1">IF($A332="S",VTOTAL1,IF($A332=0,0,ROUND(SomaAgrup,2)))</f>
        <v>187.5</v>
      </c>
      <c r="V332" s="1"/>
      <c r="W332" s="39" t="str">
        <f ca="1">IF(OR($A332=0,$A332="S",$A332&gt;CFF!$A$9),"",MAX(W$11:OFFSET(W332,-1,0))+1)</f>
        <v/>
      </c>
      <c r="X332" s="4" t="str">
        <f>IF(AND($J332=$G$2,$N332&lt;&gt;"",$M332&lt;&gt;""),CONCATENATE($M332,"-",$N332))</f>
        <v>Rec. Materiais-070</v>
      </c>
      <c r="Y332" s="39">
        <f t="shared" ca="1" si="299"/>
        <v>79</v>
      </c>
      <c r="Z332" s="1"/>
      <c r="AA332" s="133">
        <f>IF($J332=$G$2,ROUND(IF(ISNUMBER(S332),S332,IF(LEFT(S332,2)="DI",HLOOKUP(S332,DADOS!$T$29:$X$30,2,FALSE),0)),4),"")</f>
        <v>0.25</v>
      </c>
      <c r="AB332" s="2"/>
    </row>
    <row r="333" spans="1:28">
      <c r="A333" t="str">
        <f t="shared" si="285"/>
        <v>S</v>
      </c>
      <c r="B333">
        <f t="shared" si="286"/>
        <v>0</v>
      </c>
      <c r="C333">
        <f ca="1">IF($A333=1,OFFSET(C333,-1,0)+1,OFFSET(C333,-1,0))</f>
        <v>4</v>
      </c>
      <c r="D333">
        <f ca="1">IF($A333=1,0,IF($A333=2,OFFSET(D333,-1,0)+1,OFFSET(D333,-1,0)))</f>
        <v>9</v>
      </c>
      <c r="E333">
        <f ca="1">IF(AND($A333&lt;=2,$A333&lt;&gt;0),0,IF($A333=3,OFFSET(E333,-1,0)+1,OFFSET(E333,-1,0)))</f>
        <v>0</v>
      </c>
      <c r="F333">
        <f ca="1">IF(AND($A333&lt;=3,$A333&lt;&gt;0),0,IF($A333=4,OFFSET(F333,-1,0)+1,OFFSET(F333,-1,0)))</f>
        <v>0</v>
      </c>
      <c r="G333">
        <f ca="1">IF(AND($A333&lt;=4,$A333&lt;&gt;0),0,IF($A333="S",OFFSET(G333,-1,0)+1,OFFSET(G333,-1,0)))</f>
        <v>6</v>
      </c>
      <c r="H333">
        <f ca="1">IF(OR($A333="S",$A333=0),0,MATCH(0,OFFSET($B333,1,$A333,ROW($A$1504)-ROW($A333)),0))</f>
        <v>0</v>
      </c>
      <c r="I333">
        <f ca="1">IF(OR($A333="S",$A333=0),0,MATCH(OFFSET($B333,0,$A333)+1,OFFSET($B333,1,$A333,ROW($A$1504)-ROW($A333)),0))</f>
        <v>0</v>
      </c>
      <c r="J333" s="132" t="s">
        <v>29</v>
      </c>
      <c r="K333" s="121" t="str">
        <f ca="1">IF($A333=0,"-",CONCATENATE(C333&amp;".",IF(AND($A$5&gt;=2,$A333&gt;=2),D333&amp;".",""),IF(AND($A$5&gt;=3,$A333&gt;=3),E333&amp;".",""),IF(AND($A$5&gt;=4,$A333&gt;=4),F333&amp;".",""),IF($A333="S",G333&amp;".","")))</f>
        <v>4.9.6.</v>
      </c>
      <c r="L333" s="137" t="str">
        <f ca="1">IF(NOT(ISERROR($Y333)),IF($Y333&lt;&gt;FALSE,INDEX(Banco,$Y333,4),""),"")</f>
        <v>CRBio</v>
      </c>
      <c r="M333" s="122" t="s">
        <v>80</v>
      </c>
      <c r="N333" s="139" t="s">
        <v>226</v>
      </c>
      <c r="O333" s="137" t="str">
        <f ca="1">IF(NOT(ISERROR($Y333)),IF($Y333&lt;&gt;FALSE,INDEX(Banco,$Y333,5),""),"")</f>
        <v>Biólogo (Instrutor)</v>
      </c>
      <c r="P333" s="138" t="str">
        <f ca="1">IF(NOT(ISERROR($Y333)),IF($Y333&lt;&gt;FALSE,INDEX(Banco,$Y333,6),""),"")</f>
        <v>Horas</v>
      </c>
      <c r="Q333" s="134">
        <v>6</v>
      </c>
      <c r="R333" s="124">
        <f ca="1">IF(NOT(ISERROR($Y333)),IF($Y333&lt;&gt;FALSE,INDEX(Banco,$Y333,7),0),0)</f>
        <v>100.72</v>
      </c>
      <c r="S333" s="136" t="s">
        <v>62</v>
      </c>
      <c r="T333" s="123">
        <f ca="1">IF($J333=$G$2,ROUND(ROUND($R333,2)*IF($R$9="Preço Unitário (R$)",1,1+$AA333),2),0)</f>
        <v>125.9</v>
      </c>
      <c r="U333" s="126">
        <f ca="1">IF($A333="S",VTOTAL1,IF($A333=0,0,ROUND(SomaAgrup,2)))</f>
        <v>755.4</v>
      </c>
      <c r="V333" s="1"/>
      <c r="W333" s="39" t="str">
        <f ca="1">IF(OR($A333=0,$A333="S",$A333&gt;CFF!$A$9),"",MAX(W$11:OFFSET(W333,-1,0))+1)</f>
        <v/>
      </c>
      <c r="X333" s="4" t="str">
        <f>IF(AND($J333=$G$2,$N333&lt;&gt;"",$M333&lt;&gt;""),CONCATENATE($M333,"-",$N333))</f>
        <v>Serv. Terc.-068</v>
      </c>
      <c r="Y333" s="39">
        <f t="shared" ca="1" si="299"/>
        <v>148</v>
      </c>
      <c r="Z333" s="1"/>
      <c r="AA333" s="133">
        <f>IF($J333=$G$2,ROUND(IF(ISNUMBER(S333),S333,IF(LEFT(S333,2)="DI",HLOOKUP(S333,DADOS!$T$29:$X$30,2,FALSE),0)),4),"")</f>
        <v>0.25</v>
      </c>
      <c r="AB333" s="2"/>
    </row>
    <row r="334" spans="1:28">
      <c r="A334" t="str">
        <f t="shared" si="285"/>
        <v>S</v>
      </c>
      <c r="B334">
        <f t="shared" si="286"/>
        <v>0</v>
      </c>
      <c r="C334">
        <f t="shared" ca="1" si="315"/>
        <v>4</v>
      </c>
      <c r="D334">
        <f t="shared" ca="1" si="316"/>
        <v>9</v>
      </c>
      <c r="E334">
        <f t="shared" ca="1" si="317"/>
        <v>0</v>
      </c>
      <c r="F334">
        <f t="shared" ca="1" si="318"/>
        <v>0</v>
      </c>
      <c r="G334">
        <f t="shared" ca="1" si="319"/>
        <v>7</v>
      </c>
      <c r="H334">
        <f ca="1">IF(OR($A334="S",$A334=0),0,MATCH(0,OFFSET($B334,1,$A334,ROW($A$1504)-ROW($A334)),0))</f>
        <v>0</v>
      </c>
      <c r="I334">
        <f ca="1">IF(OR($A334="S",$A334=0),0,MATCH(OFFSET($B334,0,$A334)+1,OFFSET($B334,1,$A334,ROW($A$1504)-ROW($A334)),0))</f>
        <v>0</v>
      </c>
      <c r="J334" s="132" t="s">
        <v>29</v>
      </c>
      <c r="K334" s="121" t="str">
        <f t="shared" ca="1" si="320"/>
        <v>4.9.7.</v>
      </c>
      <c r="L334" s="137" t="str">
        <f t="shared" ca="1" si="321"/>
        <v>Cotação</v>
      </c>
      <c r="M334" s="122" t="s">
        <v>80</v>
      </c>
      <c r="N334" s="139" t="s">
        <v>162</v>
      </c>
      <c r="O334" s="137" t="str">
        <f t="shared" ca="1" si="322"/>
        <v>Coffee break (salgados)</v>
      </c>
      <c r="P334" s="138" t="str">
        <f t="shared" ca="1" si="323"/>
        <v>Centro</v>
      </c>
      <c r="Q334" s="134">
        <v>3</v>
      </c>
      <c r="R334" s="124">
        <f t="shared" ca="1" si="324"/>
        <v>65</v>
      </c>
      <c r="S334" s="136" t="s">
        <v>62</v>
      </c>
      <c r="T334" s="123">
        <f t="shared" ca="1" si="325"/>
        <v>81.25</v>
      </c>
      <c r="U334" s="126">
        <f t="shared" ca="1" si="326"/>
        <v>243.75</v>
      </c>
      <c r="V334" s="1"/>
      <c r="W334" s="39" t="str">
        <f ca="1">IF(OR($A334=0,$A334="S",$A334&gt;CFF!$A$9),"",MAX(W$11:OFFSET(W334,-1,0))+1)</f>
        <v/>
      </c>
      <c r="X334" s="4" t="str">
        <f t="shared" si="327"/>
        <v>Serv. Terc.-015</v>
      </c>
      <c r="Y334" s="39">
        <f t="shared" ca="1" si="299"/>
        <v>95</v>
      </c>
      <c r="Z334" s="1"/>
      <c r="AA334" s="133">
        <f>IF($J334=$G$2,ROUND(IF(ISNUMBER(S334),S334,IF(LEFT(S334,2)="DI",HLOOKUP(S334,DADOS!$T$29:$X$30,2,FALSE),0)),4),"")</f>
        <v>0.25</v>
      </c>
      <c r="AB334" s="2"/>
    </row>
    <row r="335" spans="1:28">
      <c r="A335" t="str">
        <f t="shared" si="285"/>
        <v>S</v>
      </c>
      <c r="B335">
        <f t="shared" si="286"/>
        <v>0</v>
      </c>
      <c r="C335">
        <f ca="1">IF($A335=1,OFFSET(C335,-1,0)+1,OFFSET(C335,-1,0))</f>
        <v>4</v>
      </c>
      <c r="D335">
        <f ca="1">IF($A335=1,0,IF($A335=2,OFFSET(D335,-1,0)+1,OFFSET(D335,-1,0)))</f>
        <v>9</v>
      </c>
      <c r="E335">
        <f ca="1">IF(AND($A335&lt;=2,$A335&lt;&gt;0),0,IF($A335=3,OFFSET(E335,-1,0)+1,OFFSET(E335,-1,0)))</f>
        <v>0</v>
      </c>
      <c r="F335">
        <f ca="1">IF(AND($A335&lt;=3,$A335&lt;&gt;0),0,IF($A335=4,OFFSET(F335,-1,0)+1,OFFSET(F335,-1,0)))</f>
        <v>0</v>
      </c>
      <c r="G335">
        <f ca="1">IF(AND($A335&lt;=4,$A335&lt;&gt;0),0,IF($A335="S",OFFSET(G335,-1,0)+1,OFFSET(G335,-1,0)))</f>
        <v>8</v>
      </c>
      <c r="H335">
        <f ca="1">IF(OR($A335="S",$A335=0),0,MATCH(0,OFFSET($B335,1,$A335,ROW($A$1504)-ROW($A335)),0))</f>
        <v>0</v>
      </c>
      <c r="I335">
        <f ca="1">IF(OR($A335="S",$A335=0),0,MATCH(OFFSET($B335,0,$A335)+1,OFFSET($B335,1,$A335,ROW($A$1504)-ROW($A335)),0))</f>
        <v>0</v>
      </c>
      <c r="J335" s="132" t="s">
        <v>29</v>
      </c>
      <c r="K335" s="121" t="str">
        <f ca="1">IF($A335=0,"-",CONCATENATE(C335&amp;".",IF(AND($A$5&gt;=2,$A335&gt;=2),D335&amp;".",""),IF(AND($A$5&gt;=3,$A335&gt;=3),E335&amp;".",""),IF(AND($A$5&gt;=4,$A335&gt;=4),F335&amp;".",""),IF($A335="S",G335&amp;".","")))</f>
        <v>4.9.8.</v>
      </c>
      <c r="L335" s="137" t="str">
        <f ca="1">IF(NOT(ISERROR($Y335)),IF($Y335&lt;&gt;FALSE,INDEX(Banco,$Y335,4),""),"")</f>
        <v>Cotação</v>
      </c>
      <c r="M335" s="122" t="s">
        <v>80</v>
      </c>
      <c r="N335" s="139" t="s">
        <v>171</v>
      </c>
      <c r="O335" s="137" t="str">
        <f ca="1">IF(NOT(ISERROR($Y335)),IF($Y335&lt;&gt;FALSE,INDEX(Banco,$Y335,5),""),"")</f>
        <v xml:space="preserve">Refrigerantes (02 litros) </v>
      </c>
      <c r="P335" s="138" t="str">
        <f ca="1">IF(NOT(ISERROR($Y335)),IF($Y335&lt;&gt;FALSE,INDEX(Banco,$Y335,6),""),"")</f>
        <v>Unidade</v>
      </c>
      <c r="Q335" s="134">
        <v>4</v>
      </c>
      <c r="R335" s="124">
        <f ca="1">IF(NOT(ISERROR($Y335)),IF($Y335&lt;&gt;FALSE,INDEX(Banco,$Y335,7),0),0)</f>
        <v>6</v>
      </c>
      <c r="S335" s="136" t="s">
        <v>62</v>
      </c>
      <c r="T335" s="123">
        <f ca="1">IF($J335=$G$2,ROUND(ROUND($R335,2)*IF($R$9="Preço Unitário (R$)",1,1+$AA335),2),0)</f>
        <v>7.5</v>
      </c>
      <c r="U335" s="126">
        <f ca="1">IF($A335="S",VTOTAL1,IF($A335=0,0,ROUND(SomaAgrup,2)))</f>
        <v>30</v>
      </c>
      <c r="V335" s="1"/>
      <c r="W335" s="39" t="str">
        <f ca="1">IF(OR($A335=0,$A335="S",$A335&gt;CFF!$A$9),"",MAX(W$11:OFFSET(W335,-1,0))+1)</f>
        <v/>
      </c>
      <c r="X335" s="4" t="str">
        <f>IF(AND($J335=$G$2,$N335&lt;&gt;"",$M335&lt;&gt;""),CONCATENATE($M335,"-",$N335))</f>
        <v>Serv. Terc.-027</v>
      </c>
      <c r="Y335" s="39">
        <f t="shared" ca="1" si="299"/>
        <v>107</v>
      </c>
      <c r="Z335" s="1"/>
      <c r="AA335" s="133">
        <f>IF($J335=$G$2,ROUND(IF(ISNUMBER(S335),S335,IF(LEFT(S335,2)="DI",HLOOKUP(S335,DADOS!$T$29:$X$30,2,FALSE),0)),4),"")</f>
        <v>0.25</v>
      </c>
      <c r="AB335" s="2"/>
    </row>
    <row r="336" spans="1:28">
      <c r="A336" t="str">
        <f t="shared" si="285"/>
        <v>S</v>
      </c>
      <c r="B336">
        <f t="shared" si="286"/>
        <v>0</v>
      </c>
      <c r="C336">
        <f t="shared" ca="1" si="315"/>
        <v>4</v>
      </c>
      <c r="D336">
        <f t="shared" ca="1" si="316"/>
        <v>9</v>
      </c>
      <c r="E336">
        <f t="shared" ca="1" si="317"/>
        <v>0</v>
      </c>
      <c r="F336">
        <f t="shared" ca="1" si="318"/>
        <v>0</v>
      </c>
      <c r="G336">
        <f t="shared" ca="1" si="319"/>
        <v>9</v>
      </c>
      <c r="H336">
        <f ca="1">IF(OR($A336="S",$A336=0),0,MATCH(0,OFFSET($B336,1,$A336,ROW($A$1504)-ROW($A336)),0))</f>
        <v>0</v>
      </c>
      <c r="I336">
        <f ca="1">IF(OR($A336="S",$A336=0),0,MATCH(OFFSET($B336,0,$A336)+1,OFFSET($B336,1,$A336,ROW($A$1504)-ROW($A336)),0))</f>
        <v>0</v>
      </c>
      <c r="J336" s="132" t="s">
        <v>29</v>
      </c>
      <c r="K336" s="121" t="str">
        <f t="shared" ca="1" si="320"/>
        <v>4.9.9.</v>
      </c>
      <c r="L336" s="137" t="str">
        <f t="shared" ca="1" si="321"/>
        <v xml:space="preserve">Cotação </v>
      </c>
      <c r="M336" s="122" t="s">
        <v>80</v>
      </c>
      <c r="N336" s="139" t="s">
        <v>160</v>
      </c>
      <c r="O336" s="137" t="str">
        <f t="shared" ca="1" si="322"/>
        <v>Barra de gelo</v>
      </c>
      <c r="P336" s="138" t="str">
        <f t="shared" ca="1" si="323"/>
        <v>Unidade</v>
      </c>
      <c r="Q336" s="134">
        <v>1</v>
      </c>
      <c r="R336" s="124">
        <f t="shared" ca="1" si="324"/>
        <v>12</v>
      </c>
      <c r="S336" s="136" t="s">
        <v>62</v>
      </c>
      <c r="T336" s="123">
        <f t="shared" ca="1" si="325"/>
        <v>15</v>
      </c>
      <c r="U336" s="126">
        <f t="shared" ca="1" si="326"/>
        <v>15</v>
      </c>
      <c r="V336" s="1"/>
      <c r="W336" s="39" t="str">
        <f ca="1">IF(OR($A336=0,$A336="S",$A336&gt;CFF!$A$9),"",MAX(W$11:OFFSET(W336,-1,0))+1)</f>
        <v/>
      </c>
      <c r="X336" s="4" t="str">
        <f t="shared" si="327"/>
        <v>Serv. Terc.-011</v>
      </c>
      <c r="Y336" s="39">
        <f t="shared" ca="1" si="299"/>
        <v>91</v>
      </c>
      <c r="Z336" s="1"/>
      <c r="AA336" s="133">
        <f>IF($J336=$G$2,ROUND(IF(ISNUMBER(S336),S336,IF(LEFT(S336,2)="DI",HLOOKUP(S336,DADOS!$T$29:$X$30,2,FALSE),0)),4),"")</f>
        <v>0.25</v>
      </c>
      <c r="AB336" s="2"/>
    </row>
    <row r="337" spans="1:28">
      <c r="A337" t="str">
        <f t="shared" si="285"/>
        <v>S</v>
      </c>
      <c r="B337">
        <f t="shared" si="286"/>
        <v>0</v>
      </c>
      <c r="C337">
        <f t="shared" ca="1" si="315"/>
        <v>4</v>
      </c>
      <c r="D337">
        <f t="shared" ca="1" si="316"/>
        <v>9</v>
      </c>
      <c r="E337">
        <f t="shared" ca="1" si="317"/>
        <v>0</v>
      </c>
      <c r="F337">
        <f t="shared" ca="1" si="318"/>
        <v>0</v>
      </c>
      <c r="G337">
        <f t="shared" ca="1" si="319"/>
        <v>10</v>
      </c>
      <c r="H337">
        <f ca="1">IF(OR($A337="S",$A337=0),0,MATCH(0,OFFSET($B337,1,$A337,ROW($A$1504)-ROW($A337)),0))</f>
        <v>0</v>
      </c>
      <c r="I337">
        <f ca="1">IF(OR($A337="S",$A337=0),0,MATCH(OFFSET($B337,0,$A337)+1,OFFSET($B337,1,$A337,ROW($A$1504)-ROW($A337)),0))</f>
        <v>0</v>
      </c>
      <c r="J337" s="132" t="s">
        <v>29</v>
      </c>
      <c r="K337" s="121" t="str">
        <f t="shared" ca="1" si="320"/>
        <v>4.9.10.</v>
      </c>
      <c r="L337" s="137" t="str">
        <f t="shared" ca="1" si="321"/>
        <v>Cotação</v>
      </c>
      <c r="M337" s="122" t="s">
        <v>80</v>
      </c>
      <c r="N337" s="139" t="s">
        <v>154</v>
      </c>
      <c r="O337" s="137" t="str">
        <f t="shared" ca="1" si="322"/>
        <v>Locação de caixa térmica</v>
      </c>
      <c r="P337" s="138" t="str">
        <f t="shared" ca="1" si="323"/>
        <v>Unidade</v>
      </c>
      <c r="Q337" s="134">
        <v>1</v>
      </c>
      <c r="R337" s="124">
        <f t="shared" ca="1" si="324"/>
        <v>40</v>
      </c>
      <c r="S337" s="136" t="s">
        <v>62</v>
      </c>
      <c r="T337" s="123">
        <f t="shared" ca="1" si="325"/>
        <v>50</v>
      </c>
      <c r="U337" s="126">
        <f t="shared" ca="1" si="326"/>
        <v>50</v>
      </c>
      <c r="V337" s="1"/>
      <c r="W337" s="39" t="str">
        <f ca="1">IF(OR($A337=0,$A337="S",$A337&gt;CFF!$A$9),"",MAX(W$11:OFFSET(W337,-1,0))+1)</f>
        <v/>
      </c>
      <c r="X337" s="4" t="str">
        <f t="shared" si="327"/>
        <v>Serv. Terc.-005</v>
      </c>
      <c r="Y337" s="39">
        <f t="shared" ca="1" si="299"/>
        <v>85</v>
      </c>
      <c r="Z337" s="1"/>
      <c r="AA337" s="133">
        <f>IF($J337=$G$2,ROUND(IF(ISNUMBER(S337),S337,IF(LEFT(S337,2)="DI",HLOOKUP(S337,DADOS!$T$29:$X$30,2,FALSE),0)),4),"")</f>
        <v>0.25</v>
      </c>
      <c r="AB337" s="2"/>
    </row>
    <row r="338" spans="1:28">
      <c r="A338">
        <f t="shared" si="285"/>
        <v>1</v>
      </c>
      <c r="B338">
        <f t="shared" ca="1" si="286"/>
        <v>71</v>
      </c>
      <c r="C338">
        <f ca="1">IF($A338=1,OFFSET(C338,-1,0)+1,OFFSET(C338,-1,0))</f>
        <v>5</v>
      </c>
      <c r="D338">
        <f ca="1">IF($A338=1,0,IF($A338=2,OFFSET(D338,-1,0)+1,OFFSET(D338,-1,0)))</f>
        <v>0</v>
      </c>
      <c r="E338">
        <f ca="1">IF(AND($A338&lt;=2,$A338&lt;&gt;0),0,IF($A338=3,OFFSET(E338,-1,0)+1,OFFSET(E338,-1,0)))</f>
        <v>0</v>
      </c>
      <c r="F338">
        <f ca="1">IF(AND($A338&lt;=3,$A338&lt;&gt;0),0,IF($A338=4,OFFSET(F338,-1,0)+1,OFFSET(F338,-1,0)))</f>
        <v>0</v>
      </c>
      <c r="G338">
        <f ca="1">IF(AND($A338&lt;=4,$A338&lt;&gt;0),0,IF($A338="S",OFFSET(G338,-1,0)+1,OFFSET(G338,-1,0)))</f>
        <v>0</v>
      </c>
      <c r="H338">
        <f ca="1">IF(OR($A338="S",$A338=0),0,MATCH(0,OFFSET($B338,1,$A338,ROW($A$1504)-ROW($A338)),0))</f>
        <v>1166</v>
      </c>
      <c r="I338">
        <f ca="1">IF(OR($A338="S",$A338=0),0,MATCH(OFFSET($B338,0,$A338)+1,OFFSET($B338,1,$A338,ROW($A$1504)-ROW($A338)),0))</f>
        <v>71</v>
      </c>
      <c r="J338" s="132" t="s">
        <v>67</v>
      </c>
      <c r="K338" s="121" t="str">
        <f ca="1">IF($A338=0,"-",CONCATENATE(C338&amp;".",IF(AND($A$5&gt;=2,$A338&gt;=2),D338&amp;".",""),IF(AND($A$5&gt;=3,$A338&gt;=3),E338&amp;".",""),IF(AND($A$5&gt;=4,$A338&gt;=4),F338&amp;".",""),IF($A338="S",G338&amp;".","")))</f>
        <v>5.</v>
      </c>
      <c r="L338" s="137" t="str">
        <f ca="1">IF(NOT(ISERROR($Y338)),IF($Y338&lt;&gt;FALSE,INDEX(Banco,$Y338,4),""),"")</f>
        <v/>
      </c>
      <c r="M338" s="122"/>
      <c r="N338" s="139"/>
      <c r="O338" s="137" t="s">
        <v>266</v>
      </c>
      <c r="P338" s="138" t="str">
        <f ca="1">IF(NOT(ISERROR($Y338)),IF($Y338&lt;&gt;FALSE,INDEX(Banco,$Y338,6),""),"")</f>
        <v/>
      </c>
      <c r="Q338" s="134"/>
      <c r="R338" s="124">
        <f ca="1">IF(NOT(ISERROR($Y338)),IF($Y338&lt;&gt;FALSE,INDEX(Banco,$Y338,7),0),0)</f>
        <v>0</v>
      </c>
      <c r="S338" s="136" t="s">
        <v>62</v>
      </c>
      <c r="T338" s="123">
        <f>IF($J338=$G$2,ROUND(ROUND($R338,2)*IF($R$9="Preço Unitário (R$)",1,1+$AA338),2),0)</f>
        <v>0</v>
      </c>
      <c r="U338" s="126">
        <f ca="1">IF($A338="S",VTOTAL1,IF($A338=0,0,ROUND(SomaAgrup,2)))</f>
        <v>34594.32</v>
      </c>
      <c r="V338" s="1"/>
      <c r="W338" s="39">
        <f ca="1">IF(OR($A338=0,$A338="S",$A338&gt;CFF!$A$9),"",MAX(W$11:OFFSET(W338,-1,0))+1)</f>
        <v>27</v>
      </c>
      <c r="X338" s="4" t="b">
        <f>IF(AND($J338=$G$2,$N338&lt;&gt;"",$M338&lt;&gt;""),CONCATENATE($M338,"-",$N338))</f>
        <v>0</v>
      </c>
      <c r="Y338" s="39" t="b">
        <f t="shared" ca="1" si="299"/>
        <v>0</v>
      </c>
      <c r="Z338" s="1"/>
      <c r="AA338" s="133" t="str">
        <f>IF($J338=$G$2,ROUND(IF(ISNUMBER(S338),S338,IF(LEFT(S338,2)="DI",HLOOKUP(S338,DADOS!$T$29:$X$30,2,FALSE),0)),4),"")</f>
        <v/>
      </c>
      <c r="AB338" s="2"/>
    </row>
    <row r="339" spans="1:28" ht="25.5">
      <c r="A339">
        <f>CHOOSE(1+LOG(1+2*(J339=$C$2)+4*(J339=$D$2)+8*(J339=$E$2)+16*(J339=$F$2)+32*(J339=$G$2),2),0,1,2,3,4,"S")</f>
        <v>2</v>
      </c>
      <c r="B339">
        <f ca="1">IF(OR(A339="S",A339=0),0,IF(ISERROR(I339),H339,SMALL(H339:I339,1)))</f>
        <v>26</v>
      </c>
      <c r="C339">
        <f ca="1">IF($A339=1,OFFSET(C339,-1,0)+1,OFFSET(C339,-1,0))</f>
        <v>5</v>
      </c>
      <c r="D339">
        <f ca="1">IF($A339=1,0,IF($A339=2,OFFSET(D339,-1,0)+1,OFFSET(D339,-1,0)))</f>
        <v>1</v>
      </c>
      <c r="E339">
        <f ca="1">IF(AND($A339&lt;=2,$A339&lt;&gt;0),0,IF($A339=3,OFFSET(E339,-1,0)+1,OFFSET(E339,-1,0)))</f>
        <v>0</v>
      </c>
      <c r="F339">
        <f ca="1">IF(AND($A339&lt;=3,$A339&lt;&gt;0),0,IF($A339=4,OFFSET(F339,-1,0)+1,OFFSET(F339,-1,0)))</f>
        <v>0</v>
      </c>
      <c r="G339">
        <f ca="1">IF(AND($A339&lt;=4,$A339&lt;&gt;0),0,IF($A339="S",OFFSET(G339,-1,0)+1,OFFSET(G339,-1,0)))</f>
        <v>0</v>
      </c>
      <c r="H339">
        <f ca="1">IF(OR($A339="S",$A339=0),0,MATCH(0,OFFSET($B339,1,$A339,ROW($A$1504)-ROW($A339)),0))</f>
        <v>70</v>
      </c>
      <c r="I339">
        <f ca="1">IF(OR($A339="S",$A339=0),0,MATCH(OFFSET($B339,0,$A339)+1,OFFSET($B339,1,$A339,ROW($A$1504)-ROW($A339)),0))</f>
        <v>26</v>
      </c>
      <c r="J339" s="132" t="s">
        <v>68</v>
      </c>
      <c r="K339" s="121" t="str">
        <f ca="1">IF($A339=0,"-",CONCATENATE(C339&amp;".",IF(AND($A$5&gt;=2,$A339&gt;=2),D339&amp;".",""),IF(AND($A$5&gt;=3,$A339&gt;=3),E339&amp;".",""),IF(AND($A$5&gt;=4,$A339&gt;=4),F339&amp;".",""),IF($A339="S",G339&amp;".","")))</f>
        <v>5.1.</v>
      </c>
      <c r="L339" s="137" t="str">
        <f ca="1">IF(NOT(ISERROR($Y339)),IF($Y339&lt;&gt;FALSE,INDEX(Banco,$Y339,4),""),"")</f>
        <v/>
      </c>
      <c r="M339" s="122"/>
      <c r="N339" s="139"/>
      <c r="O339" s="137" t="s">
        <v>370</v>
      </c>
      <c r="P339" s="138" t="str">
        <f ca="1">IF(NOT(ISERROR($Y339)),IF($Y339&lt;&gt;FALSE,INDEX(Banco,$Y339,6),""),"")</f>
        <v/>
      </c>
      <c r="Q339" s="134"/>
      <c r="R339" s="124">
        <f ca="1">IF(NOT(ISERROR($Y339)),IF($Y339&lt;&gt;FALSE,INDEX(Banco,$Y339,7),0),0)</f>
        <v>0</v>
      </c>
      <c r="S339" s="136" t="s">
        <v>62</v>
      </c>
      <c r="T339" s="123">
        <f>IF($J339=$G$2,ROUND(ROUND($R339,2)*IF($R$9="Preço Unitário (R$)",1,1+$AA339),2),0)</f>
        <v>0</v>
      </c>
      <c r="U339" s="126">
        <f ca="1">IF($A339="S",VTOTAL1,IF($A339=0,0,ROUND(SomaAgrup,2)))</f>
        <v>13709.78</v>
      </c>
      <c r="V339" s="1"/>
      <c r="W339" s="39">
        <f ca="1">IF(OR($A339=0,$A339="S",$A339&gt;CFF!$A$9),"",MAX(W$11:OFFSET(W339,-1,0))+1)</f>
        <v>28</v>
      </c>
      <c r="X339" s="4" t="b">
        <f>IF(AND($J339=$G$2,$N339&lt;&gt;"",$M339&lt;&gt;""),CONCATENATE($M339,"-",$N339))</f>
        <v>0</v>
      </c>
      <c r="Y339" s="39" t="b">
        <f ca="1">IF(X339&lt;&gt;FALSE,MATCH(X339,OFFSET(Banco,0,0,,1),0))</f>
        <v>0</v>
      </c>
      <c r="Z339" s="1"/>
      <c r="AA339" s="133" t="str">
        <f>IF($J339=$G$2,ROUND(IF(ISNUMBER(S339),S339,IF(LEFT(S339,2)="DI",HLOOKUP(S339,DADOS!$T$29:$X$30,2,FALSE),0)),4),"")</f>
        <v/>
      </c>
      <c r="AB339" s="2"/>
    </row>
    <row r="340" spans="1:28">
      <c r="A340" t="str">
        <f t="shared" ref="A340:A346" si="328">CHOOSE(1+LOG(1+2*(J340=$C$2)+4*(J340=$D$2)+8*(J340=$E$2)+16*(J340=$F$2)+32*(J340=$G$2),2),0,1,2,3,4,"S")</f>
        <v>S</v>
      </c>
      <c r="B340">
        <f t="shared" ref="B340:B346" si="329">IF(OR(A340="S",A340=0),0,IF(ISERROR(I340),H340,SMALL(H340:I340,1)))</f>
        <v>0</v>
      </c>
      <c r="C340">
        <f t="shared" ref="C340:C346" ca="1" si="330">IF($A340=1,OFFSET(C340,-1,0)+1,OFFSET(C340,-1,0))</f>
        <v>5</v>
      </c>
      <c r="D340">
        <f t="shared" ref="D340:D346" ca="1" si="331">IF($A340=1,0,IF($A340=2,OFFSET(D340,-1,0)+1,OFFSET(D340,-1,0)))</f>
        <v>1</v>
      </c>
      <c r="E340">
        <f t="shared" ref="E340:E346" ca="1" si="332">IF(AND($A340&lt;=2,$A340&lt;&gt;0),0,IF($A340=3,OFFSET(E340,-1,0)+1,OFFSET(E340,-1,0)))</f>
        <v>0</v>
      </c>
      <c r="F340">
        <f t="shared" ref="F340:F346" ca="1" si="333">IF(AND($A340&lt;=3,$A340&lt;&gt;0),0,IF($A340=4,OFFSET(F340,-1,0)+1,OFFSET(F340,-1,0)))</f>
        <v>0</v>
      </c>
      <c r="G340">
        <f t="shared" ref="G340:G346" ca="1" si="334">IF(AND($A340&lt;=4,$A340&lt;&gt;0),0,IF($A340="S",OFFSET(G340,-1,0)+1,OFFSET(G340,-1,0)))</f>
        <v>1</v>
      </c>
      <c r="H340">
        <f ca="1">IF(OR($A340="S",$A340=0),0,MATCH(0,OFFSET($B340,1,$A340,ROW($A$1504)-ROW($A340)),0))</f>
        <v>0</v>
      </c>
      <c r="I340">
        <f ca="1">IF(OR($A340="S",$A340=0),0,MATCH(OFFSET($B340,0,$A340)+1,OFFSET($B340,1,$A340,ROW($A$1504)-ROW($A340)),0))</f>
        <v>0</v>
      </c>
      <c r="J340" s="132" t="s">
        <v>29</v>
      </c>
      <c r="K340" s="121" t="str">
        <f t="shared" ref="K340:K346" ca="1" si="335">IF($A340=0,"-",CONCATENATE(C340&amp;".",IF(AND($A$5&gt;=2,$A340&gt;=2),D340&amp;".",""),IF(AND($A$5&gt;=3,$A340&gt;=3),E340&amp;".",""),IF(AND($A$5&gt;=4,$A340&gt;=4),F340&amp;".",""),IF($A340="S",G340&amp;".","")))</f>
        <v>5.1.1.</v>
      </c>
      <c r="L340" s="137" t="str">
        <f t="shared" ref="L340:L346" ca="1" si="336">IF(NOT(ISERROR($Y340)),IF($Y340&lt;&gt;FALSE,INDEX(Banco,$Y340,4),""),"")</f>
        <v>CRESS</v>
      </c>
      <c r="M340" s="122" t="s">
        <v>78</v>
      </c>
      <c r="N340" s="139" t="s">
        <v>149</v>
      </c>
      <c r="O340" s="137" t="str">
        <f ca="1">IF(NOT(ISERROR($Y340)),IF($Y340&lt;&gt;FALSE,INDEX(Banco,$Y340,5),""),"")</f>
        <v>Responsável Técnica</v>
      </c>
      <c r="P340" s="138" t="str">
        <f t="shared" ref="P340:P346" ca="1" si="337">IF(NOT(ISERROR($Y340)),IF($Y340&lt;&gt;FALSE,INDEX(Banco,$Y340,6),""),"")</f>
        <v>Horas</v>
      </c>
      <c r="Q340" s="134">
        <v>8</v>
      </c>
      <c r="R340" s="124">
        <f t="shared" ref="R340:R346" ca="1" si="338">IF(NOT(ISERROR($Y340)),IF($Y340&lt;&gt;FALSE,INDEX(Banco,$Y340,7),0),0)</f>
        <v>150.28</v>
      </c>
      <c r="S340" s="136" t="s">
        <v>62</v>
      </c>
      <c r="T340" s="123">
        <f t="shared" ref="T340:T346" ca="1" si="339">IF($J340=$G$2,ROUND(ROUND($R340,2)*IF($R$9="Preço Unitário (R$)",1,1+$AA340),2),0)</f>
        <v>187.85</v>
      </c>
      <c r="U340" s="126">
        <f t="shared" ref="U340:U346" ca="1" si="340">IF($A340="S",VTOTAL1,IF($A340=0,0,ROUND(SomaAgrup,2)))</f>
        <v>1502.8</v>
      </c>
      <c r="V340" s="1"/>
      <c r="W340" s="39" t="str">
        <f ca="1">IF(OR($A340=0,$A340="S",$A340&gt;CFF!$A$9),"",MAX(W$11:OFFSET(W340,-1,0))+1)</f>
        <v/>
      </c>
      <c r="X340" s="4" t="str">
        <f t="shared" ref="X340:X346" si="341">IF(AND($J340=$G$2,$N340&lt;&gt;"",$M340&lt;&gt;""),CONCATENATE($M340,"-",$N340))</f>
        <v>Rec. Humanos-001</v>
      </c>
      <c r="Y340" s="39">
        <f t="shared" ref="Y340:Y346" ca="1" si="342">IF(X340&lt;&gt;FALSE,MATCH(X340,OFFSET(Banco,0,0,,1),0))</f>
        <v>3</v>
      </c>
      <c r="Z340" s="1"/>
      <c r="AA340" s="133">
        <f>IF($J340=$G$2,ROUND(IF(ISNUMBER(S340),S340,IF(LEFT(S340,2)="DI",HLOOKUP(S340,DADOS!$T$29:$X$30,2,FALSE),0)),4),"")</f>
        <v>0.25</v>
      </c>
      <c r="AB340" s="2"/>
    </row>
    <row r="341" spans="1:28">
      <c r="A341" t="str">
        <f t="shared" si="328"/>
        <v>S</v>
      </c>
      <c r="B341">
        <f t="shared" si="329"/>
        <v>0</v>
      </c>
      <c r="C341">
        <f t="shared" ca="1" si="330"/>
        <v>5</v>
      </c>
      <c r="D341">
        <f t="shared" ca="1" si="331"/>
        <v>1</v>
      </c>
      <c r="E341">
        <f t="shared" ca="1" si="332"/>
        <v>0</v>
      </c>
      <c r="F341">
        <f t="shared" ca="1" si="333"/>
        <v>0</v>
      </c>
      <c r="G341">
        <f t="shared" ca="1" si="334"/>
        <v>2</v>
      </c>
      <c r="H341">
        <f ca="1">IF(OR($A341="S",$A341=0),0,MATCH(0,OFFSET($B341,1,$A341,ROW($A$1504)-ROW($A341)),0))</f>
        <v>0</v>
      </c>
      <c r="I341">
        <f ca="1">IF(OR($A341="S",$A341=0),0,MATCH(OFFSET($B341,0,$A341)+1,OFFSET($B341,1,$A341,ROW($A$1504)-ROW($A341)),0))</f>
        <v>0</v>
      </c>
      <c r="J341" s="132" t="s">
        <v>29</v>
      </c>
      <c r="K341" s="121" t="str">
        <f t="shared" ca="1" si="335"/>
        <v>5.1.2.</v>
      </c>
      <c r="L341" s="137" t="str">
        <f t="shared" ca="1" si="336"/>
        <v>CRESS</v>
      </c>
      <c r="M341" s="122" t="s">
        <v>78</v>
      </c>
      <c r="N341" s="139" t="s">
        <v>152</v>
      </c>
      <c r="O341" s="137" t="str">
        <f t="shared" ref="O341:O357" ca="1" si="343">IF(NOT(ISERROR($Y341)),IF($Y341&lt;&gt;FALSE,INDEX(Banco,$Y341,5),""),"")</f>
        <v>Assistente Social</v>
      </c>
      <c r="P341" s="138" t="str">
        <f t="shared" ca="1" si="337"/>
        <v>Horas</v>
      </c>
      <c r="Q341" s="134">
        <v>4</v>
      </c>
      <c r="R341" s="124">
        <f t="shared" ca="1" si="338"/>
        <v>133.81</v>
      </c>
      <c r="S341" s="136" t="s">
        <v>62</v>
      </c>
      <c r="T341" s="123">
        <f t="shared" ca="1" si="339"/>
        <v>167.26</v>
      </c>
      <c r="U341" s="126">
        <f t="shared" ca="1" si="340"/>
        <v>669.04</v>
      </c>
      <c r="V341" s="1"/>
      <c r="W341" s="39" t="str">
        <f ca="1">IF(OR($A341=0,$A341="S",$A341&gt;CFF!$A$9),"",MAX(W$11:OFFSET(W341,-1,0))+1)</f>
        <v/>
      </c>
      <c r="X341" s="4" t="str">
        <f t="shared" si="341"/>
        <v>Rec. Humanos-002</v>
      </c>
      <c r="Y341" s="39">
        <f t="shared" ca="1" si="342"/>
        <v>4</v>
      </c>
      <c r="Z341" s="1"/>
      <c r="AA341" s="133">
        <f>IF($J341=$G$2,ROUND(IF(ISNUMBER(S341),S341,IF(LEFT(S341,2)="DI",HLOOKUP(S341,DADOS!$T$29:$X$30,2,FALSE),0)),4),"")</f>
        <v>0.25</v>
      </c>
      <c r="AB341" s="2"/>
    </row>
    <row r="342" spans="1:28">
      <c r="A342" t="str">
        <f t="shared" si="328"/>
        <v>S</v>
      </c>
      <c r="B342">
        <f t="shared" si="329"/>
        <v>0</v>
      </c>
      <c r="C342">
        <f t="shared" ca="1" si="330"/>
        <v>5</v>
      </c>
      <c r="D342">
        <f t="shared" ca="1" si="331"/>
        <v>1</v>
      </c>
      <c r="E342">
        <f t="shared" ca="1" si="332"/>
        <v>0</v>
      </c>
      <c r="F342">
        <f t="shared" ca="1" si="333"/>
        <v>0</v>
      </c>
      <c r="G342">
        <f t="shared" ca="1" si="334"/>
        <v>3</v>
      </c>
      <c r="H342">
        <f ca="1">IF(OR($A342="S",$A342=0),0,MATCH(0,OFFSET($B342,1,$A342,ROW($A$1504)-ROW($A342)),0))</f>
        <v>0</v>
      </c>
      <c r="I342">
        <f ca="1">IF(OR($A342="S",$A342=0),0,MATCH(OFFSET($B342,0,$A342)+1,OFFSET($B342,1,$A342,ROW($A$1504)-ROW($A342)),0))</f>
        <v>0</v>
      </c>
      <c r="J342" s="132" t="s">
        <v>29</v>
      </c>
      <c r="K342" s="121" t="str">
        <f t="shared" ca="1" si="335"/>
        <v>5.1.3.</v>
      </c>
      <c r="L342" s="137" t="str">
        <f t="shared" ca="1" si="336"/>
        <v>Cotação</v>
      </c>
      <c r="M342" s="122" t="s">
        <v>78</v>
      </c>
      <c r="N342" s="139" t="s">
        <v>151</v>
      </c>
      <c r="O342" s="137" t="str">
        <f ca="1">IF(NOT(ISERROR($Y342)),IF($Y342&lt;&gt;FALSE,INDEX(Banco,$Y342,5),""),"")</f>
        <v xml:space="preserve">Administrador (Técnico de Apoio) </v>
      </c>
      <c r="P342" s="138" t="str">
        <f t="shared" ca="1" si="337"/>
        <v>Horas</v>
      </c>
      <c r="Q342" s="134">
        <v>4</v>
      </c>
      <c r="R342" s="124">
        <f t="shared" ca="1" si="338"/>
        <v>103.65</v>
      </c>
      <c r="S342" s="136" t="s">
        <v>62</v>
      </c>
      <c r="T342" s="123">
        <f t="shared" ca="1" si="339"/>
        <v>129.56</v>
      </c>
      <c r="U342" s="126">
        <f t="shared" ca="1" si="340"/>
        <v>518.24</v>
      </c>
      <c r="V342" s="1"/>
      <c r="W342" s="39" t="str">
        <f ca="1">IF(OR($A342=0,$A342="S",$A342&gt;CFF!$A$9),"",MAX(W$11:OFFSET(W342,-1,0))+1)</f>
        <v/>
      </c>
      <c r="X342" s="4" t="str">
        <f t="shared" si="341"/>
        <v>Rec. Humanos-003</v>
      </c>
      <c r="Y342" s="39">
        <f t="shared" ca="1" si="342"/>
        <v>5</v>
      </c>
      <c r="Z342" s="1"/>
      <c r="AA342" s="133">
        <f>IF($J342=$G$2,ROUND(IF(ISNUMBER(S342),S342,IF(LEFT(S342,2)="DI",HLOOKUP(S342,DADOS!$T$29:$X$30,2,FALSE),0)),4),"")</f>
        <v>0.25</v>
      </c>
      <c r="AB342" s="2"/>
    </row>
    <row r="343" spans="1:28">
      <c r="A343" t="str">
        <f t="shared" si="328"/>
        <v>S</v>
      </c>
      <c r="B343">
        <f t="shared" si="329"/>
        <v>0</v>
      </c>
      <c r="C343">
        <f t="shared" ca="1" si="330"/>
        <v>5</v>
      </c>
      <c r="D343">
        <f t="shared" ca="1" si="331"/>
        <v>1</v>
      </c>
      <c r="E343">
        <f t="shared" ca="1" si="332"/>
        <v>0</v>
      </c>
      <c r="F343">
        <f t="shared" ca="1" si="333"/>
        <v>0</v>
      </c>
      <c r="G343">
        <f t="shared" ca="1" si="334"/>
        <v>4</v>
      </c>
      <c r="H343">
        <f ca="1">IF(OR($A343="S",$A343=0),0,MATCH(0,OFFSET($B343,1,$A343,ROW($A$1504)-ROW($A343)),0))</f>
        <v>0</v>
      </c>
      <c r="I343">
        <f ca="1">IF(OR($A343="S",$A343=0),0,MATCH(OFFSET($B343,0,$A343)+1,OFFSET($B343,1,$A343,ROW($A$1504)-ROW($A343)),0))</f>
        <v>0</v>
      </c>
      <c r="J343" s="132" t="s">
        <v>29</v>
      </c>
      <c r="K343" s="121" t="str">
        <f t="shared" ca="1" si="335"/>
        <v>5.1.4.</v>
      </c>
      <c r="L343" s="137" t="str">
        <f t="shared" ca="1" si="336"/>
        <v>SINE</v>
      </c>
      <c r="M343" s="122" t="s">
        <v>78</v>
      </c>
      <c r="N343" s="139" t="s">
        <v>153</v>
      </c>
      <c r="O343" s="137" t="str">
        <f ca="1">IF(NOT(ISERROR($Y343)),IF($Y343&lt;&gt;FALSE,INDEX(Banco,$Y343,5),""),"")</f>
        <v>Estagiários</v>
      </c>
      <c r="P343" s="138" t="str">
        <f t="shared" ca="1" si="337"/>
        <v>Horas</v>
      </c>
      <c r="Q343" s="134">
        <v>16</v>
      </c>
      <c r="R343" s="124">
        <f t="shared" ca="1" si="338"/>
        <v>9.7899999999999991</v>
      </c>
      <c r="S343" s="136" t="s">
        <v>62</v>
      </c>
      <c r="T343" s="123">
        <f t="shared" ca="1" si="339"/>
        <v>12.24</v>
      </c>
      <c r="U343" s="126">
        <f t="shared" ca="1" si="340"/>
        <v>195.84</v>
      </c>
      <c r="V343" s="1"/>
      <c r="W343" s="39" t="str">
        <f ca="1">IF(OR($A343=0,$A343="S",$A343&gt;CFF!$A$9),"",MAX(W$11:OFFSET(W343,-1,0))+1)</f>
        <v/>
      </c>
      <c r="X343" s="4" t="str">
        <f t="shared" si="341"/>
        <v>Rec. Humanos-004</v>
      </c>
      <c r="Y343" s="39">
        <f t="shared" ca="1" si="342"/>
        <v>6</v>
      </c>
      <c r="Z343" s="1"/>
      <c r="AA343" s="133">
        <f>IF($J343=$G$2,ROUND(IF(ISNUMBER(S343),S343,IF(LEFT(S343,2)="DI",HLOOKUP(S343,DADOS!$T$29:$X$30,2,FALSE),0)),4),"")</f>
        <v>0.25</v>
      </c>
      <c r="AB343" s="2"/>
    </row>
    <row r="344" spans="1:28">
      <c r="A344" t="str">
        <f t="shared" si="328"/>
        <v>S</v>
      </c>
      <c r="B344">
        <f t="shared" si="329"/>
        <v>0</v>
      </c>
      <c r="C344">
        <f t="shared" ca="1" si="330"/>
        <v>5</v>
      </c>
      <c r="D344">
        <f t="shared" ca="1" si="331"/>
        <v>1</v>
      </c>
      <c r="E344">
        <f t="shared" ca="1" si="332"/>
        <v>0</v>
      </c>
      <c r="F344">
        <f t="shared" ca="1" si="333"/>
        <v>0</v>
      </c>
      <c r="G344">
        <f t="shared" ca="1" si="334"/>
        <v>5</v>
      </c>
      <c r="H344">
        <f ca="1">IF(OR($A344="S",$A344=0),0,MATCH(0,OFFSET($B344,1,$A344,ROW($A$1504)-ROW($A344)),0))</f>
        <v>0</v>
      </c>
      <c r="I344">
        <f ca="1">IF(OR($A344="S",$A344=0),0,MATCH(OFFSET($B344,0,$A344)+1,OFFSET($B344,1,$A344,ROW($A$1504)-ROW($A344)),0))</f>
        <v>0</v>
      </c>
      <c r="J344" s="132" t="s">
        <v>29</v>
      </c>
      <c r="K344" s="121" t="str">
        <f t="shared" ca="1" si="335"/>
        <v>5.1.5.</v>
      </c>
      <c r="L344" s="137" t="str">
        <f t="shared" ca="1" si="336"/>
        <v>Cotação</v>
      </c>
      <c r="M344" s="122" t="s">
        <v>80</v>
      </c>
      <c r="N344" s="139" t="s">
        <v>149</v>
      </c>
      <c r="O344" s="137" t="str">
        <f ca="1">IF(NOT(ISERROR($Y344)),IF($Y344&lt;&gt;FALSE,INDEX(Banco,$Y344,5),""),"")</f>
        <v>Fotocópias</v>
      </c>
      <c r="P344" s="138" t="str">
        <f t="shared" ca="1" si="337"/>
        <v>Unidade</v>
      </c>
      <c r="Q344" s="134">
        <v>200</v>
      </c>
      <c r="R344" s="124">
        <f t="shared" ca="1" si="338"/>
        <v>0.3</v>
      </c>
      <c r="S344" s="136" t="s">
        <v>62</v>
      </c>
      <c r="T344" s="123">
        <f t="shared" ca="1" si="339"/>
        <v>0.38</v>
      </c>
      <c r="U344" s="126">
        <f t="shared" ca="1" si="340"/>
        <v>76</v>
      </c>
      <c r="V344" s="1"/>
      <c r="W344" s="39" t="str">
        <f ca="1">IF(OR($A344=0,$A344="S",$A344&gt;CFF!$A$9),"",MAX(W$11:OFFSET(W344,-1,0))+1)</f>
        <v/>
      </c>
      <c r="X344" s="4" t="str">
        <f t="shared" si="341"/>
        <v>Serv. Terc.-001</v>
      </c>
      <c r="Y344" s="39">
        <f t="shared" ca="1" si="342"/>
        <v>81</v>
      </c>
      <c r="Z344" s="1"/>
      <c r="AA344" s="133">
        <f>IF($J344=$G$2,ROUND(IF(ISNUMBER(S344),S344,IF(LEFT(S344,2)="DI",HLOOKUP(S344,DADOS!$T$29:$X$30,2,FALSE),0)),4),"")</f>
        <v>0.25</v>
      </c>
      <c r="AB344" s="2"/>
    </row>
    <row r="345" spans="1:28">
      <c r="A345" t="str">
        <f>CHOOSE(1+LOG(1+2*(J345=$C$2)+4*(J345=$D$2)+8*(J345=$E$2)+16*(J345=$F$2)+32*(J345=$G$2),2),0,1,2,3,4,"S")</f>
        <v>S</v>
      </c>
      <c r="B345">
        <f>IF(OR(A345="S",A345=0),0,IF(ISERROR(I345),H345,SMALL(H345:I345,1)))</f>
        <v>0</v>
      </c>
      <c r="C345">
        <f ca="1">IF($A345=1,OFFSET(C345,-1,0)+1,OFFSET(C345,-1,0))</f>
        <v>5</v>
      </c>
      <c r="D345">
        <f ca="1">IF($A345=1,0,IF($A345=2,OFFSET(D345,-1,0)+1,OFFSET(D345,-1,0)))</f>
        <v>1</v>
      </c>
      <c r="E345">
        <f ca="1">IF(AND($A345&lt;=2,$A345&lt;&gt;0),0,IF($A345=3,OFFSET(E345,-1,0)+1,OFFSET(E345,-1,0)))</f>
        <v>0</v>
      </c>
      <c r="F345">
        <f ca="1">IF(AND($A345&lt;=3,$A345&lt;&gt;0),0,IF($A345=4,OFFSET(F345,-1,0)+1,OFFSET(F345,-1,0)))</f>
        <v>0</v>
      </c>
      <c r="G345">
        <f ca="1">IF(AND($A345&lt;=4,$A345&lt;&gt;0),0,IF($A345="S",OFFSET(G345,-1,0)+1,OFFSET(G345,-1,0)))</f>
        <v>6</v>
      </c>
      <c r="H345">
        <f ca="1">IF(OR($A345="S",$A345=0),0,MATCH(0,OFFSET($B345,1,$A345,ROW($A$1504)-ROW($A345)),0))</f>
        <v>0</v>
      </c>
      <c r="I345">
        <f ca="1">IF(OR($A345="S",$A345=0),0,MATCH(OFFSET($B345,0,$A345)+1,OFFSET($B345,1,$A345,ROW($A$1504)-ROW($A345)),0))</f>
        <v>0</v>
      </c>
      <c r="J345" s="132" t="s">
        <v>29</v>
      </c>
      <c r="K345" s="121" t="str">
        <f ca="1">IF($A345=0,"-",CONCATENATE(C345&amp;".",IF(AND($A$5&gt;=2,$A345&gt;=2),D345&amp;".",""),IF(AND($A$5&gt;=3,$A345&gt;=3),E345&amp;".",""),IF(AND($A$5&gt;=4,$A345&gt;=4),F345&amp;".",""),IF($A345="S",G345&amp;".","")))</f>
        <v>5.1.6.</v>
      </c>
      <c r="L345" s="137" t="str">
        <f ca="1">IF(NOT(ISERROR($Y345)),IF($Y345&lt;&gt;FALSE,INDEX(Banco,$Y345,4),""),"")</f>
        <v>Cotação</v>
      </c>
      <c r="M345" s="122" t="s">
        <v>80</v>
      </c>
      <c r="N345" s="139" t="s">
        <v>256</v>
      </c>
      <c r="O345" s="137" t="str">
        <f ca="1">IF(NOT(ISERROR($Y345)),IF($Y345&lt;&gt;FALSE,INDEX(Banco,$Y345,5),""),"")</f>
        <v>Instrutor/Monitor (Educação Fisíca)</v>
      </c>
      <c r="P345" s="138" t="str">
        <f ca="1">IF(NOT(ISERROR($Y345)),IF($Y345&lt;&gt;FALSE,INDEX(Banco,$Y345,6),""),"")</f>
        <v>Horas</v>
      </c>
      <c r="Q345" s="134">
        <v>3</v>
      </c>
      <c r="R345" s="124">
        <f ca="1">IF(NOT(ISERROR($Y345)),IF($Y345&lt;&gt;FALSE,INDEX(Banco,$Y345,7),0),0)</f>
        <v>100</v>
      </c>
      <c r="S345" s="136" t="s">
        <v>62</v>
      </c>
      <c r="T345" s="123">
        <f ca="1">IF($J345=$G$2,ROUND(ROUND($R345,2)*IF($R$9="Preço Unitário (R$)",1,1+$AA345),2),0)</f>
        <v>125</v>
      </c>
      <c r="U345" s="126">
        <f ca="1">IF($A345="S",VTOTAL1,IF($A345=0,0,ROUND(SomaAgrup,2)))</f>
        <v>375</v>
      </c>
      <c r="V345" s="1"/>
      <c r="W345" s="39" t="str">
        <f ca="1">IF(OR($A345=0,$A345="S",$A345&gt;CFF!$A$9),"",MAX(W$11:OFFSET(W345,-1,0))+1)</f>
        <v/>
      </c>
      <c r="X345" s="4" t="str">
        <f>IF(AND($J345=$G$2,$N345&lt;&gt;"",$M345&lt;&gt;""),CONCATENATE($M345,"-",$N345))</f>
        <v>Serv. Terc.-017</v>
      </c>
      <c r="Y345" s="39">
        <f ca="1">IF(X345&lt;&gt;FALSE,MATCH(X345,OFFSET(Banco,0,0,,1),0))</f>
        <v>97</v>
      </c>
      <c r="Z345" s="1"/>
      <c r="AA345" s="133">
        <f>IF($J345=$G$2,ROUND(IF(ISNUMBER(S345),S345,IF(LEFT(S345,2)="DI",HLOOKUP(S345,DADOS!$T$29:$X$30,2,FALSE),0)),4),"")</f>
        <v>0.25</v>
      </c>
      <c r="AB345" s="2"/>
    </row>
    <row r="346" spans="1:28">
      <c r="A346" t="str">
        <f t="shared" si="328"/>
        <v>S</v>
      </c>
      <c r="B346">
        <f t="shared" si="329"/>
        <v>0</v>
      </c>
      <c r="C346">
        <f t="shared" ca="1" si="330"/>
        <v>5</v>
      </c>
      <c r="D346">
        <f t="shared" ca="1" si="331"/>
        <v>1</v>
      </c>
      <c r="E346">
        <f t="shared" ca="1" si="332"/>
        <v>0</v>
      </c>
      <c r="F346">
        <f t="shared" ca="1" si="333"/>
        <v>0</v>
      </c>
      <c r="G346">
        <f t="shared" ca="1" si="334"/>
        <v>7</v>
      </c>
      <c r="H346">
        <f ca="1">IF(OR($A346="S",$A346=0),0,MATCH(0,OFFSET($B346,1,$A346,ROW($A$1504)-ROW($A346)),0))</f>
        <v>0</v>
      </c>
      <c r="I346">
        <f ca="1">IF(OR($A346="S",$A346=0),0,MATCH(OFFSET($B346,0,$A346)+1,OFFSET($B346,1,$A346,ROW($A$1504)-ROW($A346)),0))</f>
        <v>0</v>
      </c>
      <c r="J346" s="132" t="s">
        <v>29</v>
      </c>
      <c r="K346" s="121" t="str">
        <f t="shared" ca="1" si="335"/>
        <v>5.1.7.</v>
      </c>
      <c r="L346" s="137" t="str">
        <f t="shared" ca="1" si="336"/>
        <v>Cotação</v>
      </c>
      <c r="M346" s="122" t="s">
        <v>80</v>
      </c>
      <c r="N346" s="139" t="s">
        <v>152</v>
      </c>
      <c r="O346" s="137" t="str">
        <f ca="1">IF(NOT(ISERROR($Y346)),IF($Y346&lt;&gt;FALSE,INDEX(Banco,$Y346,5),""),"")</f>
        <v>Carro de som com gravação de vinheta</v>
      </c>
      <c r="P346" s="138" t="str">
        <f t="shared" ca="1" si="337"/>
        <v>Horas</v>
      </c>
      <c r="Q346" s="134">
        <v>6</v>
      </c>
      <c r="R346" s="124">
        <f t="shared" ca="1" si="338"/>
        <v>200</v>
      </c>
      <c r="S346" s="136" t="s">
        <v>62</v>
      </c>
      <c r="T346" s="123">
        <f t="shared" ca="1" si="339"/>
        <v>250</v>
      </c>
      <c r="U346" s="126">
        <f t="shared" ca="1" si="340"/>
        <v>1500</v>
      </c>
      <c r="V346" s="1"/>
      <c r="W346" s="39" t="str">
        <f ca="1">IF(OR($A346=0,$A346="S",$A346&gt;CFF!$A$9),"",MAX(W$11:OFFSET(W346,-1,0))+1)</f>
        <v/>
      </c>
      <c r="X346" s="4" t="str">
        <f t="shared" si="341"/>
        <v>Serv. Terc.-002</v>
      </c>
      <c r="Y346" s="39">
        <f t="shared" ca="1" si="342"/>
        <v>82</v>
      </c>
      <c r="Z346" s="1"/>
      <c r="AA346" s="133">
        <f>IF($J346=$G$2,ROUND(IF(ISNUMBER(S346),S346,IF(LEFT(S346,2)="DI",HLOOKUP(S346,DADOS!$T$29:$X$30,2,FALSE),0)),4),"")</f>
        <v>0.25</v>
      </c>
      <c r="AB346" s="2"/>
    </row>
    <row r="347" spans="1:28">
      <c r="A347" t="str">
        <f t="shared" ref="A347:A357" si="344">CHOOSE(1+LOG(1+2*(J347=$C$2)+4*(J347=$D$2)+8*(J347=$E$2)+16*(J347=$F$2)+32*(J347=$G$2),2),0,1,2,3,4,"S")</f>
        <v>S</v>
      </c>
      <c r="B347">
        <f t="shared" ref="B347:B357" si="345">IF(OR(A347="S",A347=0),0,IF(ISERROR(I347),H347,SMALL(H347:I347,1)))</f>
        <v>0</v>
      </c>
      <c r="C347">
        <f t="shared" ref="C347:C357" ca="1" si="346">IF($A347=1,OFFSET(C347,-1,0)+1,OFFSET(C347,-1,0))</f>
        <v>5</v>
      </c>
      <c r="D347">
        <f t="shared" ref="D347:D357" ca="1" si="347">IF($A347=1,0,IF($A347=2,OFFSET(D347,-1,0)+1,OFFSET(D347,-1,0)))</f>
        <v>1</v>
      </c>
      <c r="E347">
        <f t="shared" ref="E347:E357" ca="1" si="348">IF(AND($A347&lt;=2,$A347&lt;&gt;0),0,IF($A347=3,OFFSET(E347,-1,0)+1,OFFSET(E347,-1,0)))</f>
        <v>0</v>
      </c>
      <c r="F347">
        <f t="shared" ref="F347:F357" ca="1" si="349">IF(AND($A347&lt;=3,$A347&lt;&gt;0),0,IF($A347=4,OFFSET(F347,-1,0)+1,OFFSET(F347,-1,0)))</f>
        <v>0</v>
      </c>
      <c r="G347">
        <f t="shared" ref="G347:G357" ca="1" si="350">IF(AND($A347&lt;=4,$A347&lt;&gt;0),0,IF($A347="S",OFFSET(G347,-1,0)+1,OFFSET(G347,-1,0)))</f>
        <v>8</v>
      </c>
      <c r="H347">
        <f ca="1">IF(OR($A347="S",$A347=0),0,MATCH(0,OFFSET($B347,1,$A347,ROW($A$1504)-ROW($A347)),0))</f>
        <v>0</v>
      </c>
      <c r="I347">
        <f ca="1">IF(OR($A347="S",$A347=0),0,MATCH(OFFSET($B347,0,$A347)+1,OFFSET($B347,1,$A347,ROW($A$1504)-ROW($A347)),0))</f>
        <v>0</v>
      </c>
      <c r="J347" s="132" t="s">
        <v>29</v>
      </c>
      <c r="K347" s="121" t="str">
        <f t="shared" ref="K347:K357" ca="1" si="351">IF($A347=0,"-",CONCATENATE(C347&amp;".",IF(AND($A$5&gt;=2,$A347&gt;=2),D347&amp;".",""),IF(AND($A$5&gt;=3,$A347&gt;=3),E347&amp;".",""),IF(AND($A$5&gt;=4,$A347&gt;=4),F347&amp;".",""),IF($A347="S",G347&amp;".","")))</f>
        <v>5.1.8.</v>
      </c>
      <c r="L347" s="137" t="str">
        <f t="shared" ref="L347:L357" ca="1" si="352">IF(NOT(ISERROR($Y347)),IF($Y347&lt;&gt;FALSE,INDEX(Banco,$Y347,4),""),"")</f>
        <v>Cotação</v>
      </c>
      <c r="M347" s="122" t="s">
        <v>80</v>
      </c>
      <c r="N347" s="139" t="s">
        <v>151</v>
      </c>
      <c r="O347" s="137" t="str">
        <f t="shared" ca="1" si="343"/>
        <v>Locação de mesas</v>
      </c>
      <c r="P347" s="138" t="str">
        <f t="shared" ref="P347:P357" ca="1" si="353">IF(NOT(ISERROR($Y347)),IF($Y347&lt;&gt;FALSE,INDEX(Banco,$Y347,6),""),"")</f>
        <v>Unidade</v>
      </c>
      <c r="Q347" s="134">
        <v>20</v>
      </c>
      <c r="R347" s="124">
        <f t="shared" ref="R347:R357" ca="1" si="354">IF(NOT(ISERROR($Y347)),IF($Y347&lt;&gt;FALSE,INDEX(Banco,$Y347,7),0),0)</f>
        <v>3</v>
      </c>
      <c r="S347" s="136" t="s">
        <v>62</v>
      </c>
      <c r="T347" s="123">
        <f t="shared" ref="T347:T357" ca="1" si="355">IF($J347=$G$2,ROUND(ROUND($R347,2)*IF($R$9="Preço Unitário (R$)",1,1+$AA347),2),0)</f>
        <v>3.75</v>
      </c>
      <c r="U347" s="126">
        <f t="shared" ref="U347:U357" ca="1" si="356">IF($A347="S",VTOTAL1,IF($A347=0,0,ROUND(SomaAgrup,2)))</f>
        <v>75</v>
      </c>
      <c r="V347" s="1"/>
      <c r="W347" s="39" t="str">
        <f ca="1">IF(OR($A347=0,$A347="S",$A347&gt;CFF!$A$9),"",MAX(W$11:OFFSET(W347,-1,0))+1)</f>
        <v/>
      </c>
      <c r="X347" s="4" t="str">
        <f t="shared" ref="X347:X357" si="357">IF(AND($J347=$G$2,$N347&lt;&gt;"",$M347&lt;&gt;""),CONCATENATE($M347,"-",$N347))</f>
        <v>Serv. Terc.-003</v>
      </c>
      <c r="Y347" s="39">
        <f t="shared" ref="Y347:Y357" ca="1" si="358">IF(X347&lt;&gt;FALSE,MATCH(X347,OFFSET(Banco,0,0,,1),0))</f>
        <v>83</v>
      </c>
      <c r="Z347" s="1"/>
      <c r="AA347" s="133">
        <f>IF($J347=$G$2,ROUND(IF(ISNUMBER(S347),S347,IF(LEFT(S347,2)="DI",HLOOKUP(S347,DADOS!$T$29:$X$30,2,FALSE),0)),4),"")</f>
        <v>0.25</v>
      </c>
      <c r="AB347" s="2"/>
    </row>
    <row r="348" spans="1:28">
      <c r="A348" t="str">
        <f t="shared" si="344"/>
        <v>S</v>
      </c>
      <c r="B348">
        <f t="shared" si="345"/>
        <v>0</v>
      </c>
      <c r="C348">
        <f t="shared" ca="1" si="346"/>
        <v>5</v>
      </c>
      <c r="D348">
        <f t="shared" ca="1" si="347"/>
        <v>1</v>
      </c>
      <c r="E348">
        <f t="shared" ca="1" si="348"/>
        <v>0</v>
      </c>
      <c r="F348">
        <f t="shared" ca="1" si="349"/>
        <v>0</v>
      </c>
      <c r="G348">
        <f t="shared" ca="1" si="350"/>
        <v>9</v>
      </c>
      <c r="H348">
        <f ca="1">IF(OR($A348="S",$A348=0),0,MATCH(0,OFFSET($B348,1,$A348,ROW($A$1504)-ROW($A348)),0))</f>
        <v>0</v>
      </c>
      <c r="I348">
        <f ca="1">IF(OR($A348="S",$A348=0),0,MATCH(OFFSET($B348,0,$A348)+1,OFFSET($B348,1,$A348,ROW($A$1504)-ROW($A348)),0))</f>
        <v>0</v>
      </c>
      <c r="J348" s="132" t="s">
        <v>29</v>
      </c>
      <c r="K348" s="121" t="str">
        <f t="shared" ca="1" si="351"/>
        <v>5.1.9.</v>
      </c>
      <c r="L348" s="137" t="str">
        <f t="shared" ca="1" si="352"/>
        <v>Cotação</v>
      </c>
      <c r="M348" s="122" t="s">
        <v>80</v>
      </c>
      <c r="N348" s="139" t="s">
        <v>153</v>
      </c>
      <c r="O348" s="137" t="str">
        <f t="shared" ca="1" si="343"/>
        <v>Locação de cadeiras</v>
      </c>
      <c r="P348" s="138" t="str">
        <f t="shared" ca="1" si="353"/>
        <v>Unidade</v>
      </c>
      <c r="Q348" s="134">
        <v>400</v>
      </c>
      <c r="R348" s="124">
        <f t="shared" ca="1" si="354"/>
        <v>2</v>
      </c>
      <c r="S348" s="136" t="s">
        <v>62</v>
      </c>
      <c r="T348" s="123">
        <f t="shared" ca="1" si="355"/>
        <v>2.5</v>
      </c>
      <c r="U348" s="126">
        <f t="shared" ca="1" si="356"/>
        <v>1000</v>
      </c>
      <c r="V348" s="1"/>
      <c r="W348" s="39" t="str">
        <f ca="1">IF(OR($A348=0,$A348="S",$A348&gt;CFF!$A$9),"",MAX(W$11:OFFSET(W348,-1,0))+1)</f>
        <v/>
      </c>
      <c r="X348" s="4" t="str">
        <f t="shared" si="357"/>
        <v>Serv. Terc.-004</v>
      </c>
      <c r="Y348" s="39">
        <f t="shared" ca="1" si="358"/>
        <v>84</v>
      </c>
      <c r="Z348" s="1"/>
      <c r="AA348" s="133">
        <f>IF($J348=$G$2,ROUND(IF(ISNUMBER(S348),S348,IF(LEFT(S348,2)="DI",HLOOKUP(S348,DADOS!$T$29:$X$30,2,FALSE),0)),4),"")</f>
        <v>0.25</v>
      </c>
      <c r="AB348" s="2"/>
    </row>
    <row r="349" spans="1:28">
      <c r="A349" t="str">
        <f t="shared" si="344"/>
        <v>S</v>
      </c>
      <c r="B349">
        <f t="shared" si="345"/>
        <v>0</v>
      </c>
      <c r="C349">
        <f t="shared" ca="1" si="346"/>
        <v>5</v>
      </c>
      <c r="D349">
        <f t="shared" ca="1" si="347"/>
        <v>1</v>
      </c>
      <c r="E349">
        <f t="shared" ca="1" si="348"/>
        <v>0</v>
      </c>
      <c r="F349">
        <f t="shared" ca="1" si="349"/>
        <v>0</v>
      </c>
      <c r="G349">
        <f t="shared" ca="1" si="350"/>
        <v>10</v>
      </c>
      <c r="H349">
        <f ca="1">IF(OR($A349="S",$A349=0),0,MATCH(0,OFFSET($B349,1,$A349,ROW($A$1504)-ROW($A349)),0))</f>
        <v>0</v>
      </c>
      <c r="I349">
        <f ca="1">IF(OR($A349="S",$A349=0),0,MATCH(OFFSET($B349,0,$A349)+1,OFFSET($B349,1,$A349,ROW($A$1504)-ROW($A349)),0))</f>
        <v>0</v>
      </c>
      <c r="J349" s="132" t="s">
        <v>29</v>
      </c>
      <c r="K349" s="121" t="str">
        <f t="shared" ca="1" si="351"/>
        <v>5.1.10.</v>
      </c>
      <c r="L349" s="137" t="str">
        <f t="shared" ca="1" si="352"/>
        <v>Cotação</v>
      </c>
      <c r="M349" s="122" t="s">
        <v>80</v>
      </c>
      <c r="N349" s="139" t="s">
        <v>154</v>
      </c>
      <c r="O349" s="137" t="str">
        <f t="shared" ca="1" si="343"/>
        <v>Locação de caixa térmica</v>
      </c>
      <c r="P349" s="138" t="str">
        <f t="shared" ca="1" si="353"/>
        <v>Unidade</v>
      </c>
      <c r="Q349" s="134">
        <v>2</v>
      </c>
      <c r="R349" s="124">
        <f t="shared" ca="1" si="354"/>
        <v>40</v>
      </c>
      <c r="S349" s="136" t="s">
        <v>62</v>
      </c>
      <c r="T349" s="123">
        <f t="shared" ca="1" si="355"/>
        <v>50</v>
      </c>
      <c r="U349" s="126">
        <f t="shared" ca="1" si="356"/>
        <v>100</v>
      </c>
      <c r="V349" s="1"/>
      <c r="W349" s="39" t="str">
        <f ca="1">IF(OR($A349=0,$A349="S",$A349&gt;CFF!$A$9),"",MAX(W$11:OFFSET(W349,-1,0))+1)</f>
        <v/>
      </c>
      <c r="X349" s="4" t="str">
        <f t="shared" si="357"/>
        <v>Serv. Terc.-005</v>
      </c>
      <c r="Y349" s="39">
        <f t="shared" ca="1" si="358"/>
        <v>85</v>
      </c>
      <c r="Z349" s="1"/>
      <c r="AA349" s="133">
        <f>IF($J349=$G$2,ROUND(IF(ISNUMBER(S349),S349,IF(LEFT(S349,2)="DI",HLOOKUP(S349,DADOS!$T$29:$X$30,2,FALSE),0)),4),"")</f>
        <v>0.25</v>
      </c>
      <c r="AB349" s="2"/>
    </row>
    <row r="350" spans="1:28">
      <c r="A350" t="str">
        <f t="shared" si="344"/>
        <v>S</v>
      </c>
      <c r="B350">
        <f t="shared" si="345"/>
        <v>0</v>
      </c>
      <c r="C350">
        <f t="shared" ca="1" si="346"/>
        <v>5</v>
      </c>
      <c r="D350">
        <f t="shared" ca="1" si="347"/>
        <v>1</v>
      </c>
      <c r="E350">
        <f t="shared" ca="1" si="348"/>
        <v>0</v>
      </c>
      <c r="F350">
        <f t="shared" ca="1" si="349"/>
        <v>0</v>
      </c>
      <c r="G350">
        <f t="shared" ca="1" si="350"/>
        <v>11</v>
      </c>
      <c r="H350">
        <f ca="1">IF(OR($A350="S",$A350=0),0,MATCH(0,OFFSET($B350,1,$A350,ROW($A$1504)-ROW($A350)),0))</f>
        <v>0</v>
      </c>
      <c r="I350">
        <f ca="1">IF(OR($A350="S",$A350=0),0,MATCH(OFFSET($B350,0,$A350)+1,OFFSET($B350,1,$A350,ROW($A$1504)-ROW($A350)),0))</f>
        <v>0</v>
      </c>
      <c r="J350" s="132" t="s">
        <v>29</v>
      </c>
      <c r="K350" s="121" t="str">
        <f t="shared" ca="1" si="351"/>
        <v>5.1.11.</v>
      </c>
      <c r="L350" s="137" t="str">
        <f t="shared" ca="1" si="352"/>
        <v>Cotação</v>
      </c>
      <c r="M350" s="122" t="s">
        <v>80</v>
      </c>
      <c r="N350" s="139" t="s">
        <v>155</v>
      </c>
      <c r="O350" s="137" t="str">
        <f t="shared" ca="1" si="343"/>
        <v>Locação de tendas</v>
      </c>
      <c r="P350" s="138" t="str">
        <f t="shared" ca="1" si="353"/>
        <v>Unidade</v>
      </c>
      <c r="Q350" s="134">
        <v>3</v>
      </c>
      <c r="R350" s="124">
        <f t="shared" ca="1" si="354"/>
        <v>250</v>
      </c>
      <c r="S350" s="136" t="s">
        <v>62</v>
      </c>
      <c r="T350" s="123">
        <f t="shared" ca="1" si="355"/>
        <v>312.5</v>
      </c>
      <c r="U350" s="126">
        <f t="shared" ca="1" si="356"/>
        <v>937.5</v>
      </c>
      <c r="V350" s="1"/>
      <c r="W350" s="39" t="str">
        <f ca="1">IF(OR($A350=0,$A350="S",$A350&gt;CFF!$A$9),"",MAX(W$11:OFFSET(W350,-1,0))+1)</f>
        <v/>
      </c>
      <c r="X350" s="4" t="str">
        <f t="shared" si="357"/>
        <v>Serv. Terc.-006</v>
      </c>
      <c r="Y350" s="39">
        <f t="shared" ca="1" si="358"/>
        <v>86</v>
      </c>
      <c r="Z350" s="1"/>
      <c r="AA350" s="133">
        <f>IF($J350=$G$2,ROUND(IF(ISNUMBER(S350),S350,IF(LEFT(S350,2)="DI",HLOOKUP(S350,DADOS!$T$29:$X$30,2,FALSE),0)),4),"")</f>
        <v>0.25</v>
      </c>
      <c r="AB350" s="2"/>
    </row>
    <row r="351" spans="1:28">
      <c r="A351" t="str">
        <f t="shared" si="344"/>
        <v>S</v>
      </c>
      <c r="B351">
        <f t="shared" si="345"/>
        <v>0</v>
      </c>
      <c r="C351">
        <f t="shared" ca="1" si="346"/>
        <v>5</v>
      </c>
      <c r="D351">
        <f t="shared" ca="1" si="347"/>
        <v>1</v>
      </c>
      <c r="E351">
        <f t="shared" ca="1" si="348"/>
        <v>0</v>
      </c>
      <c r="F351">
        <f t="shared" ca="1" si="349"/>
        <v>0</v>
      </c>
      <c r="G351">
        <f t="shared" ca="1" si="350"/>
        <v>12</v>
      </c>
      <c r="H351">
        <f ca="1">IF(OR($A351="S",$A351=0),0,MATCH(0,OFFSET($B351,1,$A351,ROW($A$1504)-ROW($A351)),0))</f>
        <v>0</v>
      </c>
      <c r="I351">
        <f ca="1">IF(OR($A351="S",$A351=0),0,MATCH(OFFSET($B351,0,$A351)+1,OFFSET($B351,1,$A351,ROW($A$1504)-ROW($A351)),0))</f>
        <v>0</v>
      </c>
      <c r="J351" s="132" t="s">
        <v>29</v>
      </c>
      <c r="K351" s="121" t="str">
        <f t="shared" ca="1" si="351"/>
        <v>5.1.12.</v>
      </c>
      <c r="L351" s="137" t="str">
        <f t="shared" ca="1" si="352"/>
        <v>Cotação</v>
      </c>
      <c r="M351" s="122" t="s">
        <v>80</v>
      </c>
      <c r="N351" s="139" t="s">
        <v>157</v>
      </c>
      <c r="O351" s="137" t="str">
        <f t="shared" ca="1" si="343"/>
        <v>Locação de pula-pula com monitor</v>
      </c>
      <c r="P351" s="138" t="str">
        <f t="shared" ca="1" si="353"/>
        <v>Unidade</v>
      </c>
      <c r="Q351" s="134">
        <v>2</v>
      </c>
      <c r="R351" s="124">
        <f t="shared" ca="1" si="354"/>
        <v>220</v>
      </c>
      <c r="S351" s="136" t="s">
        <v>62</v>
      </c>
      <c r="T351" s="123">
        <f t="shared" ca="1" si="355"/>
        <v>275</v>
      </c>
      <c r="U351" s="126">
        <f t="shared" ca="1" si="356"/>
        <v>550</v>
      </c>
      <c r="V351" s="1"/>
      <c r="W351" s="39" t="str">
        <f ca="1">IF(OR($A351=0,$A351="S",$A351&gt;CFF!$A$9),"",MAX(W$11:OFFSET(W351,-1,0))+1)</f>
        <v/>
      </c>
      <c r="X351" s="4" t="str">
        <f t="shared" si="357"/>
        <v>Serv. Terc.-008</v>
      </c>
      <c r="Y351" s="39">
        <f t="shared" ca="1" si="358"/>
        <v>88</v>
      </c>
      <c r="Z351" s="1"/>
      <c r="AA351" s="133">
        <f>IF($J351=$G$2,ROUND(IF(ISNUMBER(S351),S351,IF(LEFT(S351,2)="DI",HLOOKUP(S351,DADOS!$T$29:$X$30,2,FALSE),0)),4),"")</f>
        <v>0.25</v>
      </c>
      <c r="AB351" s="2"/>
    </row>
    <row r="352" spans="1:28">
      <c r="A352" t="str">
        <f t="shared" si="344"/>
        <v>S</v>
      </c>
      <c r="B352">
        <f t="shared" si="345"/>
        <v>0</v>
      </c>
      <c r="C352">
        <f t="shared" ca="1" si="346"/>
        <v>5</v>
      </c>
      <c r="D352">
        <f t="shared" ca="1" si="347"/>
        <v>1</v>
      </c>
      <c r="E352">
        <f t="shared" ca="1" si="348"/>
        <v>0</v>
      </c>
      <c r="F352">
        <f t="shared" ca="1" si="349"/>
        <v>0</v>
      </c>
      <c r="G352">
        <f t="shared" ca="1" si="350"/>
        <v>13</v>
      </c>
      <c r="H352">
        <f ca="1">IF(OR($A352="S",$A352=0),0,MATCH(0,OFFSET($B352,1,$A352,ROW($A$1504)-ROW($A352)),0))</f>
        <v>0</v>
      </c>
      <c r="I352">
        <f ca="1">IF(OR($A352="S",$A352=0),0,MATCH(OFFSET($B352,0,$A352)+1,OFFSET($B352,1,$A352,ROW($A$1504)-ROW($A352)),0))</f>
        <v>0</v>
      </c>
      <c r="J352" s="132" t="s">
        <v>29</v>
      </c>
      <c r="K352" s="121" t="str">
        <f t="shared" ca="1" si="351"/>
        <v>5.1.13.</v>
      </c>
      <c r="L352" s="137" t="str">
        <f t="shared" ca="1" si="352"/>
        <v>Cotação</v>
      </c>
      <c r="M352" s="122" t="s">
        <v>80</v>
      </c>
      <c r="N352" s="139" t="s">
        <v>161</v>
      </c>
      <c r="O352" s="137" t="str">
        <f t="shared" ca="1" si="343"/>
        <v>Água (garrafão de 20 litros)</v>
      </c>
      <c r="P352" s="138" t="str">
        <f t="shared" ca="1" si="353"/>
        <v>Unidade</v>
      </c>
      <c r="Q352" s="134">
        <v>2</v>
      </c>
      <c r="R352" s="124">
        <f t="shared" ca="1" si="354"/>
        <v>10</v>
      </c>
      <c r="S352" s="136" t="s">
        <v>62</v>
      </c>
      <c r="T352" s="123">
        <f t="shared" ca="1" si="355"/>
        <v>12.5</v>
      </c>
      <c r="U352" s="126">
        <f t="shared" ca="1" si="356"/>
        <v>25</v>
      </c>
      <c r="V352" s="1"/>
      <c r="W352" s="39" t="str">
        <f ca="1">IF(OR($A352=0,$A352="S",$A352&gt;CFF!$A$9),"",MAX(W$11:OFFSET(W352,-1,0))+1)</f>
        <v/>
      </c>
      <c r="X352" s="4" t="str">
        <f t="shared" si="357"/>
        <v>Serv. Terc.-012</v>
      </c>
      <c r="Y352" s="39">
        <f t="shared" ca="1" si="358"/>
        <v>92</v>
      </c>
      <c r="Z352" s="1"/>
      <c r="AA352" s="133">
        <f>IF($J352=$G$2,ROUND(IF(ISNUMBER(S352),S352,IF(LEFT(S352,2)="DI",HLOOKUP(S352,DADOS!$T$29:$X$30,2,FALSE),0)),4),"")</f>
        <v>0.25</v>
      </c>
      <c r="AB352" s="2"/>
    </row>
    <row r="353" spans="1:28">
      <c r="A353" t="str">
        <f t="shared" si="344"/>
        <v>S</v>
      </c>
      <c r="B353">
        <f t="shared" si="345"/>
        <v>0</v>
      </c>
      <c r="C353">
        <f t="shared" ca="1" si="346"/>
        <v>5</v>
      </c>
      <c r="D353">
        <f t="shared" ca="1" si="347"/>
        <v>1</v>
      </c>
      <c r="E353">
        <f t="shared" ca="1" si="348"/>
        <v>0</v>
      </c>
      <c r="F353">
        <f t="shared" ca="1" si="349"/>
        <v>0</v>
      </c>
      <c r="G353">
        <f t="shared" ca="1" si="350"/>
        <v>14</v>
      </c>
      <c r="H353">
        <f ca="1">IF(OR($A353="S",$A353=0),0,MATCH(0,OFFSET($B353,1,$A353,ROW($A$1504)-ROW($A353)),0))</f>
        <v>0</v>
      </c>
      <c r="I353">
        <f ca="1">IF(OR($A353="S",$A353=0),0,MATCH(OFFSET($B353,0,$A353)+1,OFFSET($B353,1,$A353,ROW($A$1504)-ROW($A353)),0))</f>
        <v>0</v>
      </c>
      <c r="J353" s="132" t="s">
        <v>29</v>
      </c>
      <c r="K353" s="121" t="str">
        <f t="shared" ca="1" si="351"/>
        <v>5.1.14.</v>
      </c>
      <c r="L353" s="137" t="str">
        <f t="shared" ca="1" si="352"/>
        <v xml:space="preserve">Cotação </v>
      </c>
      <c r="M353" s="122" t="s">
        <v>80</v>
      </c>
      <c r="N353" s="139" t="s">
        <v>160</v>
      </c>
      <c r="O353" s="137" t="str">
        <f t="shared" ca="1" si="343"/>
        <v>Barra de gelo</v>
      </c>
      <c r="P353" s="138" t="str">
        <f t="shared" ca="1" si="353"/>
        <v>Unidade</v>
      </c>
      <c r="Q353" s="134">
        <v>4</v>
      </c>
      <c r="R353" s="124">
        <f t="shared" ca="1" si="354"/>
        <v>12</v>
      </c>
      <c r="S353" s="136" t="s">
        <v>62</v>
      </c>
      <c r="T353" s="123">
        <f t="shared" ca="1" si="355"/>
        <v>15</v>
      </c>
      <c r="U353" s="126">
        <f t="shared" ca="1" si="356"/>
        <v>60</v>
      </c>
      <c r="V353" s="1"/>
      <c r="W353" s="39" t="str">
        <f ca="1">IF(OR($A353=0,$A353="S",$A353&gt;CFF!$A$9),"",MAX(W$11:OFFSET(W353,-1,0))+1)</f>
        <v/>
      </c>
      <c r="X353" s="4" t="str">
        <f t="shared" si="357"/>
        <v>Serv. Terc.-011</v>
      </c>
      <c r="Y353" s="39">
        <f t="shared" ca="1" si="358"/>
        <v>91</v>
      </c>
      <c r="Z353" s="1"/>
      <c r="AA353" s="133">
        <f>IF($J353=$G$2,ROUND(IF(ISNUMBER(S353),S353,IF(LEFT(S353,2)="DI",HLOOKUP(S353,DADOS!$T$29:$X$30,2,FALSE),0)),4),"")</f>
        <v>0.25</v>
      </c>
      <c r="AB353" s="2"/>
    </row>
    <row r="354" spans="1:28">
      <c r="A354" t="str">
        <f t="shared" si="344"/>
        <v>S</v>
      </c>
      <c r="B354">
        <f t="shared" si="345"/>
        <v>0</v>
      </c>
      <c r="C354">
        <f t="shared" ca="1" si="346"/>
        <v>5</v>
      </c>
      <c r="D354">
        <f t="shared" ca="1" si="347"/>
        <v>1</v>
      </c>
      <c r="E354">
        <f t="shared" ca="1" si="348"/>
        <v>0</v>
      </c>
      <c r="F354">
        <f t="shared" ca="1" si="349"/>
        <v>0</v>
      </c>
      <c r="G354">
        <f t="shared" ca="1" si="350"/>
        <v>15</v>
      </c>
      <c r="H354">
        <f ca="1">IF(OR($A354="S",$A354=0),0,MATCH(0,OFFSET($B354,1,$A354,ROW($A$1504)-ROW($A354)),0))</f>
        <v>0</v>
      </c>
      <c r="I354">
        <f ca="1">IF(OR($A354="S",$A354=0),0,MATCH(OFFSET($B354,0,$A354)+1,OFFSET($B354,1,$A354,ROW($A$1504)-ROW($A354)),0))</f>
        <v>0</v>
      </c>
      <c r="J354" s="132" t="s">
        <v>29</v>
      </c>
      <c r="K354" s="121" t="str">
        <f t="shared" ca="1" si="351"/>
        <v>5.1.15.</v>
      </c>
      <c r="L354" s="137" t="str">
        <f t="shared" ca="1" si="352"/>
        <v>Cotação</v>
      </c>
      <c r="M354" s="122" t="s">
        <v>80</v>
      </c>
      <c r="N354" s="139" t="s">
        <v>150</v>
      </c>
      <c r="O354" s="137" t="str">
        <f t="shared" ca="1" si="343"/>
        <v>Sucos</v>
      </c>
      <c r="P354" s="138" t="str">
        <f t="shared" ca="1" si="353"/>
        <v>Unidade</v>
      </c>
      <c r="Q354" s="134">
        <v>12</v>
      </c>
      <c r="R354" s="124">
        <f t="shared" ca="1" si="354"/>
        <v>6.4</v>
      </c>
      <c r="S354" s="136" t="s">
        <v>62</v>
      </c>
      <c r="T354" s="123">
        <f t="shared" ca="1" si="355"/>
        <v>8</v>
      </c>
      <c r="U354" s="126">
        <f t="shared" ca="1" si="356"/>
        <v>96</v>
      </c>
      <c r="V354" s="1"/>
      <c r="W354" s="39" t="str">
        <f ca="1">IF(OR($A354=0,$A354="S",$A354&gt;CFF!$A$9),"",MAX(W$11:OFFSET(W354,-1,0))+1)</f>
        <v/>
      </c>
      <c r="X354" s="4" t="str">
        <f t="shared" si="357"/>
        <v>Serv. Terc.-013</v>
      </c>
      <c r="Y354" s="39">
        <f t="shared" ca="1" si="358"/>
        <v>93</v>
      </c>
      <c r="Z354" s="1"/>
      <c r="AA354" s="133">
        <f>IF($J354=$G$2,ROUND(IF(ISNUMBER(S354),S354,IF(LEFT(S354,2)="DI",HLOOKUP(S354,DADOS!$T$29:$X$30,2,FALSE),0)),4),"")</f>
        <v>0.25</v>
      </c>
      <c r="AB354" s="2"/>
    </row>
    <row r="355" spans="1:28">
      <c r="A355" t="str">
        <f>CHOOSE(1+LOG(1+2*(J355=$C$2)+4*(J355=$D$2)+8*(J355=$E$2)+16*(J355=$F$2)+32*(J355=$G$2),2),0,1,2,3,4,"S")</f>
        <v>S</v>
      </c>
      <c r="B355">
        <f>IF(OR(A355="S",A355=0),0,IF(ISERROR(I355),H355,SMALL(H355:I355,1)))</f>
        <v>0</v>
      </c>
      <c r="C355">
        <f ca="1">IF($A355=1,OFFSET(C355,-1,0)+1,OFFSET(C355,-1,0))</f>
        <v>5</v>
      </c>
      <c r="D355">
        <f ca="1">IF($A355=1,0,IF($A355=2,OFFSET(D355,-1,0)+1,OFFSET(D355,-1,0)))</f>
        <v>1</v>
      </c>
      <c r="E355">
        <f ca="1">IF(AND($A355&lt;=2,$A355&lt;&gt;0),0,IF($A355=3,OFFSET(E355,-1,0)+1,OFFSET(E355,-1,0)))</f>
        <v>0</v>
      </c>
      <c r="F355">
        <f ca="1">IF(AND($A355&lt;=3,$A355&lt;&gt;0),0,IF($A355=4,OFFSET(F355,-1,0)+1,OFFSET(F355,-1,0)))</f>
        <v>0</v>
      </c>
      <c r="G355">
        <f ca="1">IF(AND($A355&lt;=4,$A355&lt;&gt;0),0,IF($A355="S",OFFSET(G355,-1,0)+1,OFFSET(G355,-1,0)))</f>
        <v>16</v>
      </c>
      <c r="H355">
        <f ca="1">IF(OR($A355="S",$A355=0),0,MATCH(0,OFFSET($B355,1,$A355,ROW($A$1504)-ROW($A355)),0))</f>
        <v>0</v>
      </c>
      <c r="I355">
        <f ca="1">IF(OR($A355="S",$A355=0),0,MATCH(OFFSET($B355,0,$A355)+1,OFFSET($B355,1,$A355,ROW($A$1504)-ROW($A355)),0))</f>
        <v>0</v>
      </c>
      <c r="J355" s="132" t="s">
        <v>29</v>
      </c>
      <c r="K355" s="121" t="str">
        <f ca="1">IF($A355=0,"-",CONCATENATE(C355&amp;".",IF(AND($A$5&gt;=2,$A355&gt;=2),D355&amp;".",""),IF(AND($A$5&gt;=3,$A355&gt;=3),E355&amp;".",""),IF(AND($A$5&gt;=4,$A355&gt;=4),F355&amp;".",""),IF($A355="S",G355&amp;".","")))</f>
        <v>5.1.16.</v>
      </c>
      <c r="L355" s="137" t="str">
        <f ca="1">IF(NOT(ISERROR($Y355)),IF($Y355&lt;&gt;FALSE,INDEX(Banco,$Y355,4),""),"")</f>
        <v>Cotação</v>
      </c>
      <c r="M355" s="122" t="s">
        <v>80</v>
      </c>
      <c r="N355" s="139" t="s">
        <v>171</v>
      </c>
      <c r="O355" s="137" t="str">
        <f ca="1">IF(NOT(ISERROR($Y355)),IF($Y355&lt;&gt;FALSE,INDEX(Banco,$Y355,5),""),"")</f>
        <v xml:space="preserve">Refrigerantes (02 litros) </v>
      </c>
      <c r="P355" s="138" t="str">
        <f ca="1">IF(NOT(ISERROR($Y355)),IF($Y355&lt;&gt;FALSE,INDEX(Banco,$Y355,6),""),"")</f>
        <v>Unidade</v>
      </c>
      <c r="Q355" s="134">
        <v>20</v>
      </c>
      <c r="R355" s="124">
        <f ca="1">IF(NOT(ISERROR($Y355)),IF($Y355&lt;&gt;FALSE,INDEX(Banco,$Y355,7),0),0)</f>
        <v>6</v>
      </c>
      <c r="S355" s="136" t="s">
        <v>62</v>
      </c>
      <c r="T355" s="123">
        <f ca="1">IF($J355=$G$2,ROUND(ROUND($R355,2)*IF($R$9="Preço Unitário (R$)",1,1+$AA355),2),0)</f>
        <v>7.5</v>
      </c>
      <c r="U355" s="126">
        <f ca="1">IF($A355="S",VTOTAL1,IF($A355=0,0,ROUND(SomaAgrup,2)))</f>
        <v>150</v>
      </c>
      <c r="V355" s="1"/>
      <c r="W355" s="39" t="str">
        <f ca="1">IF(OR($A355=0,$A355="S",$A355&gt;CFF!$A$9),"",MAX(W$11:OFFSET(W355,-1,0))+1)</f>
        <v/>
      </c>
      <c r="X355" s="4" t="str">
        <f>IF(AND($J355=$G$2,$N355&lt;&gt;"",$M355&lt;&gt;""),CONCATENATE($M355,"-",$N355))</f>
        <v>Serv. Terc.-027</v>
      </c>
      <c r="Y355" s="39">
        <f ca="1">IF(X355&lt;&gt;FALSE,MATCH(X355,OFFSET(Banco,0,0,,1),0))</f>
        <v>107</v>
      </c>
      <c r="Z355" s="1"/>
      <c r="AA355" s="133">
        <f>IF($J355=$G$2,ROUND(IF(ISNUMBER(S355),S355,IF(LEFT(S355,2)="DI",HLOOKUP(S355,DADOS!$T$29:$X$30,2,FALSE),0)),4),"")</f>
        <v>0.25</v>
      </c>
      <c r="AB355" s="2"/>
    </row>
    <row r="356" spans="1:28">
      <c r="A356" t="str">
        <f>CHOOSE(1+LOG(1+2*(J356=$C$2)+4*(J356=$D$2)+8*(J356=$E$2)+16*(J356=$F$2)+32*(J356=$G$2),2),0,1,2,3,4,"S")</f>
        <v>S</v>
      </c>
      <c r="B356">
        <f>IF(OR(A356="S",A356=0),0,IF(ISERROR(I356),H356,SMALL(H356:I356,1)))</f>
        <v>0</v>
      </c>
      <c r="C356">
        <f ca="1">IF($A356=1,OFFSET(C356,-1,0)+1,OFFSET(C356,-1,0))</f>
        <v>5</v>
      </c>
      <c r="D356">
        <f ca="1">IF($A356=1,0,IF($A356=2,OFFSET(D356,-1,0)+1,OFFSET(D356,-1,0)))</f>
        <v>1</v>
      </c>
      <c r="E356">
        <f ca="1">IF(AND($A356&lt;=2,$A356&lt;&gt;0),0,IF($A356=3,OFFSET(E356,-1,0)+1,OFFSET(E356,-1,0)))</f>
        <v>0</v>
      </c>
      <c r="F356">
        <f ca="1">IF(AND($A356&lt;=3,$A356&lt;&gt;0),0,IF($A356=4,OFFSET(F356,-1,0)+1,OFFSET(F356,-1,0)))</f>
        <v>0</v>
      </c>
      <c r="G356">
        <f ca="1">IF(AND($A356&lt;=4,$A356&lt;&gt;0),0,IF($A356="S",OFFSET(G356,-1,0)+1,OFFSET(G356,-1,0)))</f>
        <v>17</v>
      </c>
      <c r="H356">
        <f ca="1">IF(OR($A356="S",$A356=0),0,MATCH(0,OFFSET($B356,1,$A356,ROW($A$1504)-ROW($A356)),0))</f>
        <v>0</v>
      </c>
      <c r="I356">
        <f ca="1">IF(OR($A356="S",$A356=0),0,MATCH(OFFSET($B356,0,$A356)+1,OFFSET($B356,1,$A356,ROW($A$1504)-ROW($A356)),0))</f>
        <v>0</v>
      </c>
      <c r="J356" s="132" t="s">
        <v>29</v>
      </c>
      <c r="K356" s="121" t="str">
        <f ca="1">IF($A356=0,"-",CONCATENATE(C356&amp;".",IF(AND($A$5&gt;=2,$A356&gt;=2),D356&amp;".",""),IF(AND($A$5&gt;=3,$A356&gt;=3),E356&amp;".",""),IF(AND($A$5&gt;=4,$A356&gt;=4),F356&amp;".",""),IF($A356="S",G356&amp;".","")))</f>
        <v>5.1.17.</v>
      </c>
      <c r="L356" s="137" t="str">
        <f ca="1">IF(NOT(ISERROR($Y356)),IF($Y356&lt;&gt;FALSE,INDEX(Banco,$Y356,4),""),"")</f>
        <v xml:space="preserve">Cotação </v>
      </c>
      <c r="M356" s="122" t="s">
        <v>80</v>
      </c>
      <c r="N356" s="139" t="s">
        <v>159</v>
      </c>
      <c r="O356" s="137" t="str">
        <f ca="1">IF(NOT(ISERROR($Y356)),IF($Y356&lt;&gt;FALSE,INDEX(Banco,$Y356,5),""),"")</f>
        <v>Brindes ( descrição nos orçamentos e PTS)</v>
      </c>
      <c r="P356" s="138" t="str">
        <f ca="1">IF(NOT(ISERROR($Y356)),IF($Y356&lt;&gt;FALSE,INDEX(Banco,$Y356,6),""),"")</f>
        <v>Unidade</v>
      </c>
      <c r="Q356" s="134">
        <v>8</v>
      </c>
      <c r="R356" s="124">
        <f ca="1">IF(NOT(ISERROR($Y356)),IF($Y356&lt;&gt;FALSE,INDEX(Banco,$Y356,7),0),0)</f>
        <v>120</v>
      </c>
      <c r="S356" s="136" t="s">
        <v>62</v>
      </c>
      <c r="T356" s="123">
        <f ca="1">IF($J356=$G$2,ROUND(ROUND($R356,2)*IF($R$9="Preço Unitário (R$)",1,1+$AA356),2),0)</f>
        <v>150</v>
      </c>
      <c r="U356" s="126">
        <f ca="1">IF($A356="S",VTOTAL1,IF($A356=0,0,ROUND(SomaAgrup,2)))</f>
        <v>1200</v>
      </c>
      <c r="V356" s="1"/>
      <c r="W356" s="39" t="str">
        <f ca="1">IF(OR($A356=0,$A356="S",$A356&gt;CFF!$A$9),"",MAX(W$11:OFFSET(W356,-1,0))+1)</f>
        <v/>
      </c>
      <c r="X356" s="4" t="str">
        <f>IF(AND($J356=$G$2,$N356&lt;&gt;"",$M356&lt;&gt;""),CONCATENATE($M356,"-",$N356))</f>
        <v>Serv. Terc.-010</v>
      </c>
      <c r="Y356" s="39">
        <f ca="1">IF(X356&lt;&gt;FALSE,MATCH(X356,OFFSET(Banco,0,0,,1),0))</f>
        <v>90</v>
      </c>
      <c r="Z356" s="1"/>
      <c r="AA356" s="133">
        <f>IF($J356=$G$2,ROUND(IF(ISNUMBER(S356),S356,IF(LEFT(S356,2)="DI",HLOOKUP(S356,DADOS!$T$29:$X$30,2,FALSE),0)),4),"")</f>
        <v>0.25</v>
      </c>
      <c r="AB356" s="2"/>
    </row>
    <row r="357" spans="1:28">
      <c r="A357" t="str">
        <f t="shared" si="344"/>
        <v>S</v>
      </c>
      <c r="B357">
        <f t="shared" si="345"/>
        <v>0</v>
      </c>
      <c r="C357">
        <f t="shared" ca="1" si="346"/>
        <v>5</v>
      </c>
      <c r="D357">
        <f t="shared" ca="1" si="347"/>
        <v>1</v>
      </c>
      <c r="E357">
        <f t="shared" ca="1" si="348"/>
        <v>0</v>
      </c>
      <c r="F357">
        <f t="shared" ca="1" si="349"/>
        <v>0</v>
      </c>
      <c r="G357">
        <f t="shared" ca="1" si="350"/>
        <v>18</v>
      </c>
      <c r="H357">
        <f ca="1">IF(OR($A357="S",$A357=0),0,MATCH(0,OFFSET($B357,1,$A357,ROW($A$1504)-ROW($A357)),0))</f>
        <v>0</v>
      </c>
      <c r="I357">
        <f ca="1">IF(OR($A357="S",$A357=0),0,MATCH(OFFSET($B357,0,$A357)+1,OFFSET($B357,1,$A357,ROW($A$1504)-ROW($A357)),0))</f>
        <v>0</v>
      </c>
      <c r="J357" s="132" t="s">
        <v>29</v>
      </c>
      <c r="K357" s="121" t="str">
        <f t="shared" ca="1" si="351"/>
        <v>5.1.18.</v>
      </c>
      <c r="L357" s="137" t="str">
        <f t="shared" ca="1" si="352"/>
        <v>Cotação</v>
      </c>
      <c r="M357" s="122" t="s">
        <v>80</v>
      </c>
      <c r="N357" s="139" t="s">
        <v>162</v>
      </c>
      <c r="O357" s="137" t="str">
        <f t="shared" ca="1" si="343"/>
        <v>Coffee break (salgados)</v>
      </c>
      <c r="P357" s="138" t="str">
        <f t="shared" ca="1" si="353"/>
        <v>Centro</v>
      </c>
      <c r="Q357" s="134">
        <v>15</v>
      </c>
      <c r="R357" s="124">
        <f t="shared" ca="1" si="354"/>
        <v>65</v>
      </c>
      <c r="S357" s="136" t="s">
        <v>62</v>
      </c>
      <c r="T357" s="123">
        <f t="shared" ca="1" si="355"/>
        <v>81.25</v>
      </c>
      <c r="U357" s="126">
        <f t="shared" ca="1" si="356"/>
        <v>1218.75</v>
      </c>
      <c r="V357" s="1"/>
      <c r="W357" s="39" t="str">
        <f ca="1">IF(OR($A357=0,$A357="S",$A357&gt;CFF!$A$9),"",MAX(W$11:OFFSET(W357,-1,0))+1)</f>
        <v/>
      </c>
      <c r="X357" s="4" t="str">
        <f t="shared" si="357"/>
        <v>Serv. Terc.-015</v>
      </c>
      <c r="Y357" s="39">
        <f t="shared" ca="1" si="358"/>
        <v>95</v>
      </c>
      <c r="Z357" s="1"/>
      <c r="AA357" s="133">
        <f>IF($J357=$G$2,ROUND(IF(ISNUMBER(S357),S357,IF(LEFT(S357,2)="DI",HLOOKUP(S357,DADOS!$T$29:$X$30,2,FALSE),0)),4),"")</f>
        <v>0.25</v>
      </c>
      <c r="AB357" s="2"/>
    </row>
    <row r="358" spans="1:28">
      <c r="A358" t="str">
        <f>CHOOSE(1+LOG(1+2*(J358=$C$2)+4*(J358=$D$2)+8*(J358=$E$2)+16*(J358=$F$2)+32*(J358=$G$2),2),0,1,2,3,4,"S")</f>
        <v>S</v>
      </c>
      <c r="B358">
        <f>IF(OR(A358="S",A358=0),0,IF(ISERROR(I358),H358,SMALL(H358:I358,1)))</f>
        <v>0</v>
      </c>
      <c r="C358">
        <f ca="1">IF($A358=1,OFFSET(C358,-1,0)+1,OFFSET(C358,-1,0))</f>
        <v>5</v>
      </c>
      <c r="D358">
        <f ca="1">IF($A358=1,0,IF($A358=2,OFFSET(D358,-1,0)+1,OFFSET(D358,-1,0)))</f>
        <v>1</v>
      </c>
      <c r="E358">
        <f ca="1">IF(AND($A358&lt;=2,$A358&lt;&gt;0),0,IF($A358=3,OFFSET(E358,-1,0)+1,OFFSET(E358,-1,0)))</f>
        <v>0</v>
      </c>
      <c r="F358">
        <f ca="1">IF(AND($A358&lt;=3,$A358&lt;&gt;0),0,IF($A358=4,OFFSET(F358,-1,0)+1,OFFSET(F358,-1,0)))</f>
        <v>0</v>
      </c>
      <c r="G358">
        <f ca="1">IF(AND($A358&lt;=4,$A358&lt;&gt;0),0,IF($A358="S",OFFSET(G358,-1,0)+1,OFFSET(G358,-1,0)))</f>
        <v>19</v>
      </c>
      <c r="H358">
        <f ca="1">IF(OR($A358="S",$A358=0),0,MATCH(0,OFFSET($B358,1,$A358,ROW($A$1504)-ROW($A358)),0))</f>
        <v>0</v>
      </c>
      <c r="I358">
        <f ca="1">IF(OR($A358="S",$A358=0),0,MATCH(OFFSET($B358,0,$A358)+1,OFFSET($B358,1,$A358,ROW($A$1504)-ROW($A358)),0))</f>
        <v>0</v>
      </c>
      <c r="J358" s="132" t="s">
        <v>29</v>
      </c>
      <c r="K358" s="121" t="str">
        <f ca="1">IF($A358=0,"-",CONCATENATE(C358&amp;".",IF(AND($A$5&gt;=2,$A358&gt;=2),D358&amp;".",""),IF(AND($A$5&gt;=3,$A358&gt;=3),E358&amp;".",""),IF(AND($A$5&gt;=4,$A358&gt;=4),F358&amp;".",""),IF($A358="S",G358&amp;".","")))</f>
        <v>5.1.19.</v>
      </c>
      <c r="L358" s="137" t="str">
        <f ca="1">IF(NOT(ISERROR($Y358)),IF($Y358&lt;&gt;FALSE,INDEX(Banco,$Y358,4),""),"")</f>
        <v>OABMT</v>
      </c>
      <c r="M358" s="122" t="s">
        <v>80</v>
      </c>
      <c r="N358" s="139" t="s">
        <v>271</v>
      </c>
      <c r="O358" s="137" t="str">
        <f ca="1">IF(NOT(ISERROR($Y358)),IF($Y358&lt;&gt;FALSE,INDEX(Banco,$Y358,5),""),"")</f>
        <v>Advogado</v>
      </c>
      <c r="P358" s="138" t="str">
        <f ca="1">IF(NOT(ISERROR($Y358)),IF($Y358&lt;&gt;FALSE,INDEX(Banco,$Y358,6),""),"")</f>
        <v>Horas</v>
      </c>
      <c r="Q358" s="134">
        <v>2</v>
      </c>
      <c r="R358" s="124">
        <f ca="1">IF(NOT(ISERROR($Y358)),IF($Y358&lt;&gt;FALSE,INDEX(Banco,$Y358,7),0),0)</f>
        <v>896.51</v>
      </c>
      <c r="S358" s="136" t="s">
        <v>62</v>
      </c>
      <c r="T358" s="123">
        <f ca="1">IF($J358=$G$2,ROUND(ROUND($R358,2)*IF($R$9="Preço Unitário (R$)",1,1+$AA358),2),0)</f>
        <v>1120.6400000000001</v>
      </c>
      <c r="U358" s="126">
        <f ca="1">IF($A358="S",VTOTAL1,IF($A358=0,0,ROUND(SomaAgrup,2)))</f>
        <v>2241.2800000000002</v>
      </c>
      <c r="V358" s="1"/>
      <c r="W358" s="39" t="str">
        <f ca="1">IF(OR($A358=0,$A358="S",$A358&gt;CFF!$A$9),"",MAX(W$11:OFFSET(W358,-1,0))+1)</f>
        <v/>
      </c>
      <c r="X358" s="4" t="str">
        <f>IF(AND($J358=$G$2,$N358&lt;&gt;"",$M358&lt;&gt;""),CONCATENATE($M358,"-",$N358))</f>
        <v>Serv. Terc.-087</v>
      </c>
      <c r="Y358" s="39">
        <f ca="1">IF(X358&lt;&gt;FALSE,MATCH(X358,OFFSET(Banco,0,0,,1),0))</f>
        <v>167</v>
      </c>
      <c r="Z358" s="1"/>
      <c r="AA358" s="133">
        <f>IF($J358=$G$2,ROUND(IF(ISNUMBER(S358),S358,IF(LEFT(S358,2)="DI",HLOOKUP(S358,DADOS!$T$29:$X$30,2,FALSE),0)),4),"")</f>
        <v>0.25</v>
      </c>
      <c r="AB358" s="2"/>
    </row>
    <row r="359" spans="1:28">
      <c r="A359" t="str">
        <f t="shared" ref="A359:A364" si="359">CHOOSE(1+LOG(1+2*(J359=$C$2)+4*(J359=$D$2)+8*(J359=$E$2)+16*(J359=$F$2)+32*(J359=$G$2),2),0,1,2,3,4,"S")</f>
        <v>S</v>
      </c>
      <c r="B359">
        <f t="shared" ref="B359:B364" si="360">IF(OR(A359="S",A359=0),0,IF(ISERROR(I359),H359,SMALL(H359:I359,1)))</f>
        <v>0</v>
      </c>
      <c r="C359">
        <f t="shared" ref="C359:C364" ca="1" si="361">IF($A359=1,OFFSET(C359,-1,0)+1,OFFSET(C359,-1,0))</f>
        <v>5</v>
      </c>
      <c r="D359">
        <f t="shared" ref="D359:D364" ca="1" si="362">IF($A359=1,0,IF($A359=2,OFFSET(D359,-1,0)+1,OFFSET(D359,-1,0)))</f>
        <v>1</v>
      </c>
      <c r="E359">
        <f t="shared" ref="E359:E364" ca="1" si="363">IF(AND($A359&lt;=2,$A359&lt;&gt;0),0,IF($A359=3,OFFSET(E359,-1,0)+1,OFFSET(E359,-1,0)))</f>
        <v>0</v>
      </c>
      <c r="F359">
        <f t="shared" ref="F359:F364" ca="1" si="364">IF(AND($A359&lt;=3,$A359&lt;&gt;0),0,IF($A359=4,OFFSET(F359,-1,0)+1,OFFSET(F359,-1,0)))</f>
        <v>0</v>
      </c>
      <c r="G359">
        <f t="shared" ref="G359:G364" ca="1" si="365">IF(AND($A359&lt;=4,$A359&lt;&gt;0),0,IF($A359="S",OFFSET(G359,-1,0)+1,OFFSET(G359,-1,0)))</f>
        <v>20</v>
      </c>
      <c r="H359">
        <f ca="1">IF(OR($A359="S",$A359=0),0,MATCH(0,OFFSET($B359,1,$A359,ROW($A$1504)-ROW($A359)),0))</f>
        <v>0</v>
      </c>
      <c r="I359">
        <f ca="1">IF(OR($A359="S",$A359=0),0,MATCH(OFFSET($B359,0,$A359)+1,OFFSET($B359,1,$A359,ROW($A$1504)-ROW($A359)),0))</f>
        <v>0</v>
      </c>
      <c r="J359" s="132" t="s">
        <v>29</v>
      </c>
      <c r="K359" s="121" t="str">
        <f t="shared" ref="K359:K364" ca="1" si="366">IF($A359=0,"-",CONCATENATE(C359&amp;".",IF(AND($A$5&gt;=2,$A359&gt;=2),D359&amp;".",""),IF(AND($A$5&gt;=3,$A359&gt;=3),E359&amp;".",""),IF(AND($A$5&gt;=4,$A359&gt;=4),F359&amp;".",""),IF($A359="S",G359&amp;".","")))</f>
        <v>5.1.20.</v>
      </c>
      <c r="L359" s="137" t="str">
        <f t="shared" ref="L359:L364" ca="1" si="367">IF(NOT(ISERROR($Y359)),IF($Y359&lt;&gt;FALSE,INDEX(Banco,$Y359,4),""),"")</f>
        <v>Cotação</v>
      </c>
      <c r="M359" s="122" t="s">
        <v>79</v>
      </c>
      <c r="N359" s="139" t="s">
        <v>163</v>
      </c>
      <c r="O359" s="137" t="str">
        <f t="shared" ref="O359:O364" ca="1" si="368">IF(NOT(ISERROR($Y359)),IF($Y359&lt;&gt;FALSE,INDEX(Banco,$Y359,5),""),"")</f>
        <v>Guloseimas (balas e pirulito)</v>
      </c>
      <c r="P359" s="138" t="str">
        <f t="shared" ref="P359:P364" ca="1" si="369">IF(NOT(ISERROR($Y359)),IF($Y359&lt;&gt;FALSE,INDEX(Banco,$Y359,6),""),"")</f>
        <v>Pacote</v>
      </c>
      <c r="Q359" s="134">
        <v>8</v>
      </c>
      <c r="R359" s="124">
        <f t="shared" ref="R359:R364" ca="1" si="370">IF(NOT(ISERROR($Y359)),IF($Y359&lt;&gt;FALSE,INDEX(Banco,$Y359,7),0),0)</f>
        <v>12</v>
      </c>
      <c r="S359" s="136" t="s">
        <v>62</v>
      </c>
      <c r="T359" s="123">
        <f t="shared" ref="T359:T364" ca="1" si="371">IF($J359=$G$2,ROUND(ROUND($R359,2)*IF($R$9="Preço Unitário (R$)",1,1+$AA359),2),0)</f>
        <v>15</v>
      </c>
      <c r="U359" s="126">
        <f t="shared" ref="U359:U364" ca="1" si="372">IF($A359="S",VTOTAL1,IF($A359=0,0,ROUND(SomaAgrup,2)))</f>
        <v>120</v>
      </c>
      <c r="V359" s="1"/>
      <c r="W359" s="39" t="str">
        <f ca="1">IF(OR($A359=0,$A359="S",$A359&gt;CFF!$A$9),"",MAX(W$11:OFFSET(W359,-1,0))+1)</f>
        <v/>
      </c>
      <c r="X359" s="4" t="str">
        <f t="shared" ref="X359:X364" si="373">IF(AND($J359=$G$2,$N359&lt;&gt;"",$M359&lt;&gt;""),CONCATENATE($M359,"-",$N359))</f>
        <v>Rec. Materiais-020</v>
      </c>
      <c r="Y359" s="39">
        <f t="shared" ref="Y359:Y364" ca="1" si="374">IF(X359&lt;&gt;FALSE,MATCH(X359,OFFSET(Banco,0,0,,1),0))</f>
        <v>29</v>
      </c>
      <c r="Z359" s="1"/>
      <c r="AA359" s="133">
        <f>IF($J359=$G$2,ROUND(IF(ISNUMBER(S359),S359,IF(LEFT(S359,2)="DI",HLOOKUP(S359,DADOS!$T$29:$X$30,2,FALSE),0)),4),"")</f>
        <v>0.25</v>
      </c>
      <c r="AB359" s="2"/>
    </row>
    <row r="360" spans="1:28">
      <c r="A360" t="str">
        <f t="shared" si="359"/>
        <v>S</v>
      </c>
      <c r="B360">
        <f t="shared" si="360"/>
        <v>0</v>
      </c>
      <c r="C360">
        <f t="shared" ca="1" si="361"/>
        <v>5</v>
      </c>
      <c r="D360">
        <f t="shared" ca="1" si="362"/>
        <v>1</v>
      </c>
      <c r="E360">
        <f t="shared" ca="1" si="363"/>
        <v>0</v>
      </c>
      <c r="F360">
        <f t="shared" ca="1" si="364"/>
        <v>0</v>
      </c>
      <c r="G360">
        <f t="shared" ca="1" si="365"/>
        <v>21</v>
      </c>
      <c r="H360">
        <f ca="1">IF(OR($A360="S",$A360=0),0,MATCH(0,OFFSET($B360,1,$A360,ROW($A$1504)-ROW($A360)),0))</f>
        <v>0</v>
      </c>
      <c r="I360">
        <f ca="1">IF(OR($A360="S",$A360=0),0,MATCH(OFFSET($B360,0,$A360)+1,OFFSET($B360,1,$A360,ROW($A$1504)-ROW($A360)),0))</f>
        <v>0</v>
      </c>
      <c r="J360" s="132" t="s">
        <v>29</v>
      </c>
      <c r="K360" s="121" t="str">
        <f t="shared" ca="1" si="366"/>
        <v>5.1.21.</v>
      </c>
      <c r="L360" s="137" t="str">
        <f t="shared" ca="1" si="367"/>
        <v>Cotação</v>
      </c>
      <c r="M360" s="122" t="s">
        <v>79</v>
      </c>
      <c r="N360" s="139" t="s">
        <v>165</v>
      </c>
      <c r="O360" s="137" t="str">
        <f t="shared" ca="1" si="368"/>
        <v>Papel de presente</v>
      </c>
      <c r="P360" s="138" t="str">
        <f t="shared" ca="1" si="369"/>
        <v>Folhas</v>
      </c>
      <c r="Q360" s="134">
        <v>16</v>
      </c>
      <c r="R360" s="124">
        <f t="shared" ca="1" si="370"/>
        <v>1.5</v>
      </c>
      <c r="S360" s="136" t="s">
        <v>62</v>
      </c>
      <c r="T360" s="123">
        <f t="shared" ca="1" si="371"/>
        <v>1.88</v>
      </c>
      <c r="U360" s="126">
        <f t="shared" ca="1" si="372"/>
        <v>30.08</v>
      </c>
      <c r="V360" s="1"/>
      <c r="W360" s="39" t="str">
        <f ca="1">IF(OR($A360=0,$A360="S",$A360&gt;CFF!$A$9),"",MAX(W$11:OFFSET(W360,-1,0))+1)</f>
        <v/>
      </c>
      <c r="X360" s="4" t="str">
        <f t="shared" si="373"/>
        <v>Rec. Materiais-021</v>
      </c>
      <c r="Y360" s="39">
        <f t="shared" ca="1" si="374"/>
        <v>30</v>
      </c>
      <c r="Z360" s="1"/>
      <c r="AA360" s="133">
        <f>IF($J360=$G$2,ROUND(IF(ISNUMBER(S360),S360,IF(LEFT(S360,2)="DI",HLOOKUP(S360,DADOS!$T$29:$X$30,2,FALSE),0)),4),"")</f>
        <v>0.25</v>
      </c>
      <c r="AB360" s="2"/>
    </row>
    <row r="361" spans="1:28">
      <c r="A361" t="str">
        <f t="shared" si="359"/>
        <v>S</v>
      </c>
      <c r="B361">
        <f t="shared" si="360"/>
        <v>0</v>
      </c>
      <c r="C361">
        <f t="shared" ca="1" si="361"/>
        <v>5</v>
      </c>
      <c r="D361">
        <f t="shared" ca="1" si="362"/>
        <v>1</v>
      </c>
      <c r="E361">
        <f t="shared" ca="1" si="363"/>
        <v>0</v>
      </c>
      <c r="F361">
        <f t="shared" ca="1" si="364"/>
        <v>0</v>
      </c>
      <c r="G361">
        <f t="shared" ca="1" si="365"/>
        <v>22</v>
      </c>
      <c r="H361">
        <f ca="1">IF(OR($A361="S",$A361=0),0,MATCH(0,OFFSET($B361,1,$A361,ROW($A$1504)-ROW($A361)),0))</f>
        <v>0</v>
      </c>
      <c r="I361">
        <f ca="1">IF(OR($A361="S",$A361=0),0,MATCH(OFFSET($B361,0,$A361)+1,OFFSET($B361,1,$A361,ROW($A$1504)-ROW($A361)),0))</f>
        <v>0</v>
      </c>
      <c r="J361" s="132" t="s">
        <v>29</v>
      </c>
      <c r="K361" s="121" t="str">
        <f t="shared" ca="1" si="366"/>
        <v>5.1.22.</v>
      </c>
      <c r="L361" s="137" t="str">
        <f t="shared" ca="1" si="367"/>
        <v>Cotação</v>
      </c>
      <c r="M361" s="122" t="s">
        <v>79</v>
      </c>
      <c r="N361" s="139" t="s">
        <v>149</v>
      </c>
      <c r="O361" s="137" t="str">
        <f t="shared" ca="1" si="368"/>
        <v>Papel A4</v>
      </c>
      <c r="P361" s="138" t="str">
        <f t="shared" ca="1" si="369"/>
        <v>Resma</v>
      </c>
      <c r="Q361" s="134">
        <v>1</v>
      </c>
      <c r="R361" s="124">
        <f t="shared" ca="1" si="370"/>
        <v>28</v>
      </c>
      <c r="S361" s="136" t="s">
        <v>62</v>
      </c>
      <c r="T361" s="123">
        <f t="shared" ca="1" si="371"/>
        <v>35</v>
      </c>
      <c r="U361" s="126">
        <f t="shared" ca="1" si="372"/>
        <v>35</v>
      </c>
      <c r="V361" s="1"/>
      <c r="W361" s="39" t="str">
        <f ca="1">IF(OR($A361=0,$A361="S",$A361&gt;CFF!$A$9),"",MAX(W$11:OFFSET(W361,-1,0))+1)</f>
        <v/>
      </c>
      <c r="X361" s="4" t="str">
        <f t="shared" si="373"/>
        <v>Rec. Materiais-001</v>
      </c>
      <c r="Y361" s="39">
        <f t="shared" ca="1" si="374"/>
        <v>10</v>
      </c>
      <c r="Z361" s="1"/>
      <c r="AA361" s="133">
        <f>IF($J361=$G$2,ROUND(IF(ISNUMBER(S361),S361,IF(LEFT(S361,2)="DI",HLOOKUP(S361,DADOS!$T$29:$X$30,2,FALSE),0)),4),"")</f>
        <v>0.25</v>
      </c>
      <c r="AB361" s="2"/>
    </row>
    <row r="362" spans="1:28">
      <c r="A362" t="str">
        <f t="shared" si="359"/>
        <v>S</v>
      </c>
      <c r="B362">
        <f t="shared" si="360"/>
        <v>0</v>
      </c>
      <c r="C362">
        <f t="shared" ca="1" si="361"/>
        <v>5</v>
      </c>
      <c r="D362">
        <f t="shared" ca="1" si="362"/>
        <v>1</v>
      </c>
      <c r="E362">
        <f t="shared" ca="1" si="363"/>
        <v>0</v>
      </c>
      <c r="F362">
        <f t="shared" ca="1" si="364"/>
        <v>0</v>
      </c>
      <c r="G362">
        <f t="shared" ca="1" si="365"/>
        <v>23</v>
      </c>
      <c r="H362">
        <f ca="1">IF(OR($A362="S",$A362=0),0,MATCH(0,OFFSET($B362,1,$A362,ROW($A$1504)-ROW($A362)),0))</f>
        <v>0</v>
      </c>
      <c r="I362">
        <f ca="1">IF(OR($A362="S",$A362=0),0,MATCH(OFFSET($B362,0,$A362)+1,OFFSET($B362,1,$A362,ROW($A$1504)-ROW($A362)),0))</f>
        <v>0</v>
      </c>
      <c r="J362" s="132" t="s">
        <v>29</v>
      </c>
      <c r="K362" s="121" t="str">
        <f t="shared" ca="1" si="366"/>
        <v>5.1.23.</v>
      </c>
      <c r="L362" s="137" t="str">
        <f t="shared" ca="1" si="367"/>
        <v>Cotação</v>
      </c>
      <c r="M362" s="122" t="s">
        <v>79</v>
      </c>
      <c r="N362" s="139" t="s">
        <v>152</v>
      </c>
      <c r="O362" s="137" t="str">
        <f t="shared" ca="1" si="368"/>
        <v>Toner para impressora</v>
      </c>
      <c r="P362" s="138" t="str">
        <f t="shared" ca="1" si="369"/>
        <v>Unidade</v>
      </c>
      <c r="Q362" s="134">
        <v>4</v>
      </c>
      <c r="R362" s="124">
        <f t="shared" ca="1" si="370"/>
        <v>180</v>
      </c>
      <c r="S362" s="136" t="s">
        <v>62</v>
      </c>
      <c r="T362" s="123">
        <f t="shared" ca="1" si="371"/>
        <v>225</v>
      </c>
      <c r="U362" s="126">
        <f t="shared" ca="1" si="372"/>
        <v>900</v>
      </c>
      <c r="V362" s="1"/>
      <c r="W362" s="39" t="str">
        <f ca="1">IF(OR($A362=0,$A362="S",$A362&gt;CFF!$A$9),"",MAX(W$11:OFFSET(W362,-1,0))+1)</f>
        <v/>
      </c>
      <c r="X362" s="4" t="str">
        <f t="shared" si="373"/>
        <v>Rec. Materiais-002</v>
      </c>
      <c r="Y362" s="39">
        <f t="shared" ca="1" si="374"/>
        <v>11</v>
      </c>
      <c r="Z362" s="1"/>
      <c r="AA362" s="133">
        <f>IF($J362=$G$2,ROUND(IF(ISNUMBER(S362),S362,IF(LEFT(S362,2)="DI",HLOOKUP(S362,DADOS!$T$29:$X$30,2,FALSE),0)),4),"")</f>
        <v>0.25</v>
      </c>
      <c r="AB362" s="2"/>
    </row>
    <row r="363" spans="1:28">
      <c r="A363" t="str">
        <f t="shared" si="359"/>
        <v>S</v>
      </c>
      <c r="B363">
        <f t="shared" si="360"/>
        <v>0</v>
      </c>
      <c r="C363">
        <f t="shared" ca="1" si="361"/>
        <v>5</v>
      </c>
      <c r="D363">
        <f t="shared" ca="1" si="362"/>
        <v>1</v>
      </c>
      <c r="E363">
        <f t="shared" ca="1" si="363"/>
        <v>0</v>
      </c>
      <c r="F363">
        <f t="shared" ca="1" si="364"/>
        <v>0</v>
      </c>
      <c r="G363">
        <f t="shared" ca="1" si="365"/>
        <v>24</v>
      </c>
      <c r="H363">
        <f ca="1">IF(OR($A363="S",$A363=0),0,MATCH(0,OFFSET($B363,1,$A363,ROW($A$1504)-ROW($A363)),0))</f>
        <v>0</v>
      </c>
      <c r="I363">
        <f ca="1">IF(OR($A363="S",$A363=0),0,MATCH(OFFSET($B363,0,$A363)+1,OFFSET($B363,1,$A363,ROW($A$1504)-ROW($A363)),0))</f>
        <v>0</v>
      </c>
      <c r="J363" s="132" t="s">
        <v>29</v>
      </c>
      <c r="K363" s="121" t="str">
        <f t="shared" ca="1" si="366"/>
        <v>5.1.24.</v>
      </c>
      <c r="L363" s="137" t="str">
        <f t="shared" ca="1" si="367"/>
        <v>Cotação</v>
      </c>
      <c r="M363" s="122" t="s">
        <v>79</v>
      </c>
      <c r="N363" s="139" t="s">
        <v>164</v>
      </c>
      <c r="O363" s="137" t="str">
        <f t="shared" ca="1" si="368"/>
        <v>Copos descartáveis (2500 unidades)</v>
      </c>
      <c r="P363" s="138" t="str">
        <f t="shared" ca="1" si="369"/>
        <v>Caixa</v>
      </c>
      <c r="Q363" s="134">
        <v>1</v>
      </c>
      <c r="R363" s="124">
        <f t="shared" ca="1" si="370"/>
        <v>77.400000000000006</v>
      </c>
      <c r="S363" s="136" t="s">
        <v>62</v>
      </c>
      <c r="T363" s="123">
        <f t="shared" ca="1" si="371"/>
        <v>96.75</v>
      </c>
      <c r="U363" s="126">
        <f t="shared" ca="1" si="372"/>
        <v>96.75</v>
      </c>
      <c r="V363" s="1"/>
      <c r="W363" s="39" t="str">
        <f ca="1">IF(OR($A363=0,$A363="S",$A363&gt;CFF!$A$9),"",MAX(W$11:OFFSET(W363,-1,0))+1)</f>
        <v/>
      </c>
      <c r="X363" s="4" t="str">
        <f t="shared" si="373"/>
        <v>Rec. Materiais-019</v>
      </c>
      <c r="Y363" s="39">
        <f t="shared" ca="1" si="374"/>
        <v>28</v>
      </c>
      <c r="Z363" s="1"/>
      <c r="AA363" s="133">
        <f>IF($J363=$G$2,ROUND(IF(ISNUMBER(S363),S363,IF(LEFT(S363,2)="DI",HLOOKUP(S363,DADOS!$T$29:$X$30,2,FALSE),0)),4),"")</f>
        <v>0.25</v>
      </c>
      <c r="AB363" s="2"/>
    </row>
    <row r="364" spans="1:28">
      <c r="A364" t="str">
        <f t="shared" si="359"/>
        <v>S</v>
      </c>
      <c r="B364">
        <f t="shared" si="360"/>
        <v>0</v>
      </c>
      <c r="C364">
        <f t="shared" ca="1" si="361"/>
        <v>5</v>
      </c>
      <c r="D364">
        <f t="shared" ca="1" si="362"/>
        <v>1</v>
      </c>
      <c r="E364">
        <f t="shared" ca="1" si="363"/>
        <v>0</v>
      </c>
      <c r="F364">
        <f t="shared" ca="1" si="364"/>
        <v>0</v>
      </c>
      <c r="G364">
        <f t="shared" ca="1" si="365"/>
        <v>25</v>
      </c>
      <c r="H364">
        <f ca="1">IF(OR($A364="S",$A364=0),0,MATCH(0,OFFSET($B364,1,$A364,ROW($A$1504)-ROW($A364)),0))</f>
        <v>0</v>
      </c>
      <c r="I364">
        <f ca="1">IF(OR($A364="S",$A364=0),0,MATCH(OFFSET($B364,0,$A364)+1,OFFSET($B364,1,$A364,ROW($A$1504)-ROW($A364)),0))</f>
        <v>0</v>
      </c>
      <c r="J364" s="132" t="s">
        <v>29</v>
      </c>
      <c r="K364" s="121" t="str">
        <f t="shared" ca="1" si="366"/>
        <v>5.1.25.</v>
      </c>
      <c r="L364" s="137" t="str">
        <f t="shared" ca="1" si="367"/>
        <v>Cotação</v>
      </c>
      <c r="M364" s="122" t="s">
        <v>79</v>
      </c>
      <c r="N364" s="139" t="s">
        <v>170</v>
      </c>
      <c r="O364" s="137" t="str">
        <f t="shared" ca="1" si="368"/>
        <v>Saco de lixo (100 litros)</v>
      </c>
      <c r="P364" s="138" t="str">
        <f t="shared" ca="1" si="369"/>
        <v>Pacote</v>
      </c>
      <c r="Q364" s="134">
        <v>2</v>
      </c>
      <c r="R364" s="124">
        <f t="shared" ca="1" si="370"/>
        <v>15</v>
      </c>
      <c r="S364" s="136" t="s">
        <v>62</v>
      </c>
      <c r="T364" s="123">
        <f t="shared" ca="1" si="371"/>
        <v>18.75</v>
      </c>
      <c r="U364" s="126">
        <f t="shared" ca="1" si="372"/>
        <v>37.5</v>
      </c>
      <c r="V364" s="1"/>
      <c r="W364" s="39" t="str">
        <f ca="1">IF(OR($A364=0,$A364="S",$A364&gt;CFF!$A$9),"",MAX(W$11:OFFSET(W364,-1,0))+1)</f>
        <v/>
      </c>
      <c r="X364" s="4" t="str">
        <f t="shared" si="373"/>
        <v>Rec. Materiais-026</v>
      </c>
      <c r="Y364" s="39">
        <f t="shared" ca="1" si="374"/>
        <v>35</v>
      </c>
      <c r="Z364" s="1"/>
      <c r="AA364" s="133">
        <f>IF($J364=$G$2,ROUND(IF(ISNUMBER(S364),S364,IF(LEFT(S364,2)="DI",HLOOKUP(S364,DADOS!$T$29:$X$30,2,FALSE),0)),4),"")</f>
        <v>0.25</v>
      </c>
      <c r="AB364" s="2"/>
    </row>
    <row r="365" spans="1:28">
      <c r="A365">
        <f>CHOOSE(1+LOG(1+2*(J365=$C$2)+4*(J365=$D$2)+8*(J365=$E$2)+16*(J365=$F$2)+32*(J365=$G$2),2),0,1,2,3,4,"S")</f>
        <v>2</v>
      </c>
      <c r="B365">
        <f ca="1">IF(OR(A365="S",A365=0),0,IF(ISERROR(I365),H365,SMALL(H365:I365,1)))</f>
        <v>3</v>
      </c>
      <c r="C365">
        <f ca="1">IF($A365=1,OFFSET(C365,-1,0)+1,OFFSET(C365,-1,0))</f>
        <v>5</v>
      </c>
      <c r="D365">
        <f ca="1">IF($A365=1,0,IF($A365=2,OFFSET(D365,-1,0)+1,OFFSET(D365,-1,0)))</f>
        <v>2</v>
      </c>
      <c r="E365">
        <f ca="1">IF(AND($A365&lt;=2,$A365&lt;&gt;0),0,IF($A365=3,OFFSET(E365,-1,0)+1,OFFSET(E365,-1,0)))</f>
        <v>0</v>
      </c>
      <c r="F365">
        <f ca="1">IF(AND($A365&lt;=3,$A365&lt;&gt;0),0,IF($A365=4,OFFSET(F365,-1,0)+1,OFFSET(F365,-1,0)))</f>
        <v>0</v>
      </c>
      <c r="G365">
        <f ca="1">IF(AND($A365&lt;=4,$A365&lt;&gt;0),0,IF($A365="S",OFFSET(G365,-1,0)+1,OFFSET(G365,-1,0)))</f>
        <v>0</v>
      </c>
      <c r="H365">
        <f ca="1">IF(OR($A365="S",$A365=0),0,MATCH(0,OFFSET($B365,1,$A365,ROW($A$1504)-ROW($A365)),0))</f>
        <v>44</v>
      </c>
      <c r="I365">
        <f ca="1">IF(OR($A365="S",$A365=0),0,MATCH(OFFSET($B365,0,$A365)+1,OFFSET($B365,1,$A365,ROW($A$1504)-ROW($A365)),0))</f>
        <v>3</v>
      </c>
      <c r="J365" s="132" t="s">
        <v>68</v>
      </c>
      <c r="K365" s="121" t="str">
        <f ca="1">IF($A365=0,"-",CONCATENATE(C365&amp;".",IF(AND($A$5&gt;=2,$A365&gt;=2),D365&amp;".",""),IF(AND($A$5&gt;=3,$A365&gt;=3),E365&amp;".",""),IF(AND($A$5&gt;=4,$A365&gt;=4),F365&amp;".",""),IF($A365="S",G365&amp;".","")))</f>
        <v>5.2.</v>
      </c>
      <c r="L365" s="137" t="str">
        <f ca="1">IF(NOT(ISERROR($Y365)),IF($Y365&lt;&gt;FALSE,INDEX(Banco,$Y365,4),""),"")</f>
        <v/>
      </c>
      <c r="M365" s="122"/>
      <c r="N365" s="139"/>
      <c r="O365" s="137" t="s">
        <v>371</v>
      </c>
      <c r="P365" s="138" t="str">
        <f ca="1">IF(NOT(ISERROR($Y365)),IF($Y365&lt;&gt;FALSE,INDEX(Banco,$Y365,6),""),"")</f>
        <v/>
      </c>
      <c r="Q365" s="134"/>
      <c r="R365" s="124">
        <f ca="1">IF(NOT(ISERROR($Y365)),IF($Y365&lt;&gt;FALSE,INDEX(Banco,$Y365,7),0),0)</f>
        <v>0</v>
      </c>
      <c r="S365" s="136" t="s">
        <v>62</v>
      </c>
      <c r="T365" s="123">
        <f>IF($J365=$G$2,ROUND(ROUND($R365,2)*IF($R$9="Preço Unitário (R$)",1,1+$AA365),2),0)</f>
        <v>0</v>
      </c>
      <c r="U365" s="126">
        <f ca="1">IF($A365="S",VTOTAL1,IF($A365=0,0,ROUND(SomaAgrup,2)))</f>
        <v>1713.78</v>
      </c>
      <c r="V365" s="1"/>
      <c r="W365" s="39">
        <f ca="1">IF(OR($A365=0,$A365="S",$A365&gt;CFF!$A$9),"",MAX(W$11:OFFSET(W365,-1,0))+1)</f>
        <v>29</v>
      </c>
      <c r="X365" s="4" t="b">
        <f>IF(AND($J365=$G$2,$N365&lt;&gt;"",$M365&lt;&gt;""),CONCATENATE($M365,"-",$N365))</f>
        <v>0</v>
      </c>
      <c r="Y365" s="39" t="b">
        <f ca="1">IF(X365&lt;&gt;FALSE,MATCH(X365,OFFSET(Banco,0,0,,1),0))</f>
        <v>0</v>
      </c>
      <c r="Z365" s="1"/>
      <c r="AA365" s="133" t="str">
        <f>IF($J365=$G$2,ROUND(IF(ISNUMBER(S365),S365,IF(LEFT(S365,2)="DI",HLOOKUP(S365,DADOS!$T$29:$X$30,2,FALSE),0)),4),"")</f>
        <v/>
      </c>
      <c r="AB365" s="2"/>
    </row>
    <row r="366" spans="1:28">
      <c r="A366" t="str">
        <f t="shared" ref="A366:A367" si="375">CHOOSE(1+LOG(1+2*(J366=$C$2)+4*(J366=$D$2)+8*(J366=$E$2)+16*(J366=$F$2)+32*(J366=$G$2),2),0,1,2,3,4,"S")</f>
        <v>S</v>
      </c>
      <c r="B366">
        <f t="shared" ref="B366:B367" si="376">IF(OR(A366="S",A366=0),0,IF(ISERROR(I366),H366,SMALL(H366:I366,1)))</f>
        <v>0</v>
      </c>
      <c r="C366">
        <f t="shared" ref="C366:C367" ca="1" si="377">IF($A366=1,OFFSET(C366,-1,0)+1,OFFSET(C366,-1,0))</f>
        <v>5</v>
      </c>
      <c r="D366">
        <f t="shared" ref="D366:D367" ca="1" si="378">IF($A366=1,0,IF($A366=2,OFFSET(D366,-1,0)+1,OFFSET(D366,-1,0)))</f>
        <v>2</v>
      </c>
      <c r="E366">
        <f t="shared" ref="E366:E367" ca="1" si="379">IF(AND($A366&lt;=2,$A366&lt;&gt;0),0,IF($A366=3,OFFSET(E366,-1,0)+1,OFFSET(E366,-1,0)))</f>
        <v>0</v>
      </c>
      <c r="F366">
        <f t="shared" ref="F366:F367" ca="1" si="380">IF(AND($A366&lt;=3,$A366&lt;&gt;0),0,IF($A366=4,OFFSET(F366,-1,0)+1,OFFSET(F366,-1,0)))</f>
        <v>0</v>
      </c>
      <c r="G366">
        <f t="shared" ref="G366:G367" ca="1" si="381">IF(AND($A366&lt;=4,$A366&lt;&gt;0),0,IF($A366="S",OFFSET(G366,-1,0)+1,OFFSET(G366,-1,0)))</f>
        <v>1</v>
      </c>
      <c r="H366">
        <f ca="1">IF(OR($A366="S",$A366=0),0,MATCH(0,OFFSET($B366,1,$A366,ROW($A$1504)-ROW($A366)),0))</f>
        <v>0</v>
      </c>
      <c r="I366">
        <f ca="1">IF(OR($A366="S",$A366=0),0,MATCH(OFFSET($B366,0,$A366)+1,OFFSET($B366,1,$A366,ROW($A$1504)-ROW($A366)),0))</f>
        <v>0</v>
      </c>
      <c r="J366" s="132" t="s">
        <v>29</v>
      </c>
      <c r="K366" s="121" t="str">
        <f t="shared" ref="K366:K367" ca="1" si="382">IF($A366=0,"-",CONCATENATE(C366&amp;".",IF(AND($A$5&gt;=2,$A366&gt;=2),D366&amp;".",""),IF(AND($A$5&gt;=3,$A366&gt;=3),E366&amp;".",""),IF(AND($A$5&gt;=4,$A366&gt;=4),F366&amp;".",""),IF($A366="S",G366&amp;".","")))</f>
        <v>5.2.1.</v>
      </c>
      <c r="L366" s="137" t="str">
        <f t="shared" ref="L366:L367" ca="1" si="383">IF(NOT(ISERROR($Y366)),IF($Y366&lt;&gt;FALSE,INDEX(Banco,$Y366,4),""),"")</f>
        <v>CRESS</v>
      </c>
      <c r="M366" s="122" t="s">
        <v>78</v>
      </c>
      <c r="N366" s="139" t="s">
        <v>149</v>
      </c>
      <c r="O366" s="137" t="str">
        <f ca="1">IF(NOT(ISERROR($Y366)),IF($Y366&lt;&gt;FALSE,INDEX(Banco,$Y366,5),""),"")</f>
        <v>Responsável Técnica</v>
      </c>
      <c r="P366" s="138" t="str">
        <f t="shared" ref="P366:P367" ca="1" si="384">IF(NOT(ISERROR($Y366)),IF($Y366&lt;&gt;FALSE,INDEX(Banco,$Y366,6),""),"")</f>
        <v>Horas</v>
      </c>
      <c r="Q366" s="134">
        <v>2</v>
      </c>
      <c r="R366" s="124">
        <f t="shared" ref="R366:R367" ca="1" si="385">IF(NOT(ISERROR($Y366)),IF($Y366&lt;&gt;FALSE,INDEX(Banco,$Y366,7),0),0)</f>
        <v>150.28</v>
      </c>
      <c r="S366" s="136" t="s">
        <v>62</v>
      </c>
      <c r="T366" s="123">
        <f t="shared" ref="T366:T367" ca="1" si="386">IF($J366=$G$2,ROUND(ROUND($R366,2)*IF($R$9="Preço Unitário (R$)",1,1+$AA366),2),0)</f>
        <v>187.85</v>
      </c>
      <c r="U366" s="126">
        <f t="shared" ref="U366:U367" ca="1" si="387">IF($A366="S",VTOTAL1,IF($A366=0,0,ROUND(SomaAgrup,2)))</f>
        <v>375.7</v>
      </c>
      <c r="V366" s="1"/>
      <c r="W366" s="39" t="str">
        <f ca="1">IF(OR($A366=0,$A366="S",$A366&gt;CFF!$A$9),"",MAX(W$11:OFFSET(W366,-1,0))+1)</f>
        <v/>
      </c>
      <c r="X366" s="4" t="str">
        <f t="shared" ref="X366:X367" si="388">IF(AND($J366=$G$2,$N366&lt;&gt;"",$M366&lt;&gt;""),CONCATENATE($M366,"-",$N366))</f>
        <v>Rec. Humanos-001</v>
      </c>
      <c r="Y366" s="39">
        <f t="shared" ref="Y366:Y367" ca="1" si="389">IF(X366&lt;&gt;FALSE,MATCH(X366,OFFSET(Banco,0,0,,1),0))</f>
        <v>3</v>
      </c>
      <c r="Z366" s="1"/>
      <c r="AA366" s="133">
        <f>IF($J366=$G$2,ROUND(IF(ISNUMBER(S366),S366,IF(LEFT(S366,2)="DI",HLOOKUP(S366,DADOS!$T$29:$X$30,2,FALSE),0)),4),"")</f>
        <v>0.25</v>
      </c>
      <c r="AB366" s="2"/>
    </row>
    <row r="367" spans="1:28">
      <c r="A367" t="str">
        <f t="shared" si="375"/>
        <v>S</v>
      </c>
      <c r="B367">
        <f t="shared" si="376"/>
        <v>0</v>
      </c>
      <c r="C367">
        <f t="shared" ca="1" si="377"/>
        <v>5</v>
      </c>
      <c r="D367">
        <f t="shared" ca="1" si="378"/>
        <v>2</v>
      </c>
      <c r="E367">
        <f t="shared" ca="1" si="379"/>
        <v>0</v>
      </c>
      <c r="F367">
        <f t="shared" ca="1" si="380"/>
        <v>0</v>
      </c>
      <c r="G367">
        <f t="shared" ca="1" si="381"/>
        <v>2</v>
      </c>
      <c r="H367">
        <f ca="1">IF(OR($A367="S",$A367=0),0,MATCH(0,OFFSET($B367,1,$A367,ROW($A$1504)-ROW($A367)),0))</f>
        <v>0</v>
      </c>
      <c r="I367">
        <f ca="1">IF(OR($A367="S",$A367=0),0,MATCH(OFFSET($B367,0,$A367)+1,OFFSET($B367,1,$A367,ROW($A$1504)-ROW($A367)),0))</f>
        <v>0</v>
      </c>
      <c r="J367" s="132" t="s">
        <v>29</v>
      </c>
      <c r="K367" s="121" t="str">
        <f t="shared" ca="1" si="382"/>
        <v>5.2.2.</v>
      </c>
      <c r="L367" s="137" t="str">
        <f t="shared" ca="1" si="383"/>
        <v>CRESS</v>
      </c>
      <c r="M367" s="122" t="s">
        <v>78</v>
      </c>
      <c r="N367" s="139" t="s">
        <v>152</v>
      </c>
      <c r="O367" s="137" t="str">
        <f ca="1">IF(NOT(ISERROR($Y367)),IF($Y367&lt;&gt;FALSE,INDEX(Banco,$Y367,5),""),"")</f>
        <v>Assistente Social</v>
      </c>
      <c r="P367" s="138" t="str">
        <f t="shared" ca="1" si="384"/>
        <v>Horas</v>
      </c>
      <c r="Q367" s="134">
        <v>8</v>
      </c>
      <c r="R367" s="124">
        <f t="shared" ca="1" si="385"/>
        <v>133.81</v>
      </c>
      <c r="S367" s="136" t="s">
        <v>62</v>
      </c>
      <c r="T367" s="123">
        <f t="shared" ca="1" si="386"/>
        <v>167.26</v>
      </c>
      <c r="U367" s="126">
        <f t="shared" ca="1" si="387"/>
        <v>1338.08</v>
      </c>
      <c r="V367" s="1"/>
      <c r="W367" s="39" t="str">
        <f ca="1">IF(OR($A367=0,$A367="S",$A367&gt;CFF!$A$9),"",MAX(W$11:OFFSET(W367,-1,0))+1)</f>
        <v/>
      </c>
      <c r="X367" s="4" t="str">
        <f t="shared" si="388"/>
        <v>Rec. Humanos-002</v>
      </c>
      <c r="Y367" s="39">
        <f t="shared" ca="1" si="389"/>
        <v>4</v>
      </c>
      <c r="Z367" s="1"/>
      <c r="AA367" s="133">
        <f>IF($J367=$G$2,ROUND(IF(ISNUMBER(S367),S367,IF(LEFT(S367,2)="DI",HLOOKUP(S367,DADOS!$T$29:$X$30,2,FALSE),0)),4),"")</f>
        <v>0.25</v>
      </c>
      <c r="AB367" s="2"/>
    </row>
    <row r="368" spans="1:28" ht="25.5">
      <c r="A368">
        <f>CHOOSE(1+LOG(1+2*(J368=$C$2)+4*(J368=$D$2)+8*(J368=$E$2)+16*(J368=$F$2)+32*(J368=$G$2),2),0,1,2,3,4,"S")</f>
        <v>2</v>
      </c>
      <c r="B368">
        <f ca="1">IF(OR(A368="S",A368=0),0,IF(ISERROR(I368),H368,SMALL(H368:I368,1)))</f>
        <v>19</v>
      </c>
      <c r="C368">
        <f ca="1">IF($A368=1,OFFSET(C368,-1,0)+1,OFFSET(C368,-1,0))</f>
        <v>5</v>
      </c>
      <c r="D368">
        <f ca="1">IF($A368=1,0,IF($A368=2,OFFSET(D368,-1,0)+1,OFFSET(D368,-1,0)))</f>
        <v>3</v>
      </c>
      <c r="E368">
        <f ca="1">IF(AND($A368&lt;=2,$A368&lt;&gt;0),0,IF($A368=3,OFFSET(E368,-1,0)+1,OFFSET(E368,-1,0)))</f>
        <v>0</v>
      </c>
      <c r="F368">
        <f ca="1">IF(AND($A368&lt;=3,$A368&lt;&gt;0),0,IF($A368=4,OFFSET(F368,-1,0)+1,OFFSET(F368,-1,0)))</f>
        <v>0</v>
      </c>
      <c r="G368">
        <f ca="1">IF(AND($A368&lt;=4,$A368&lt;&gt;0),0,IF($A368="S",OFFSET(G368,-1,0)+1,OFFSET(G368,-1,0)))</f>
        <v>0</v>
      </c>
      <c r="H368">
        <f ca="1">IF(OR($A368="S",$A368=0),0,MATCH(0,OFFSET($B368,1,$A368,ROW($A$1504)-ROW($A368)),0))</f>
        <v>41</v>
      </c>
      <c r="I368">
        <f ca="1">IF(OR($A368="S",$A368=0),0,MATCH(OFFSET($B368,0,$A368)+1,OFFSET($B368,1,$A368,ROW($A$1504)-ROW($A368)),0))</f>
        <v>19</v>
      </c>
      <c r="J368" s="132" t="s">
        <v>68</v>
      </c>
      <c r="K368" s="121" t="str">
        <f ca="1">IF($A368=0,"-",CONCATENATE(C368&amp;".",IF(AND($A$5&gt;=2,$A368&gt;=2),D368&amp;".",""),IF(AND($A$5&gt;=3,$A368&gt;=3),E368&amp;".",""),IF(AND($A$5&gt;=4,$A368&gt;=4),F368&amp;".",""),IF($A368="S",G368&amp;".","")))</f>
        <v>5.3.</v>
      </c>
      <c r="L368" s="137" t="str">
        <f ca="1">IF(NOT(ISERROR($Y368)),IF($Y368&lt;&gt;FALSE,INDEX(Banco,$Y368,4),""),"")</f>
        <v/>
      </c>
      <c r="M368" s="122"/>
      <c r="N368" s="139"/>
      <c r="O368" s="137" t="s">
        <v>372</v>
      </c>
      <c r="P368" s="138" t="str">
        <f ca="1">IF(NOT(ISERROR($Y368)),IF($Y368&lt;&gt;FALSE,INDEX(Banco,$Y368,6),""),"")</f>
        <v/>
      </c>
      <c r="Q368" s="134"/>
      <c r="R368" s="124">
        <f ca="1">IF(NOT(ISERROR($Y368)),IF($Y368&lt;&gt;FALSE,INDEX(Banco,$Y368,7),0),0)</f>
        <v>0</v>
      </c>
      <c r="S368" s="136" t="s">
        <v>62</v>
      </c>
      <c r="T368" s="123">
        <f>IF($J368=$G$2,ROUND(ROUND($R368,2)*IF($R$9="Preço Unitário (R$)",1,1+$AA368),2),0)</f>
        <v>0</v>
      </c>
      <c r="U368" s="126">
        <f ca="1">IF($A368="S",VTOTAL1,IF($A368=0,0,ROUND(SomaAgrup,2)))</f>
        <v>8728.35</v>
      </c>
      <c r="V368" s="1"/>
      <c r="W368" s="39">
        <f ca="1">IF(OR($A368=0,$A368="S",$A368&gt;CFF!$A$9),"",MAX(W$11:OFFSET(W368,-1,0))+1)</f>
        <v>30</v>
      </c>
      <c r="X368" s="4" t="b">
        <f>IF(AND($J368=$G$2,$N368&lt;&gt;"",$M368&lt;&gt;""),CONCATENATE($M368,"-",$N368))</f>
        <v>0</v>
      </c>
      <c r="Y368" s="39" t="b">
        <f ca="1">IF(X368&lt;&gt;FALSE,MATCH(X368,OFFSET(Banco,0,0,,1),0))</f>
        <v>0</v>
      </c>
      <c r="Z368" s="1"/>
      <c r="AA368" s="133" t="str">
        <f>IF($J368=$G$2,ROUND(IF(ISNUMBER(S368),S368,IF(LEFT(S368,2)="DI",HLOOKUP(S368,DADOS!$T$29:$X$30,2,FALSE),0)),4),"")</f>
        <v/>
      </c>
      <c r="AB368" s="2"/>
    </row>
    <row r="369" spans="1:28">
      <c r="A369" t="str">
        <f t="shared" ref="A369:A372" si="390">CHOOSE(1+LOG(1+2*(J369=$C$2)+4*(J369=$D$2)+8*(J369=$E$2)+16*(J369=$F$2)+32*(J369=$G$2),2),0,1,2,3,4,"S")</f>
        <v>S</v>
      </c>
      <c r="B369">
        <f t="shared" ref="B369:B372" si="391">IF(OR(A369="S",A369=0),0,IF(ISERROR(I369),H369,SMALL(H369:I369,1)))</f>
        <v>0</v>
      </c>
      <c r="C369">
        <f t="shared" ref="C369:C372" ca="1" si="392">IF($A369=1,OFFSET(C369,-1,0)+1,OFFSET(C369,-1,0))</f>
        <v>5</v>
      </c>
      <c r="D369">
        <f t="shared" ref="D369:D372" ca="1" si="393">IF($A369=1,0,IF($A369=2,OFFSET(D369,-1,0)+1,OFFSET(D369,-1,0)))</f>
        <v>3</v>
      </c>
      <c r="E369">
        <f t="shared" ref="E369:E372" ca="1" si="394">IF(AND($A369&lt;=2,$A369&lt;&gt;0),0,IF($A369=3,OFFSET(E369,-1,0)+1,OFFSET(E369,-1,0)))</f>
        <v>0</v>
      </c>
      <c r="F369">
        <f t="shared" ref="F369:F372" ca="1" si="395">IF(AND($A369&lt;=3,$A369&lt;&gt;0),0,IF($A369=4,OFFSET(F369,-1,0)+1,OFFSET(F369,-1,0)))</f>
        <v>0</v>
      </c>
      <c r="G369">
        <f t="shared" ref="G369:G372" ca="1" si="396">IF(AND($A369&lt;=4,$A369&lt;&gt;0),0,IF($A369="S",OFFSET(G369,-1,0)+1,OFFSET(G369,-1,0)))</f>
        <v>1</v>
      </c>
      <c r="H369">
        <f ca="1">IF(OR($A369="S",$A369=0),0,MATCH(0,OFFSET($B369,1,$A369,ROW($A$1504)-ROW($A369)),0))</f>
        <v>0</v>
      </c>
      <c r="I369">
        <f ca="1">IF(OR($A369="S",$A369=0),0,MATCH(OFFSET($B369,0,$A369)+1,OFFSET($B369,1,$A369,ROW($A$1504)-ROW($A369)),0))</f>
        <v>0</v>
      </c>
      <c r="J369" s="132" t="s">
        <v>29</v>
      </c>
      <c r="K369" s="121" t="str">
        <f t="shared" ref="K369:K372" ca="1" si="397">IF($A369=0,"-",CONCATENATE(C369&amp;".",IF(AND($A$5&gt;=2,$A369&gt;=2),D369&amp;".",""),IF(AND($A$5&gt;=3,$A369&gt;=3),E369&amp;".",""),IF(AND($A$5&gt;=4,$A369&gt;=4),F369&amp;".",""),IF($A369="S",G369&amp;".","")))</f>
        <v>5.3.1.</v>
      </c>
      <c r="L369" s="137" t="str">
        <f t="shared" ref="L369:L372" ca="1" si="398">IF(NOT(ISERROR($Y369)),IF($Y369&lt;&gt;FALSE,INDEX(Banco,$Y369,4),""),"")</f>
        <v>CRESS</v>
      </c>
      <c r="M369" s="122" t="s">
        <v>78</v>
      </c>
      <c r="N369" s="139" t="s">
        <v>149</v>
      </c>
      <c r="O369" s="137" t="str">
        <f t="shared" ref="O369:O375" ca="1" si="399">IF(NOT(ISERROR($Y369)),IF($Y369&lt;&gt;FALSE,INDEX(Banco,$Y369,5),""),"")</f>
        <v>Responsável Técnica</v>
      </c>
      <c r="P369" s="138" t="str">
        <f t="shared" ref="P369:P372" ca="1" si="400">IF(NOT(ISERROR($Y369)),IF($Y369&lt;&gt;FALSE,INDEX(Banco,$Y369,6),""),"")</f>
        <v>Horas</v>
      </c>
      <c r="Q369" s="134">
        <v>6</v>
      </c>
      <c r="R369" s="124">
        <f t="shared" ref="R369:R372" ca="1" si="401">IF(NOT(ISERROR($Y369)),IF($Y369&lt;&gt;FALSE,INDEX(Banco,$Y369,7),0),0)</f>
        <v>150.28</v>
      </c>
      <c r="S369" s="136" t="s">
        <v>62</v>
      </c>
      <c r="T369" s="123">
        <f t="shared" ref="T369:T372" ca="1" si="402">IF($J369=$G$2,ROUND(ROUND($R369,2)*IF($R$9="Preço Unitário (R$)",1,1+$AA369),2),0)</f>
        <v>187.85</v>
      </c>
      <c r="U369" s="126">
        <f t="shared" ref="U369:U372" ca="1" si="403">IF($A369="S",VTOTAL1,IF($A369=0,0,ROUND(SomaAgrup,2)))</f>
        <v>1127.0999999999999</v>
      </c>
      <c r="V369" s="1"/>
      <c r="W369" s="39" t="str">
        <f ca="1">IF(OR($A369=0,$A369="S",$A369&gt;CFF!$A$9),"",MAX(W$11:OFFSET(W369,-1,0))+1)</f>
        <v/>
      </c>
      <c r="X369" s="4" t="str">
        <f t="shared" ref="X369:X372" si="404">IF(AND($J369=$G$2,$N369&lt;&gt;"",$M369&lt;&gt;""),CONCATENATE($M369,"-",$N369))</f>
        <v>Rec. Humanos-001</v>
      </c>
      <c r="Y369" s="39">
        <f t="shared" ref="Y369:Y372" ca="1" si="405">IF(X369&lt;&gt;FALSE,MATCH(X369,OFFSET(Banco,0,0,,1),0))</f>
        <v>3</v>
      </c>
      <c r="Z369" s="1"/>
      <c r="AA369" s="133">
        <f>IF($J369=$G$2,ROUND(IF(ISNUMBER(S369),S369,IF(LEFT(S369,2)="DI",HLOOKUP(S369,DADOS!$T$29:$X$30,2,FALSE),0)),4),"")</f>
        <v>0.25</v>
      </c>
      <c r="AB369" s="2"/>
    </row>
    <row r="370" spans="1:28">
      <c r="A370" t="str">
        <f t="shared" si="390"/>
        <v>S</v>
      </c>
      <c r="B370">
        <f t="shared" si="391"/>
        <v>0</v>
      </c>
      <c r="C370">
        <f t="shared" ca="1" si="392"/>
        <v>5</v>
      </c>
      <c r="D370">
        <f t="shared" ca="1" si="393"/>
        <v>3</v>
      </c>
      <c r="E370">
        <f t="shared" ca="1" si="394"/>
        <v>0</v>
      </c>
      <c r="F370">
        <f t="shared" ca="1" si="395"/>
        <v>0</v>
      </c>
      <c r="G370">
        <f t="shared" ca="1" si="396"/>
        <v>2</v>
      </c>
      <c r="H370">
        <f ca="1">IF(OR($A370="S",$A370=0),0,MATCH(0,OFFSET($B370,1,$A370,ROW($A$1504)-ROW($A370)),0))</f>
        <v>0</v>
      </c>
      <c r="I370">
        <f ca="1">IF(OR($A370="S",$A370=0),0,MATCH(OFFSET($B370,0,$A370)+1,OFFSET($B370,1,$A370,ROW($A$1504)-ROW($A370)),0))</f>
        <v>0</v>
      </c>
      <c r="J370" s="132" t="s">
        <v>29</v>
      </c>
      <c r="K370" s="121" t="str">
        <f t="shared" ca="1" si="397"/>
        <v>5.3.2.</v>
      </c>
      <c r="L370" s="137" t="str">
        <f t="shared" ca="1" si="398"/>
        <v>CRESS</v>
      </c>
      <c r="M370" s="122" t="s">
        <v>78</v>
      </c>
      <c r="N370" s="139" t="s">
        <v>152</v>
      </c>
      <c r="O370" s="137" t="str">
        <f t="shared" ca="1" si="399"/>
        <v>Assistente Social</v>
      </c>
      <c r="P370" s="138" t="str">
        <f t="shared" ca="1" si="400"/>
        <v>Horas</v>
      </c>
      <c r="Q370" s="134">
        <v>4</v>
      </c>
      <c r="R370" s="124">
        <f t="shared" ca="1" si="401"/>
        <v>133.81</v>
      </c>
      <c r="S370" s="136" t="s">
        <v>62</v>
      </c>
      <c r="T370" s="123">
        <f t="shared" ca="1" si="402"/>
        <v>167.26</v>
      </c>
      <c r="U370" s="126">
        <f t="shared" ca="1" si="403"/>
        <v>669.04</v>
      </c>
      <c r="V370" s="1"/>
      <c r="W370" s="39" t="str">
        <f ca="1">IF(OR($A370=0,$A370="S",$A370&gt;CFF!$A$9),"",MAX(W$11:OFFSET(W370,-1,0))+1)</f>
        <v/>
      </c>
      <c r="X370" s="4" t="str">
        <f t="shared" si="404"/>
        <v>Rec. Humanos-002</v>
      </c>
      <c r="Y370" s="39">
        <f t="shared" ca="1" si="405"/>
        <v>4</v>
      </c>
      <c r="Z370" s="1"/>
      <c r="AA370" s="133">
        <f>IF($J370=$G$2,ROUND(IF(ISNUMBER(S370),S370,IF(LEFT(S370,2)="DI",HLOOKUP(S370,DADOS!$T$29:$X$30,2,FALSE),0)),4),"")</f>
        <v>0.25</v>
      </c>
      <c r="AB370" s="2"/>
    </row>
    <row r="371" spans="1:28">
      <c r="A371" t="str">
        <f t="shared" si="390"/>
        <v>S</v>
      </c>
      <c r="B371">
        <f t="shared" si="391"/>
        <v>0</v>
      </c>
      <c r="C371">
        <f t="shared" ca="1" si="392"/>
        <v>5</v>
      </c>
      <c r="D371">
        <f t="shared" ca="1" si="393"/>
        <v>3</v>
      </c>
      <c r="E371">
        <f t="shared" ca="1" si="394"/>
        <v>0</v>
      </c>
      <c r="F371">
        <f t="shared" ca="1" si="395"/>
        <v>0</v>
      </c>
      <c r="G371">
        <f t="shared" ca="1" si="396"/>
        <v>3</v>
      </c>
      <c r="H371">
        <f ca="1">IF(OR($A371="S",$A371=0),0,MATCH(0,OFFSET($B371,1,$A371,ROW($A$1504)-ROW($A371)),0))</f>
        <v>0</v>
      </c>
      <c r="I371">
        <f ca="1">IF(OR($A371="S",$A371=0),0,MATCH(OFFSET($B371,0,$A371)+1,OFFSET($B371,1,$A371,ROW($A$1504)-ROW($A371)),0))</f>
        <v>0</v>
      </c>
      <c r="J371" s="132" t="s">
        <v>29</v>
      </c>
      <c r="K371" s="121" t="str">
        <f t="shared" ca="1" si="397"/>
        <v>5.3.3.</v>
      </c>
      <c r="L371" s="137" t="str">
        <f t="shared" ca="1" si="398"/>
        <v>Cotação</v>
      </c>
      <c r="M371" s="122" t="s">
        <v>78</v>
      </c>
      <c r="N371" s="139" t="s">
        <v>151</v>
      </c>
      <c r="O371" s="137" t="str">
        <f t="shared" ca="1" si="399"/>
        <v xml:space="preserve">Administrador (Técnico de Apoio) </v>
      </c>
      <c r="P371" s="138" t="str">
        <f t="shared" ca="1" si="400"/>
        <v>Horas</v>
      </c>
      <c r="Q371" s="134">
        <v>4</v>
      </c>
      <c r="R371" s="124">
        <f t="shared" ca="1" si="401"/>
        <v>103.65</v>
      </c>
      <c r="S371" s="136" t="s">
        <v>62</v>
      </c>
      <c r="T371" s="123">
        <f t="shared" ca="1" si="402"/>
        <v>129.56</v>
      </c>
      <c r="U371" s="126">
        <f t="shared" ca="1" si="403"/>
        <v>518.24</v>
      </c>
      <c r="V371" s="1"/>
      <c r="W371" s="39" t="str">
        <f ca="1">IF(OR($A371=0,$A371="S",$A371&gt;CFF!$A$9),"",MAX(W$11:OFFSET(W371,-1,0))+1)</f>
        <v/>
      </c>
      <c r="X371" s="4" t="str">
        <f t="shared" si="404"/>
        <v>Rec. Humanos-003</v>
      </c>
      <c r="Y371" s="39">
        <f t="shared" ca="1" si="405"/>
        <v>5</v>
      </c>
      <c r="Z371" s="1"/>
      <c r="AA371" s="133">
        <f>IF($J371=$G$2,ROUND(IF(ISNUMBER(S371),S371,IF(LEFT(S371,2)="DI",HLOOKUP(S371,DADOS!$T$29:$X$30,2,FALSE),0)),4),"")</f>
        <v>0.25</v>
      </c>
      <c r="AB371" s="2"/>
    </row>
    <row r="372" spans="1:28">
      <c r="A372" t="str">
        <f t="shared" si="390"/>
        <v>S</v>
      </c>
      <c r="B372">
        <f t="shared" si="391"/>
        <v>0</v>
      </c>
      <c r="C372">
        <f t="shared" ca="1" si="392"/>
        <v>5</v>
      </c>
      <c r="D372">
        <f t="shared" ca="1" si="393"/>
        <v>3</v>
      </c>
      <c r="E372">
        <f t="shared" ca="1" si="394"/>
        <v>0</v>
      </c>
      <c r="F372">
        <f t="shared" ca="1" si="395"/>
        <v>0</v>
      </c>
      <c r="G372">
        <f t="shared" ca="1" si="396"/>
        <v>4</v>
      </c>
      <c r="H372">
        <f ca="1">IF(OR($A372="S",$A372=0),0,MATCH(0,OFFSET($B372,1,$A372,ROW($A$1504)-ROW($A372)),0))</f>
        <v>0</v>
      </c>
      <c r="I372">
        <f ca="1">IF(OR($A372="S",$A372=0),0,MATCH(OFFSET($B372,0,$A372)+1,OFFSET($B372,1,$A372,ROW($A$1504)-ROW($A372)),0))</f>
        <v>0</v>
      </c>
      <c r="J372" s="132" t="s">
        <v>29</v>
      </c>
      <c r="K372" s="121" t="str">
        <f t="shared" ca="1" si="397"/>
        <v>5.3.4.</v>
      </c>
      <c r="L372" s="137" t="str">
        <f t="shared" ca="1" si="398"/>
        <v>SINE</v>
      </c>
      <c r="M372" s="122" t="s">
        <v>78</v>
      </c>
      <c r="N372" s="139" t="s">
        <v>153</v>
      </c>
      <c r="O372" s="137" t="str">
        <f t="shared" ca="1" si="399"/>
        <v>Estagiários</v>
      </c>
      <c r="P372" s="138" t="str">
        <f t="shared" ca="1" si="400"/>
        <v>Horas</v>
      </c>
      <c r="Q372" s="134">
        <v>10</v>
      </c>
      <c r="R372" s="124">
        <f t="shared" ca="1" si="401"/>
        <v>9.7899999999999991</v>
      </c>
      <c r="S372" s="136" t="s">
        <v>62</v>
      </c>
      <c r="T372" s="123">
        <f t="shared" ca="1" si="402"/>
        <v>12.24</v>
      </c>
      <c r="U372" s="126">
        <f t="shared" ca="1" si="403"/>
        <v>122.4</v>
      </c>
      <c r="V372" s="1"/>
      <c r="W372" s="39" t="str">
        <f ca="1">IF(OR($A372=0,$A372="S",$A372&gt;CFF!$A$9),"",MAX(W$11:OFFSET(W372,-1,0))+1)</f>
        <v/>
      </c>
      <c r="X372" s="4" t="str">
        <f t="shared" si="404"/>
        <v>Rec. Humanos-004</v>
      </c>
      <c r="Y372" s="39">
        <f t="shared" ca="1" si="405"/>
        <v>6</v>
      </c>
      <c r="Z372" s="1"/>
      <c r="AA372" s="133">
        <f>IF($J372=$G$2,ROUND(IF(ISNUMBER(S372),S372,IF(LEFT(S372,2)="DI",HLOOKUP(S372,DADOS!$T$29:$X$30,2,FALSE),0)),4),"")</f>
        <v>0.25</v>
      </c>
      <c r="AB372" s="2"/>
    </row>
    <row r="373" spans="1:28">
      <c r="A373" t="str">
        <f t="shared" ref="A373:A379" si="406">CHOOSE(1+LOG(1+2*(J373=$C$2)+4*(J373=$D$2)+8*(J373=$E$2)+16*(J373=$F$2)+32*(J373=$G$2),2),0,1,2,3,4,"S")</f>
        <v>S</v>
      </c>
      <c r="B373">
        <f t="shared" ref="B373:B379" si="407">IF(OR(A373="S",A373=0),0,IF(ISERROR(I373),H373,SMALL(H373:I373,1)))</f>
        <v>0</v>
      </c>
      <c r="C373">
        <f t="shared" ref="C373:C386" ca="1" si="408">IF($A373=1,OFFSET(C373,-1,0)+1,OFFSET(C373,-1,0))</f>
        <v>5</v>
      </c>
      <c r="D373">
        <f t="shared" ref="D373:D386" ca="1" si="409">IF($A373=1,0,IF($A373=2,OFFSET(D373,-1,0)+1,OFFSET(D373,-1,0)))</f>
        <v>3</v>
      </c>
      <c r="E373">
        <f t="shared" ref="E373:E386" ca="1" si="410">IF(AND($A373&lt;=2,$A373&lt;&gt;0),0,IF($A373=3,OFFSET(E373,-1,0)+1,OFFSET(E373,-1,0)))</f>
        <v>0</v>
      </c>
      <c r="F373">
        <f t="shared" ref="F373:F386" ca="1" si="411">IF(AND($A373&lt;=3,$A373&lt;&gt;0),0,IF($A373=4,OFFSET(F373,-1,0)+1,OFFSET(F373,-1,0)))</f>
        <v>0</v>
      </c>
      <c r="G373">
        <f t="shared" ref="G373:G386" ca="1" si="412">IF(AND($A373&lt;=4,$A373&lt;&gt;0),0,IF($A373="S",OFFSET(G373,-1,0)+1,OFFSET(G373,-1,0)))</f>
        <v>5</v>
      </c>
      <c r="H373">
        <f ca="1">IF(OR($A373="S",$A373=0),0,MATCH(0,OFFSET($B373,1,$A373,ROW($A$1504)-ROW($A373)),0))</f>
        <v>0</v>
      </c>
      <c r="I373">
        <f ca="1">IF(OR($A373="S",$A373=0),0,MATCH(OFFSET($B373,0,$A373)+1,OFFSET($B373,1,$A373,ROW($A$1504)-ROW($A373)),0))</f>
        <v>0</v>
      </c>
      <c r="J373" s="132" t="s">
        <v>29</v>
      </c>
      <c r="K373" s="121" t="str">
        <f t="shared" ref="K373:K379" ca="1" si="413">IF($A373=0,"-",CONCATENATE(C373&amp;".",IF(AND($A$5&gt;=2,$A373&gt;=2),D373&amp;".",""),IF(AND($A$5&gt;=3,$A373&gt;=3),E373&amp;".",""),IF(AND($A$5&gt;=4,$A373&gt;=4),F373&amp;".",""),IF($A373="S",G373&amp;".","")))</f>
        <v>5.3.5.</v>
      </c>
      <c r="L373" s="137" t="str">
        <f t="shared" ref="L373:L386" ca="1" si="414">IF(NOT(ISERROR($Y373)),IF($Y373&lt;&gt;FALSE,INDEX(Banco,$Y373,4),""),"")</f>
        <v>Cotação</v>
      </c>
      <c r="M373" s="122" t="s">
        <v>80</v>
      </c>
      <c r="N373" s="139" t="s">
        <v>149</v>
      </c>
      <c r="O373" s="137" t="str">
        <f t="shared" ca="1" si="399"/>
        <v>Fotocópias</v>
      </c>
      <c r="P373" s="138" t="str">
        <f t="shared" ref="P373:P386" ca="1" si="415">IF(NOT(ISERROR($Y373)),IF($Y373&lt;&gt;FALSE,INDEX(Banco,$Y373,6),""),"")</f>
        <v>Unidade</v>
      </c>
      <c r="Q373" s="134">
        <v>100</v>
      </c>
      <c r="R373" s="124">
        <f t="shared" ref="R373:R386" ca="1" si="416">IF(NOT(ISERROR($Y373)),IF($Y373&lt;&gt;FALSE,INDEX(Banco,$Y373,7),0),0)</f>
        <v>0.3</v>
      </c>
      <c r="S373" s="136" t="s">
        <v>62</v>
      </c>
      <c r="T373" s="123">
        <f t="shared" ref="T373:T386" ca="1" si="417">IF($J373=$G$2,ROUND(ROUND($R373,2)*IF($R$9="Preço Unitário (R$)",1,1+$AA373),2),0)</f>
        <v>0.38</v>
      </c>
      <c r="U373" s="126">
        <f t="shared" ref="U373:U386" ca="1" si="418">IF($A373="S",VTOTAL1,IF($A373=0,0,ROUND(SomaAgrup,2)))</f>
        <v>38</v>
      </c>
      <c r="V373" s="1"/>
      <c r="W373" s="39" t="str">
        <f ca="1">IF(OR($A373=0,$A373="S",$A373&gt;CFF!$A$9),"",MAX(W$11:OFFSET(W373,-1,0))+1)</f>
        <v/>
      </c>
      <c r="X373" s="4" t="str">
        <f t="shared" ref="X373:X386" si="419">IF(AND($J373=$G$2,$N373&lt;&gt;"",$M373&lt;&gt;""),CONCATENATE($M373,"-",$N373))</f>
        <v>Serv. Terc.-001</v>
      </c>
      <c r="Y373" s="39">
        <f t="shared" ref="Y373:Y379" ca="1" si="420">IF(X373&lt;&gt;FALSE,MATCH(X373,OFFSET(Banco,0,0,,1),0))</f>
        <v>81</v>
      </c>
      <c r="Z373" s="1"/>
      <c r="AA373" s="133">
        <f>IF($J373=$G$2,ROUND(IF(ISNUMBER(S373),S373,IF(LEFT(S373,2)="DI",HLOOKUP(S373,DADOS!$T$29:$X$30,2,FALSE),0)),4),"")</f>
        <v>0.25</v>
      </c>
      <c r="AB373" s="2"/>
    </row>
    <row r="374" spans="1:28">
      <c r="A374" t="str">
        <f>CHOOSE(1+LOG(1+2*(J374=$C$2)+4*(J374=$D$2)+8*(J374=$E$2)+16*(J374=$F$2)+32*(J374=$G$2),2),0,1,2,3,4,"S")</f>
        <v>S</v>
      </c>
      <c r="B374">
        <f>IF(OR(A374="S",A374=0),0,IF(ISERROR(I374),H374,SMALL(H374:I374,1)))</f>
        <v>0</v>
      </c>
      <c r="C374">
        <f ca="1">IF($A374=1,OFFSET(C374,-1,0)+1,OFFSET(C374,-1,0))</f>
        <v>5</v>
      </c>
      <c r="D374">
        <f ca="1">IF($A374=1,0,IF($A374=2,OFFSET(D374,-1,0)+1,OFFSET(D374,-1,0)))</f>
        <v>3</v>
      </c>
      <c r="E374">
        <f ca="1">IF(AND($A374&lt;=2,$A374&lt;&gt;0),0,IF($A374=3,OFFSET(E374,-1,0)+1,OFFSET(E374,-1,0)))</f>
        <v>0</v>
      </c>
      <c r="F374">
        <f ca="1">IF(AND($A374&lt;=3,$A374&lt;&gt;0),0,IF($A374=4,OFFSET(F374,-1,0)+1,OFFSET(F374,-1,0)))</f>
        <v>0</v>
      </c>
      <c r="G374">
        <f ca="1">IF(AND($A374&lt;=4,$A374&lt;&gt;0),0,IF($A374="S",OFFSET(G374,-1,0)+1,OFFSET(G374,-1,0)))</f>
        <v>6</v>
      </c>
      <c r="H374">
        <f ca="1">IF(OR($A374="S",$A374=0),0,MATCH(0,OFFSET($B374,1,$A374,ROW($A$1504)-ROW($A374)),0))</f>
        <v>0</v>
      </c>
      <c r="I374">
        <f ca="1">IF(OR($A374="S",$A374=0),0,MATCH(OFFSET($B374,0,$A374)+1,OFFSET($B374,1,$A374,ROW($A$1504)-ROW($A374)),0))</f>
        <v>0</v>
      </c>
      <c r="J374" s="132" t="s">
        <v>29</v>
      </c>
      <c r="K374" s="121" t="str">
        <f ca="1">IF($A374=0,"-",CONCATENATE(C374&amp;".",IF(AND($A$5&gt;=2,$A374&gt;=2),D374&amp;".",""),IF(AND($A$5&gt;=3,$A374&gt;=3),E374&amp;".",""),IF(AND($A$5&gt;=4,$A374&gt;=4),F374&amp;".",""),IF($A374="S",G374&amp;".","")))</f>
        <v>5.3.6.</v>
      </c>
      <c r="L374" s="137" t="str">
        <f ca="1">IF(NOT(ISERROR($Y374)),IF($Y374&lt;&gt;FALSE,INDEX(Banco,$Y374,4),""),"")</f>
        <v>Cotação</v>
      </c>
      <c r="M374" s="122" t="s">
        <v>80</v>
      </c>
      <c r="N374" s="139" t="s">
        <v>256</v>
      </c>
      <c r="O374" s="137" t="str">
        <f ca="1">IF(NOT(ISERROR($Y374)),IF($Y374&lt;&gt;FALSE,INDEX(Banco,$Y374,5),""),"")</f>
        <v>Instrutor/Monitor (Educação Fisíca)</v>
      </c>
      <c r="P374" s="138" t="str">
        <f ca="1">IF(NOT(ISERROR($Y374)),IF($Y374&lt;&gt;FALSE,INDEX(Banco,$Y374,6),""),"")</f>
        <v>Horas</v>
      </c>
      <c r="Q374" s="134">
        <v>3</v>
      </c>
      <c r="R374" s="124">
        <f ca="1">IF(NOT(ISERROR($Y374)),IF($Y374&lt;&gt;FALSE,INDEX(Banco,$Y374,7),0),0)</f>
        <v>100</v>
      </c>
      <c r="S374" s="136" t="s">
        <v>62</v>
      </c>
      <c r="T374" s="123">
        <f ca="1">IF($J374=$G$2,ROUND(ROUND($R374,2)*IF($R$9="Preço Unitário (R$)",1,1+$AA374),2),0)</f>
        <v>125</v>
      </c>
      <c r="U374" s="126">
        <f ca="1">IF($A374="S",VTOTAL1,IF($A374=0,0,ROUND(SomaAgrup,2)))</f>
        <v>375</v>
      </c>
      <c r="V374" s="1"/>
      <c r="W374" s="39" t="str">
        <f ca="1">IF(OR($A374=0,$A374="S",$A374&gt;CFF!$A$9),"",MAX(W$11:OFFSET(W374,-1,0))+1)</f>
        <v/>
      </c>
      <c r="X374" s="4" t="str">
        <f>IF(AND($J374=$G$2,$N374&lt;&gt;"",$M374&lt;&gt;""),CONCATENATE($M374,"-",$N374))</f>
        <v>Serv. Terc.-017</v>
      </c>
      <c r="Y374" s="39">
        <f ca="1">IF(X374&lt;&gt;FALSE,MATCH(X374,OFFSET(Banco,0,0,,1),0))</f>
        <v>97</v>
      </c>
      <c r="Z374" s="1"/>
      <c r="AA374" s="133">
        <f>IF($J374=$G$2,ROUND(IF(ISNUMBER(S374),S374,IF(LEFT(S374,2)="DI",HLOOKUP(S374,DADOS!$T$29:$X$30,2,FALSE),0)),4),"")</f>
        <v>0.25</v>
      </c>
      <c r="AB374" s="2"/>
    </row>
    <row r="375" spans="1:28">
      <c r="A375" t="str">
        <f t="shared" si="406"/>
        <v>S</v>
      </c>
      <c r="B375">
        <f t="shared" si="407"/>
        <v>0</v>
      </c>
      <c r="C375">
        <f t="shared" ca="1" si="408"/>
        <v>5</v>
      </c>
      <c r="D375">
        <f t="shared" ca="1" si="409"/>
        <v>3</v>
      </c>
      <c r="E375">
        <f t="shared" ca="1" si="410"/>
        <v>0</v>
      </c>
      <c r="F375">
        <f t="shared" ca="1" si="411"/>
        <v>0</v>
      </c>
      <c r="G375">
        <f t="shared" ca="1" si="412"/>
        <v>7</v>
      </c>
      <c r="H375">
        <f ca="1">IF(OR($A375="S",$A375=0),0,MATCH(0,OFFSET($B375,1,$A375,ROW($A$1504)-ROW($A375)),0))</f>
        <v>0</v>
      </c>
      <c r="I375">
        <f ca="1">IF(OR($A375="S",$A375=0),0,MATCH(OFFSET($B375,0,$A375)+1,OFFSET($B375,1,$A375,ROW($A$1504)-ROW($A375)),0))</f>
        <v>0</v>
      </c>
      <c r="J375" s="132" t="s">
        <v>29</v>
      </c>
      <c r="K375" s="121" t="str">
        <f t="shared" ca="1" si="413"/>
        <v>5.3.7.</v>
      </c>
      <c r="L375" s="137" t="str">
        <f t="shared" ca="1" si="414"/>
        <v>Cotação</v>
      </c>
      <c r="M375" s="122" t="s">
        <v>80</v>
      </c>
      <c r="N375" s="139" t="s">
        <v>152</v>
      </c>
      <c r="O375" s="137" t="str">
        <f t="shared" ca="1" si="399"/>
        <v>Carro de som com gravação de vinheta</v>
      </c>
      <c r="P375" s="138" t="str">
        <f t="shared" ca="1" si="415"/>
        <v>Horas</v>
      </c>
      <c r="Q375" s="134">
        <v>3</v>
      </c>
      <c r="R375" s="124">
        <f t="shared" ca="1" si="416"/>
        <v>200</v>
      </c>
      <c r="S375" s="136" t="s">
        <v>62</v>
      </c>
      <c r="T375" s="123">
        <f t="shared" ca="1" si="417"/>
        <v>250</v>
      </c>
      <c r="U375" s="126">
        <f t="shared" ca="1" si="418"/>
        <v>750</v>
      </c>
      <c r="V375" s="1"/>
      <c r="W375" s="39" t="str">
        <f ca="1">IF(OR($A375=0,$A375="S",$A375&gt;CFF!$A$9),"",MAX(W$11:OFFSET(W375,-1,0))+1)</f>
        <v/>
      </c>
      <c r="X375" s="4" t="str">
        <f t="shared" si="419"/>
        <v>Serv. Terc.-002</v>
      </c>
      <c r="Y375" s="39">
        <f t="shared" ca="1" si="420"/>
        <v>82</v>
      </c>
      <c r="Z375" s="1"/>
      <c r="AA375" s="133">
        <f>IF($J375=$G$2,ROUND(IF(ISNUMBER(S375),S375,IF(LEFT(S375,2)="DI",HLOOKUP(S375,DADOS!$T$29:$X$30,2,FALSE),0)),4),"")</f>
        <v>0.25</v>
      </c>
      <c r="AB375" s="2"/>
    </row>
    <row r="376" spans="1:28">
      <c r="A376" t="str">
        <f t="shared" si="406"/>
        <v>S</v>
      </c>
      <c r="B376">
        <f t="shared" si="407"/>
        <v>0</v>
      </c>
      <c r="C376">
        <f t="shared" ca="1" si="408"/>
        <v>5</v>
      </c>
      <c r="D376">
        <f t="shared" ca="1" si="409"/>
        <v>3</v>
      </c>
      <c r="E376">
        <f t="shared" ca="1" si="410"/>
        <v>0</v>
      </c>
      <c r="F376">
        <f t="shared" ca="1" si="411"/>
        <v>0</v>
      </c>
      <c r="G376">
        <f t="shared" ca="1" si="412"/>
        <v>8</v>
      </c>
      <c r="H376">
        <f ca="1">IF(OR($A376="S",$A376=0),0,MATCH(0,OFFSET($B376,1,$A376,ROW($A$1504)-ROW($A376)),0))</f>
        <v>0</v>
      </c>
      <c r="I376">
        <f ca="1">IF(OR($A376="S",$A376=0),0,MATCH(OFFSET($B376,0,$A376)+1,OFFSET($B376,1,$A376,ROW($A$1504)-ROW($A376)),0))</f>
        <v>0</v>
      </c>
      <c r="J376" s="132" t="s">
        <v>29</v>
      </c>
      <c r="K376" s="121" t="str">
        <f t="shared" ca="1" si="413"/>
        <v>5.3.8.</v>
      </c>
      <c r="L376" s="137" t="str">
        <f t="shared" ca="1" si="414"/>
        <v>Cotação</v>
      </c>
      <c r="M376" s="122" t="s">
        <v>80</v>
      </c>
      <c r="N376" s="139" t="s">
        <v>154</v>
      </c>
      <c r="O376" s="137" t="str">
        <f t="shared" ref="O376:O386" ca="1" si="421">IF(NOT(ISERROR($Y376)),IF($Y376&lt;&gt;FALSE,INDEX(Banco,$Y376,5),""),"")</f>
        <v>Locação de caixa térmica</v>
      </c>
      <c r="P376" s="138" t="str">
        <f t="shared" ca="1" si="415"/>
        <v>Unidade</v>
      </c>
      <c r="Q376" s="134">
        <v>2</v>
      </c>
      <c r="R376" s="124">
        <f t="shared" ca="1" si="416"/>
        <v>40</v>
      </c>
      <c r="S376" s="136" t="s">
        <v>62</v>
      </c>
      <c r="T376" s="123">
        <f t="shared" ca="1" si="417"/>
        <v>50</v>
      </c>
      <c r="U376" s="126">
        <f t="shared" ca="1" si="418"/>
        <v>100</v>
      </c>
      <c r="V376" s="1"/>
      <c r="W376" s="39" t="str">
        <f ca="1">IF(OR($A376=0,$A376="S",$A376&gt;CFF!$A$9),"",MAX(W$11:OFFSET(W376,-1,0))+1)</f>
        <v/>
      </c>
      <c r="X376" s="4" t="str">
        <f t="shared" si="419"/>
        <v>Serv. Terc.-005</v>
      </c>
      <c r="Y376" s="39">
        <f t="shared" ca="1" si="420"/>
        <v>85</v>
      </c>
      <c r="Z376" s="1"/>
      <c r="AA376" s="133">
        <f>IF($J376=$G$2,ROUND(IF(ISNUMBER(S376),S376,IF(LEFT(S376,2)="DI",HLOOKUP(S376,DADOS!$T$29:$X$30,2,FALSE),0)),4),"")</f>
        <v>0.25</v>
      </c>
      <c r="AB376" s="2"/>
    </row>
    <row r="377" spans="1:28">
      <c r="A377" t="str">
        <f t="shared" si="406"/>
        <v>S</v>
      </c>
      <c r="B377">
        <f t="shared" si="407"/>
        <v>0</v>
      </c>
      <c r="C377">
        <f t="shared" ca="1" si="408"/>
        <v>5</v>
      </c>
      <c r="D377">
        <f t="shared" ca="1" si="409"/>
        <v>3</v>
      </c>
      <c r="E377">
        <f t="shared" ca="1" si="410"/>
        <v>0</v>
      </c>
      <c r="F377">
        <f t="shared" ca="1" si="411"/>
        <v>0</v>
      </c>
      <c r="G377">
        <f t="shared" ca="1" si="412"/>
        <v>9</v>
      </c>
      <c r="H377">
        <f ca="1">IF(OR($A377="S",$A377=0),0,MATCH(0,OFFSET($B377,1,$A377,ROW($A$1504)-ROW($A377)),0))</f>
        <v>0</v>
      </c>
      <c r="I377">
        <f ca="1">IF(OR($A377="S",$A377=0),0,MATCH(OFFSET($B377,0,$A377)+1,OFFSET($B377,1,$A377,ROW($A$1504)-ROW($A377)),0))</f>
        <v>0</v>
      </c>
      <c r="J377" s="132" t="s">
        <v>29</v>
      </c>
      <c r="K377" s="121" t="str">
        <f t="shared" ca="1" si="413"/>
        <v>5.3.9.</v>
      </c>
      <c r="L377" s="137" t="str">
        <f t="shared" ca="1" si="414"/>
        <v>Cotação</v>
      </c>
      <c r="M377" s="122" t="s">
        <v>80</v>
      </c>
      <c r="N377" s="139" t="s">
        <v>157</v>
      </c>
      <c r="O377" s="137" t="str">
        <f t="shared" ca="1" si="421"/>
        <v>Locação de pula-pula com monitor</v>
      </c>
      <c r="P377" s="138" t="str">
        <f t="shared" ca="1" si="415"/>
        <v>Unidade</v>
      </c>
      <c r="Q377" s="134">
        <v>2</v>
      </c>
      <c r="R377" s="124">
        <f t="shared" ca="1" si="416"/>
        <v>220</v>
      </c>
      <c r="S377" s="136" t="s">
        <v>62</v>
      </c>
      <c r="T377" s="123">
        <f t="shared" ca="1" si="417"/>
        <v>275</v>
      </c>
      <c r="U377" s="126">
        <f t="shared" ca="1" si="418"/>
        <v>550</v>
      </c>
      <c r="V377" s="1"/>
      <c r="W377" s="39" t="str">
        <f ca="1">IF(OR($A377=0,$A377="S",$A377&gt;CFF!$A$9),"",MAX(W$11:OFFSET(W377,-1,0))+1)</f>
        <v/>
      </c>
      <c r="X377" s="4" t="str">
        <f t="shared" si="419"/>
        <v>Serv. Terc.-008</v>
      </c>
      <c r="Y377" s="39">
        <f t="shared" ca="1" si="420"/>
        <v>88</v>
      </c>
      <c r="Z377" s="1"/>
      <c r="AA377" s="133">
        <f>IF($J377=$G$2,ROUND(IF(ISNUMBER(S377),S377,IF(LEFT(S377,2)="DI",HLOOKUP(S377,DADOS!$T$29:$X$30,2,FALSE),0)),4),"")</f>
        <v>0.25</v>
      </c>
      <c r="AB377" s="2"/>
    </row>
    <row r="378" spans="1:28">
      <c r="A378" t="str">
        <f t="shared" si="406"/>
        <v>S</v>
      </c>
      <c r="B378">
        <f t="shared" si="407"/>
        <v>0</v>
      </c>
      <c r="C378">
        <f t="shared" ca="1" si="408"/>
        <v>5</v>
      </c>
      <c r="D378">
        <f t="shared" ca="1" si="409"/>
        <v>3</v>
      </c>
      <c r="E378">
        <f t="shared" ca="1" si="410"/>
        <v>0</v>
      </c>
      <c r="F378">
        <f t="shared" ca="1" si="411"/>
        <v>0</v>
      </c>
      <c r="G378">
        <f t="shared" ca="1" si="412"/>
        <v>10</v>
      </c>
      <c r="H378">
        <f ca="1">IF(OR($A378="S",$A378=0),0,MATCH(0,OFFSET($B378,1,$A378,ROW($A$1504)-ROW($A378)),0))</f>
        <v>0</v>
      </c>
      <c r="I378">
        <f ca="1">IF(OR($A378="S",$A378=0),0,MATCH(OFFSET($B378,0,$A378)+1,OFFSET($B378,1,$A378,ROW($A$1504)-ROW($A378)),0))</f>
        <v>0</v>
      </c>
      <c r="J378" s="132" t="s">
        <v>29</v>
      </c>
      <c r="K378" s="121" t="str">
        <f t="shared" ca="1" si="413"/>
        <v>5.3.10.</v>
      </c>
      <c r="L378" s="137" t="str">
        <f t="shared" ca="1" si="414"/>
        <v xml:space="preserve">Cotação </v>
      </c>
      <c r="M378" s="122" t="s">
        <v>80</v>
      </c>
      <c r="N378" s="139" t="s">
        <v>160</v>
      </c>
      <c r="O378" s="137" t="str">
        <f t="shared" ca="1" si="421"/>
        <v>Barra de gelo</v>
      </c>
      <c r="P378" s="138" t="str">
        <f t="shared" ca="1" si="415"/>
        <v>Unidade</v>
      </c>
      <c r="Q378" s="134">
        <v>4</v>
      </c>
      <c r="R378" s="124">
        <f t="shared" ca="1" si="416"/>
        <v>12</v>
      </c>
      <c r="S378" s="136" t="s">
        <v>62</v>
      </c>
      <c r="T378" s="123">
        <f t="shared" ca="1" si="417"/>
        <v>15</v>
      </c>
      <c r="U378" s="126">
        <f t="shared" ca="1" si="418"/>
        <v>60</v>
      </c>
      <c r="V378" s="1"/>
      <c r="W378" s="39" t="str">
        <f ca="1">IF(OR($A378=0,$A378="S",$A378&gt;CFF!$A$9),"",MAX(W$11:OFFSET(W378,-1,0))+1)</f>
        <v/>
      </c>
      <c r="X378" s="4" t="str">
        <f t="shared" si="419"/>
        <v>Serv. Terc.-011</v>
      </c>
      <c r="Y378" s="39">
        <f t="shared" ca="1" si="420"/>
        <v>91</v>
      </c>
      <c r="Z378" s="1"/>
      <c r="AA378" s="133">
        <f>IF($J378=$G$2,ROUND(IF(ISNUMBER(S378),S378,IF(LEFT(S378,2)="DI",HLOOKUP(S378,DADOS!$T$29:$X$30,2,FALSE),0)),4),"")</f>
        <v>0.25</v>
      </c>
      <c r="AB378" s="2"/>
    </row>
    <row r="379" spans="1:28">
      <c r="A379" t="str">
        <f t="shared" si="406"/>
        <v>S</v>
      </c>
      <c r="B379">
        <f t="shared" si="407"/>
        <v>0</v>
      </c>
      <c r="C379">
        <f t="shared" ca="1" si="408"/>
        <v>5</v>
      </c>
      <c r="D379">
        <f t="shared" ca="1" si="409"/>
        <v>3</v>
      </c>
      <c r="E379">
        <f t="shared" ca="1" si="410"/>
        <v>0</v>
      </c>
      <c r="F379">
        <f t="shared" ca="1" si="411"/>
        <v>0</v>
      </c>
      <c r="G379">
        <f t="shared" ca="1" si="412"/>
        <v>11</v>
      </c>
      <c r="H379">
        <f ca="1">IF(OR($A379="S",$A379=0),0,MATCH(0,OFFSET($B379,1,$A379,ROW($A$1504)-ROW($A379)),0))</f>
        <v>0</v>
      </c>
      <c r="I379">
        <f ca="1">IF(OR($A379="S",$A379=0),0,MATCH(OFFSET($B379,0,$A379)+1,OFFSET($B379,1,$A379,ROW($A$1504)-ROW($A379)),0))</f>
        <v>0</v>
      </c>
      <c r="J379" s="132" t="s">
        <v>29</v>
      </c>
      <c r="K379" s="121" t="str">
        <f t="shared" ca="1" si="413"/>
        <v>5.3.11.</v>
      </c>
      <c r="L379" s="137" t="str">
        <f t="shared" ca="1" si="414"/>
        <v>Cotação</v>
      </c>
      <c r="M379" s="122" t="s">
        <v>80</v>
      </c>
      <c r="N379" s="139" t="s">
        <v>150</v>
      </c>
      <c r="O379" s="137" t="str">
        <f t="shared" ca="1" si="421"/>
        <v>Sucos</v>
      </c>
      <c r="P379" s="138" t="str">
        <f t="shared" ca="1" si="415"/>
        <v>Unidade</v>
      </c>
      <c r="Q379" s="134">
        <v>12</v>
      </c>
      <c r="R379" s="124">
        <f t="shared" ca="1" si="416"/>
        <v>6.4</v>
      </c>
      <c r="S379" s="136" t="s">
        <v>62</v>
      </c>
      <c r="T379" s="123">
        <f t="shared" ca="1" si="417"/>
        <v>8</v>
      </c>
      <c r="U379" s="126">
        <f t="shared" ca="1" si="418"/>
        <v>96</v>
      </c>
      <c r="V379" s="1"/>
      <c r="W379" s="39" t="str">
        <f ca="1">IF(OR($A379=0,$A379="S",$A379&gt;CFF!$A$9),"",MAX(W$11:OFFSET(W379,-1,0))+1)</f>
        <v/>
      </c>
      <c r="X379" s="4" t="str">
        <f t="shared" si="419"/>
        <v>Serv. Terc.-013</v>
      </c>
      <c r="Y379" s="39">
        <f t="shared" ca="1" si="420"/>
        <v>93</v>
      </c>
      <c r="Z379" s="1"/>
      <c r="AA379" s="133">
        <f>IF($J379=$G$2,ROUND(IF(ISNUMBER(S379),S379,IF(LEFT(S379,2)="DI",HLOOKUP(S379,DADOS!$T$29:$X$30,2,FALSE),0)),4),"")</f>
        <v>0.25</v>
      </c>
      <c r="AB379" s="2"/>
    </row>
    <row r="380" spans="1:28">
      <c r="A380" t="str">
        <f>CHOOSE(1+LOG(1+2*(J380=$C$2)+4*(J380=$D$2)+8*(J380=$E$2)+16*(J380=$F$2)+32*(J380=$G$2),2),0,1,2,3,4,"S")</f>
        <v>S</v>
      </c>
      <c r="B380">
        <f>IF(OR(A380="S",A380=0),0,IF(ISERROR(I380),H380,SMALL(H380:I380,1)))</f>
        <v>0</v>
      </c>
      <c r="C380">
        <f ca="1">IF($A380=1,OFFSET(C380,-1,0)+1,OFFSET(C380,-1,0))</f>
        <v>5</v>
      </c>
      <c r="D380">
        <f ca="1">IF($A380=1,0,IF($A380=2,OFFSET(D380,-1,0)+1,OFFSET(D380,-1,0)))</f>
        <v>3</v>
      </c>
      <c r="E380">
        <f ca="1">IF(AND($A380&lt;=2,$A380&lt;&gt;0),0,IF($A380=3,OFFSET(E380,-1,0)+1,OFFSET(E380,-1,0)))</f>
        <v>0</v>
      </c>
      <c r="F380">
        <f ca="1">IF(AND($A380&lt;=3,$A380&lt;&gt;0),0,IF($A380=4,OFFSET(F380,-1,0)+1,OFFSET(F380,-1,0)))</f>
        <v>0</v>
      </c>
      <c r="G380">
        <f ca="1">IF(AND($A380&lt;=4,$A380&lt;&gt;0),0,IF($A380="S",OFFSET(G380,-1,0)+1,OFFSET(G380,-1,0)))</f>
        <v>12</v>
      </c>
      <c r="H380">
        <f ca="1">IF(OR($A380="S",$A380=0),0,MATCH(0,OFFSET($B380,1,$A380,ROW($A$1504)-ROW($A380)),0))</f>
        <v>0</v>
      </c>
      <c r="I380">
        <f ca="1">IF(OR($A380="S",$A380=0),0,MATCH(OFFSET($B380,0,$A380)+1,OFFSET($B380,1,$A380,ROW($A$1504)-ROW($A380)),0))</f>
        <v>0</v>
      </c>
      <c r="J380" s="132" t="s">
        <v>29</v>
      </c>
      <c r="K380" s="121" t="str">
        <f ca="1">IF($A380=0,"-",CONCATENATE(C380&amp;".",IF(AND($A$5&gt;=2,$A380&gt;=2),D380&amp;".",""),IF(AND($A$5&gt;=3,$A380&gt;=3),E380&amp;".",""),IF(AND($A$5&gt;=4,$A380&gt;=4),F380&amp;".",""),IF($A380="S",G380&amp;".","")))</f>
        <v>5.3.12.</v>
      </c>
      <c r="L380" s="137" t="str">
        <f ca="1">IF(NOT(ISERROR($Y380)),IF($Y380&lt;&gt;FALSE,INDEX(Banco,$Y380,4),""),"")</f>
        <v>Cotação</v>
      </c>
      <c r="M380" s="122" t="s">
        <v>80</v>
      </c>
      <c r="N380" s="139" t="s">
        <v>171</v>
      </c>
      <c r="O380" s="137" t="str">
        <f ca="1">IF(NOT(ISERROR($Y380)),IF($Y380&lt;&gt;FALSE,INDEX(Banco,$Y380,5),""),"")</f>
        <v xml:space="preserve">Refrigerantes (02 litros) </v>
      </c>
      <c r="P380" s="138" t="str">
        <f ca="1">IF(NOT(ISERROR($Y380)),IF($Y380&lt;&gt;FALSE,INDEX(Banco,$Y380,6),""),"")</f>
        <v>Unidade</v>
      </c>
      <c r="Q380" s="134">
        <v>20</v>
      </c>
      <c r="R380" s="124">
        <f ca="1">IF(NOT(ISERROR($Y380)),IF($Y380&lt;&gt;FALSE,INDEX(Banco,$Y380,7),0),0)</f>
        <v>6</v>
      </c>
      <c r="S380" s="136" t="s">
        <v>62</v>
      </c>
      <c r="T380" s="123">
        <f ca="1">IF($J380=$G$2,ROUND(ROUND($R380,2)*IF($R$9="Preço Unitário (R$)",1,1+$AA380),2),0)</f>
        <v>7.5</v>
      </c>
      <c r="U380" s="126">
        <f ca="1">IF($A380="S",VTOTAL1,IF($A380=0,0,ROUND(SomaAgrup,2)))</f>
        <v>150</v>
      </c>
      <c r="V380" s="1"/>
      <c r="W380" s="39" t="str">
        <f ca="1">IF(OR($A380=0,$A380="S",$A380&gt;CFF!$A$9),"",MAX(W$11:OFFSET(W380,-1,0))+1)</f>
        <v/>
      </c>
      <c r="X380" s="4" t="str">
        <f>IF(AND($J380=$G$2,$N380&lt;&gt;"",$M380&lt;&gt;""),CONCATENATE($M380,"-",$N380))</f>
        <v>Serv. Terc.-027</v>
      </c>
      <c r="Y380" s="39">
        <f ca="1">IF(X380&lt;&gt;FALSE,MATCH(X380,OFFSET(Banco,0,0,,1),0))</f>
        <v>107</v>
      </c>
      <c r="Z380" s="1"/>
      <c r="AA380" s="133">
        <f>IF($J380=$G$2,ROUND(IF(ISNUMBER(S380),S380,IF(LEFT(S380,2)="DI",HLOOKUP(S380,DADOS!$T$29:$X$30,2,FALSE),0)),4),"")</f>
        <v>0.25</v>
      </c>
      <c r="AB380" s="2"/>
    </row>
    <row r="381" spans="1:28">
      <c r="A381" t="str">
        <f t="shared" ref="A381:A386" si="422">CHOOSE(1+LOG(1+2*(J381=$C$2)+4*(J381=$D$2)+8*(J381=$E$2)+16*(J381=$F$2)+32*(J381=$G$2),2),0,1,2,3,4,"S")</f>
        <v>S</v>
      </c>
      <c r="B381">
        <f t="shared" ref="B381:B386" si="423">IF(OR(A381="S",A381=0),0,IF(ISERROR(I381),H381,SMALL(H381:I381,1)))</f>
        <v>0</v>
      </c>
      <c r="C381">
        <f ca="1">IF($A381=1,OFFSET(C381,-1,0)+1,OFFSET(C381,-1,0))</f>
        <v>5</v>
      </c>
      <c r="D381">
        <f ca="1">IF($A381=1,0,IF($A381=2,OFFSET(D381,-1,0)+1,OFFSET(D381,-1,0)))</f>
        <v>3</v>
      </c>
      <c r="E381">
        <f ca="1">IF(AND($A381&lt;=2,$A381&lt;&gt;0),0,IF($A381=3,OFFSET(E381,-1,0)+1,OFFSET(E381,-1,0)))</f>
        <v>0</v>
      </c>
      <c r="F381">
        <f ca="1">IF(AND($A381&lt;=3,$A381&lt;&gt;0),0,IF($A381=4,OFFSET(F381,-1,0)+1,OFFSET(F381,-1,0)))</f>
        <v>0</v>
      </c>
      <c r="G381">
        <f ca="1">IF(AND($A381&lt;=4,$A381&lt;&gt;0),0,IF($A381="S",OFFSET(G381,-1,0)+1,OFFSET(G381,-1,0)))</f>
        <v>13</v>
      </c>
      <c r="H381">
        <f ca="1">IF(OR($A381="S",$A381=0),0,MATCH(0,OFFSET($B381,1,$A381,ROW($A$1504)-ROW($A381)),0))</f>
        <v>0</v>
      </c>
      <c r="I381">
        <f ca="1">IF(OR($A381="S",$A381=0),0,MATCH(OFFSET($B381,0,$A381)+1,OFFSET($B381,1,$A381,ROW($A$1504)-ROW($A381)),0))</f>
        <v>0</v>
      </c>
      <c r="J381" s="132" t="s">
        <v>29</v>
      </c>
      <c r="K381" s="121" t="str">
        <f t="shared" ref="K381:K386" ca="1" si="424">IF($A381=0,"-",CONCATENATE(C381&amp;".",IF(AND($A$5&gt;=2,$A381&gt;=2),D381&amp;".",""),IF(AND($A$5&gt;=3,$A381&gt;=3),E381&amp;".",""),IF(AND($A$5&gt;=4,$A381&gt;=4),F381&amp;".",""),IF($A381="S",G381&amp;".","")))</f>
        <v>5.3.13.</v>
      </c>
      <c r="L381" s="137" t="str">
        <f ca="1">IF(NOT(ISERROR($Y381)),IF($Y381&lt;&gt;FALSE,INDEX(Banco,$Y381,4),""),"")</f>
        <v xml:space="preserve">Cotação </v>
      </c>
      <c r="M381" s="122" t="s">
        <v>80</v>
      </c>
      <c r="N381" s="139" t="s">
        <v>159</v>
      </c>
      <c r="O381" s="137" t="str">
        <f ca="1">IF(NOT(ISERROR($Y381)),IF($Y381&lt;&gt;FALSE,INDEX(Banco,$Y381,5),""),"")</f>
        <v>Brindes ( descrição nos orçamentos e PTS)</v>
      </c>
      <c r="P381" s="138" t="str">
        <f ca="1">IF(NOT(ISERROR($Y381)),IF($Y381&lt;&gt;FALSE,INDEX(Banco,$Y381,6),""),"")</f>
        <v>Unidade</v>
      </c>
      <c r="Q381" s="134">
        <v>4</v>
      </c>
      <c r="R381" s="124">
        <f ca="1">IF(NOT(ISERROR($Y381)),IF($Y381&lt;&gt;FALSE,INDEX(Banco,$Y381,7),0),0)</f>
        <v>120</v>
      </c>
      <c r="S381" s="136" t="s">
        <v>62</v>
      </c>
      <c r="T381" s="123">
        <f ca="1">IF($J381=$G$2,ROUND(ROUND($R381,2)*IF($R$9="Preço Unitário (R$)",1,1+$AA381),2),0)</f>
        <v>150</v>
      </c>
      <c r="U381" s="126">
        <f ca="1">IF($A381="S",VTOTAL1,IF($A381=0,0,ROUND(SomaAgrup,2)))</f>
        <v>600</v>
      </c>
      <c r="V381" s="1"/>
      <c r="W381" s="39" t="str">
        <f ca="1">IF(OR($A381=0,$A381="S",$A381&gt;CFF!$A$9),"",MAX(W$11:OFFSET(W381,-1,0))+1)</f>
        <v/>
      </c>
      <c r="X381" s="4" t="str">
        <f>IF(AND($J381=$G$2,$N381&lt;&gt;"",$M381&lt;&gt;""),CONCATENATE($M381,"-",$N381))</f>
        <v>Serv. Terc.-010</v>
      </c>
      <c r="Y381" s="39">
        <f t="shared" ref="Y381:Y386" ca="1" si="425">IF(X381&lt;&gt;FALSE,MATCH(X381,OFFSET(Banco,0,0,,1),0))</f>
        <v>90</v>
      </c>
      <c r="Z381" s="1"/>
      <c r="AA381" s="133">
        <f>IF($J381=$G$2,ROUND(IF(ISNUMBER(S381),S381,IF(LEFT(S381,2)="DI",HLOOKUP(S381,DADOS!$T$29:$X$30,2,FALSE),0)),4),"")</f>
        <v>0.25</v>
      </c>
      <c r="AB381" s="2"/>
    </row>
    <row r="382" spans="1:28">
      <c r="A382" t="str">
        <f t="shared" si="422"/>
        <v>S</v>
      </c>
      <c r="B382">
        <f t="shared" si="423"/>
        <v>0</v>
      </c>
      <c r="C382">
        <f t="shared" ca="1" si="408"/>
        <v>5</v>
      </c>
      <c r="D382">
        <f t="shared" ca="1" si="409"/>
        <v>3</v>
      </c>
      <c r="E382">
        <f t="shared" ca="1" si="410"/>
        <v>0</v>
      </c>
      <c r="F382">
        <f t="shared" ca="1" si="411"/>
        <v>0</v>
      </c>
      <c r="G382">
        <f t="shared" ca="1" si="412"/>
        <v>14</v>
      </c>
      <c r="H382">
        <f ca="1">IF(OR($A382="S",$A382=0),0,MATCH(0,OFFSET($B382,1,$A382,ROW($A$1504)-ROW($A382)),0))</f>
        <v>0</v>
      </c>
      <c r="I382">
        <f ca="1">IF(OR($A382="S",$A382=0),0,MATCH(OFFSET($B382,0,$A382)+1,OFFSET($B382,1,$A382,ROW($A$1504)-ROW($A382)),0))</f>
        <v>0</v>
      </c>
      <c r="J382" s="132" t="s">
        <v>29</v>
      </c>
      <c r="K382" s="121" t="str">
        <f t="shared" ca="1" si="424"/>
        <v>5.3.14.</v>
      </c>
      <c r="L382" s="137" t="str">
        <f t="shared" ca="1" si="414"/>
        <v>Cotação</v>
      </c>
      <c r="M382" s="122" t="s">
        <v>80</v>
      </c>
      <c r="N382" s="139" t="s">
        <v>162</v>
      </c>
      <c r="O382" s="137" t="str">
        <f t="shared" ca="1" si="421"/>
        <v>Coffee break (salgados)</v>
      </c>
      <c r="P382" s="138" t="str">
        <f t="shared" ca="1" si="415"/>
        <v>Centro</v>
      </c>
      <c r="Q382" s="134">
        <v>15</v>
      </c>
      <c r="R382" s="124">
        <f t="shared" ca="1" si="416"/>
        <v>65</v>
      </c>
      <c r="S382" s="136" t="s">
        <v>62</v>
      </c>
      <c r="T382" s="123">
        <f t="shared" ca="1" si="417"/>
        <v>81.25</v>
      </c>
      <c r="U382" s="126">
        <f t="shared" ca="1" si="418"/>
        <v>1218.75</v>
      </c>
      <c r="V382" s="1"/>
      <c r="W382" s="39" t="str">
        <f ca="1">IF(OR($A382=0,$A382="S",$A382&gt;CFF!$A$9),"",MAX(W$11:OFFSET(W382,-1,0))+1)</f>
        <v/>
      </c>
      <c r="X382" s="4" t="str">
        <f t="shared" si="419"/>
        <v>Serv. Terc.-015</v>
      </c>
      <c r="Y382" s="39">
        <f t="shared" ca="1" si="425"/>
        <v>95</v>
      </c>
      <c r="Z382" s="1"/>
      <c r="AA382" s="133">
        <f>IF($J382=$G$2,ROUND(IF(ISNUMBER(S382),S382,IF(LEFT(S382,2)="DI",HLOOKUP(S382,DADOS!$T$29:$X$30,2,FALSE),0)),4),"")</f>
        <v>0.25</v>
      </c>
      <c r="AB382" s="2"/>
    </row>
    <row r="383" spans="1:28">
      <c r="A383" t="str">
        <f>CHOOSE(1+LOG(1+2*(J383=$C$2)+4*(J383=$D$2)+8*(J383=$E$2)+16*(J383=$F$2)+32*(J383=$G$2),2),0,1,2,3,4,"S")</f>
        <v>S</v>
      </c>
      <c r="B383">
        <f>IF(OR(A383="S",A383=0),0,IF(ISERROR(I383),H383,SMALL(H383:I383,1)))</f>
        <v>0</v>
      </c>
      <c r="C383">
        <f ca="1">IF($A383=1,OFFSET(C383,-1,0)+1,OFFSET(C383,-1,0))</f>
        <v>5</v>
      </c>
      <c r="D383">
        <f ca="1">IF($A383=1,0,IF($A383=2,OFFSET(D383,-1,0)+1,OFFSET(D383,-1,0)))</f>
        <v>3</v>
      </c>
      <c r="E383">
        <f ca="1">IF(AND($A383&lt;=2,$A383&lt;&gt;0),0,IF($A383=3,OFFSET(E383,-1,0)+1,OFFSET(E383,-1,0)))</f>
        <v>0</v>
      </c>
      <c r="F383">
        <f ca="1">IF(AND($A383&lt;=3,$A383&lt;&gt;0),0,IF($A383=4,OFFSET(F383,-1,0)+1,OFFSET(F383,-1,0)))</f>
        <v>0</v>
      </c>
      <c r="G383">
        <f ca="1">IF(AND($A383&lt;=4,$A383&lt;&gt;0),0,IF($A383="S",OFFSET(G383,-1,0)+1,OFFSET(G383,-1,0)))</f>
        <v>15</v>
      </c>
      <c r="H383">
        <f ca="1">IF(OR($A383="S",$A383=0),0,MATCH(0,OFFSET($B383,1,$A383,ROW($A$1504)-ROW($A383)),0))</f>
        <v>0</v>
      </c>
      <c r="I383">
        <f ca="1">IF(OR($A383="S",$A383=0),0,MATCH(OFFSET($B383,0,$A383)+1,OFFSET($B383,1,$A383,ROW($A$1504)-ROW($A383)),0))</f>
        <v>0</v>
      </c>
      <c r="J383" s="132" t="s">
        <v>29</v>
      </c>
      <c r="K383" s="121" t="str">
        <f ca="1">IF($A383=0,"-",CONCATENATE(C383&amp;".",IF(AND($A$5&gt;=2,$A383&gt;=2),D383&amp;".",""),IF(AND($A$5&gt;=3,$A383&gt;=3),E383&amp;".",""),IF(AND($A$5&gt;=4,$A383&gt;=4),F383&amp;".",""),IF($A383="S",G383&amp;".","")))</f>
        <v>5.3.15.</v>
      </c>
      <c r="L383" s="137" t="str">
        <f ca="1">IF(NOT(ISERROR($Y383)),IF($Y383&lt;&gt;FALSE,INDEX(Banco,$Y383,4),""),"")</f>
        <v>OABMT</v>
      </c>
      <c r="M383" s="122" t="s">
        <v>80</v>
      </c>
      <c r="N383" s="139" t="s">
        <v>271</v>
      </c>
      <c r="O383" s="137" t="str">
        <f ca="1">IF(NOT(ISERROR($Y383)),IF($Y383&lt;&gt;FALSE,INDEX(Banco,$Y383,5),""),"")</f>
        <v>Advogado</v>
      </c>
      <c r="P383" s="138" t="str">
        <f ca="1">IF(NOT(ISERROR($Y383)),IF($Y383&lt;&gt;FALSE,INDEX(Banco,$Y383,6),""),"")</f>
        <v>Horas</v>
      </c>
      <c r="Q383" s="134">
        <v>2</v>
      </c>
      <c r="R383" s="124">
        <f ca="1">IF(NOT(ISERROR($Y383)),IF($Y383&lt;&gt;FALSE,INDEX(Banco,$Y383,7),0),0)</f>
        <v>896.51</v>
      </c>
      <c r="S383" s="136" t="s">
        <v>62</v>
      </c>
      <c r="T383" s="123">
        <f ca="1">IF($J383=$G$2,ROUND(ROUND($R383,2)*IF($R$9="Preço Unitário (R$)",1,1+$AA383),2),0)</f>
        <v>1120.6400000000001</v>
      </c>
      <c r="U383" s="126">
        <f ca="1">IF($A383="S",VTOTAL1,IF($A383=0,0,ROUND(SomaAgrup,2)))</f>
        <v>2241.2800000000002</v>
      </c>
      <c r="V383" s="1"/>
      <c r="W383" s="39" t="str">
        <f ca="1">IF(OR($A383=0,$A383="S",$A383&gt;CFF!$A$9),"",MAX(W$11:OFFSET(W383,-1,0))+1)</f>
        <v/>
      </c>
      <c r="X383" s="4" t="str">
        <f>IF(AND($J383=$G$2,$N383&lt;&gt;"",$M383&lt;&gt;""),CONCATENATE($M383,"-",$N383))</f>
        <v>Serv. Terc.-087</v>
      </c>
      <c r="Y383" s="39">
        <f ca="1">IF(X383&lt;&gt;FALSE,MATCH(X383,OFFSET(Banco,0,0,,1),0))</f>
        <v>167</v>
      </c>
      <c r="Z383" s="1"/>
      <c r="AA383" s="133">
        <f>IF($J383=$G$2,ROUND(IF(ISNUMBER(S383),S383,IF(LEFT(S383,2)="DI",HLOOKUP(S383,DADOS!$T$29:$X$30,2,FALSE),0)),4),"")</f>
        <v>0.25</v>
      </c>
      <c r="AB383" s="2"/>
    </row>
    <row r="384" spans="1:28">
      <c r="A384" t="str">
        <f t="shared" si="422"/>
        <v>S</v>
      </c>
      <c r="B384">
        <f t="shared" si="423"/>
        <v>0</v>
      </c>
      <c r="C384">
        <f t="shared" ca="1" si="408"/>
        <v>5</v>
      </c>
      <c r="D384">
        <f t="shared" ca="1" si="409"/>
        <v>3</v>
      </c>
      <c r="E384">
        <f t="shared" ca="1" si="410"/>
        <v>0</v>
      </c>
      <c r="F384">
        <f t="shared" ca="1" si="411"/>
        <v>0</v>
      </c>
      <c r="G384">
        <f t="shared" ca="1" si="412"/>
        <v>16</v>
      </c>
      <c r="H384">
        <f ca="1">IF(OR($A384="S",$A384=0),0,MATCH(0,OFFSET($B384,1,$A384,ROW($A$1504)-ROW($A384)),0))</f>
        <v>0</v>
      </c>
      <c r="I384">
        <f ca="1">IF(OR($A384="S",$A384=0),0,MATCH(OFFSET($B384,0,$A384)+1,OFFSET($B384,1,$A384,ROW($A$1504)-ROW($A384)),0))</f>
        <v>0</v>
      </c>
      <c r="J384" s="132" t="s">
        <v>29</v>
      </c>
      <c r="K384" s="121" t="str">
        <f t="shared" ca="1" si="424"/>
        <v>5.3.16.</v>
      </c>
      <c r="L384" s="137" t="str">
        <f t="shared" ca="1" si="414"/>
        <v>Cotação</v>
      </c>
      <c r="M384" s="122" t="s">
        <v>79</v>
      </c>
      <c r="N384" s="139" t="s">
        <v>163</v>
      </c>
      <c r="O384" s="137" t="str">
        <f t="shared" ca="1" si="421"/>
        <v>Guloseimas (balas e pirulito)</v>
      </c>
      <c r="P384" s="138" t="str">
        <f t="shared" ca="1" si="415"/>
        <v>Pacote</v>
      </c>
      <c r="Q384" s="134">
        <v>4</v>
      </c>
      <c r="R384" s="124">
        <f t="shared" ca="1" si="416"/>
        <v>12</v>
      </c>
      <c r="S384" s="136" t="s">
        <v>62</v>
      </c>
      <c r="T384" s="123">
        <f t="shared" ca="1" si="417"/>
        <v>15</v>
      </c>
      <c r="U384" s="126">
        <f t="shared" ca="1" si="418"/>
        <v>60</v>
      </c>
      <c r="V384" s="1"/>
      <c r="W384" s="39" t="str">
        <f ca="1">IF(OR($A384=0,$A384="S",$A384&gt;CFF!$A$9),"",MAX(W$11:OFFSET(W384,-1,0))+1)</f>
        <v/>
      </c>
      <c r="X384" s="4" t="str">
        <f t="shared" si="419"/>
        <v>Rec. Materiais-020</v>
      </c>
      <c r="Y384" s="39">
        <f t="shared" ca="1" si="425"/>
        <v>29</v>
      </c>
      <c r="Z384" s="1"/>
      <c r="AA384" s="133">
        <f>IF($J384=$G$2,ROUND(IF(ISNUMBER(S384),S384,IF(LEFT(S384,2)="DI",HLOOKUP(S384,DADOS!$T$29:$X$30,2,FALSE),0)),4),"")</f>
        <v>0.25</v>
      </c>
      <c r="AB384" s="2"/>
    </row>
    <row r="385" spans="1:28">
      <c r="A385" t="str">
        <f t="shared" si="422"/>
        <v>S</v>
      </c>
      <c r="B385">
        <f t="shared" si="423"/>
        <v>0</v>
      </c>
      <c r="C385">
        <f t="shared" ca="1" si="408"/>
        <v>5</v>
      </c>
      <c r="D385">
        <f t="shared" ca="1" si="409"/>
        <v>3</v>
      </c>
      <c r="E385">
        <f t="shared" ca="1" si="410"/>
        <v>0</v>
      </c>
      <c r="F385">
        <f t="shared" ca="1" si="411"/>
        <v>0</v>
      </c>
      <c r="G385">
        <f t="shared" ca="1" si="412"/>
        <v>17</v>
      </c>
      <c r="H385">
        <f ca="1">IF(OR($A385="S",$A385=0),0,MATCH(0,OFFSET($B385,1,$A385,ROW($A$1504)-ROW($A385)),0))</f>
        <v>0</v>
      </c>
      <c r="I385">
        <f ca="1">IF(OR($A385="S",$A385=0),0,MATCH(OFFSET($B385,0,$A385)+1,OFFSET($B385,1,$A385,ROW($A$1504)-ROW($A385)),0))</f>
        <v>0</v>
      </c>
      <c r="J385" s="132" t="s">
        <v>29</v>
      </c>
      <c r="K385" s="121" t="str">
        <f t="shared" ca="1" si="424"/>
        <v>5.3.17.</v>
      </c>
      <c r="L385" s="137" t="str">
        <f t="shared" ca="1" si="414"/>
        <v>Cotação</v>
      </c>
      <c r="M385" s="122" t="s">
        <v>79</v>
      </c>
      <c r="N385" s="139" t="s">
        <v>165</v>
      </c>
      <c r="O385" s="137" t="str">
        <f t="shared" ca="1" si="421"/>
        <v>Papel de presente</v>
      </c>
      <c r="P385" s="138" t="str">
        <f t="shared" ca="1" si="415"/>
        <v>Folhas</v>
      </c>
      <c r="Q385" s="134">
        <v>8</v>
      </c>
      <c r="R385" s="124">
        <f t="shared" ca="1" si="416"/>
        <v>1.5</v>
      </c>
      <c r="S385" s="136" t="s">
        <v>62</v>
      </c>
      <c r="T385" s="123">
        <f t="shared" ca="1" si="417"/>
        <v>1.88</v>
      </c>
      <c r="U385" s="126">
        <f t="shared" ca="1" si="418"/>
        <v>15.04</v>
      </c>
      <c r="V385" s="1"/>
      <c r="W385" s="39" t="str">
        <f ca="1">IF(OR($A385=0,$A385="S",$A385&gt;CFF!$A$9),"",MAX(W$11:OFFSET(W385,-1,0))+1)</f>
        <v/>
      </c>
      <c r="X385" s="4" t="str">
        <f t="shared" si="419"/>
        <v>Rec. Materiais-021</v>
      </c>
      <c r="Y385" s="39">
        <f t="shared" ca="1" si="425"/>
        <v>30</v>
      </c>
      <c r="Z385" s="1"/>
      <c r="AA385" s="133">
        <f>IF($J385=$G$2,ROUND(IF(ISNUMBER(S385),S385,IF(LEFT(S385,2)="DI",HLOOKUP(S385,DADOS!$T$29:$X$30,2,FALSE),0)),4),"")</f>
        <v>0.25</v>
      </c>
      <c r="AB385" s="2"/>
    </row>
    <row r="386" spans="1:28">
      <c r="A386" t="str">
        <f t="shared" si="422"/>
        <v>S</v>
      </c>
      <c r="B386">
        <f t="shared" si="423"/>
        <v>0</v>
      </c>
      <c r="C386">
        <f t="shared" ca="1" si="408"/>
        <v>5</v>
      </c>
      <c r="D386">
        <f t="shared" ca="1" si="409"/>
        <v>3</v>
      </c>
      <c r="E386">
        <f t="shared" ca="1" si="410"/>
        <v>0</v>
      </c>
      <c r="F386">
        <f t="shared" ca="1" si="411"/>
        <v>0</v>
      </c>
      <c r="G386">
        <f t="shared" ca="1" si="412"/>
        <v>18</v>
      </c>
      <c r="H386">
        <f ca="1">IF(OR($A386="S",$A386=0),0,MATCH(0,OFFSET($B386,1,$A386,ROW($A$1504)-ROW($A386)),0))</f>
        <v>0</v>
      </c>
      <c r="I386">
        <f ca="1">IF(OR($A386="S",$A386=0),0,MATCH(OFFSET($B386,0,$A386)+1,OFFSET($B386,1,$A386,ROW($A$1504)-ROW($A386)),0))</f>
        <v>0</v>
      </c>
      <c r="J386" s="132" t="s">
        <v>29</v>
      </c>
      <c r="K386" s="121" t="str">
        <f t="shared" ca="1" si="424"/>
        <v>5.3.18.</v>
      </c>
      <c r="L386" s="137" t="str">
        <f t="shared" ca="1" si="414"/>
        <v>Cotação</v>
      </c>
      <c r="M386" s="122" t="s">
        <v>79</v>
      </c>
      <c r="N386" s="139" t="s">
        <v>170</v>
      </c>
      <c r="O386" s="137" t="str">
        <f t="shared" ca="1" si="421"/>
        <v>Saco de lixo (100 litros)</v>
      </c>
      <c r="P386" s="138" t="str">
        <f t="shared" ca="1" si="415"/>
        <v>Pacote</v>
      </c>
      <c r="Q386" s="134">
        <v>2</v>
      </c>
      <c r="R386" s="124">
        <f t="shared" ca="1" si="416"/>
        <v>15</v>
      </c>
      <c r="S386" s="136" t="s">
        <v>62</v>
      </c>
      <c r="T386" s="123">
        <f t="shared" ca="1" si="417"/>
        <v>18.75</v>
      </c>
      <c r="U386" s="126">
        <f t="shared" ca="1" si="418"/>
        <v>37.5</v>
      </c>
      <c r="V386" s="1"/>
      <c r="W386" s="39" t="str">
        <f ca="1">IF(OR($A386=0,$A386="S",$A386&gt;CFF!$A$9),"",MAX(W$11:OFFSET(W386,-1,0))+1)</f>
        <v/>
      </c>
      <c r="X386" s="4" t="str">
        <f t="shared" si="419"/>
        <v>Rec. Materiais-026</v>
      </c>
      <c r="Y386" s="39">
        <f t="shared" ca="1" si="425"/>
        <v>35</v>
      </c>
      <c r="Z386" s="1"/>
      <c r="AA386" s="133">
        <f>IF($J386=$G$2,ROUND(IF(ISNUMBER(S386),S386,IF(LEFT(S386,2)="DI",HLOOKUP(S386,DADOS!$T$29:$X$30,2,FALSE),0)),4),"")</f>
        <v>0.25</v>
      </c>
      <c r="AB386" s="2"/>
    </row>
    <row r="387" spans="1:28">
      <c r="A387">
        <f>CHOOSE(1+LOG(1+2*(J387=$C$2)+4*(J387=$D$2)+8*(J387=$E$2)+16*(J387=$F$2)+32*(J387=$G$2),2),0,1,2,3,4,"S")</f>
        <v>2</v>
      </c>
      <c r="B387">
        <f ca="1">IF(OR(A387="S",A387=0),0,IF(ISERROR(I387),H387,SMALL(H387:I387,1)))</f>
        <v>3</v>
      </c>
      <c r="C387">
        <f ca="1">IF($A387=1,OFFSET(C387,-1,0)+1,OFFSET(C387,-1,0))</f>
        <v>5</v>
      </c>
      <c r="D387">
        <f ca="1">IF($A387=1,0,IF($A387=2,OFFSET(D387,-1,0)+1,OFFSET(D387,-1,0)))</f>
        <v>4</v>
      </c>
      <c r="E387">
        <f ca="1">IF(AND($A387&lt;=2,$A387&lt;&gt;0),0,IF($A387=3,OFFSET(E387,-1,0)+1,OFFSET(E387,-1,0)))</f>
        <v>0</v>
      </c>
      <c r="F387">
        <f ca="1">IF(AND($A387&lt;=3,$A387&lt;&gt;0),0,IF($A387=4,OFFSET(F387,-1,0)+1,OFFSET(F387,-1,0)))</f>
        <v>0</v>
      </c>
      <c r="G387">
        <f ca="1">IF(AND($A387&lt;=4,$A387&lt;&gt;0),0,IF($A387="S",OFFSET(G387,-1,0)+1,OFFSET(G387,-1,0)))</f>
        <v>0</v>
      </c>
      <c r="H387">
        <f ca="1">IF(OR($A387="S",$A387=0),0,MATCH(0,OFFSET($B387,1,$A387,ROW($A$1504)-ROW($A387)),0))</f>
        <v>22</v>
      </c>
      <c r="I387">
        <f ca="1">IF(OR($A387="S",$A387=0),0,MATCH(OFFSET($B387,0,$A387)+1,OFFSET($B387,1,$A387,ROW($A$1504)-ROW($A387)),0))</f>
        <v>3</v>
      </c>
      <c r="J387" s="132" t="s">
        <v>68</v>
      </c>
      <c r="K387" s="121" t="str">
        <f ca="1">IF($A387=0,"-",CONCATENATE(C387&amp;".",IF(AND($A$5&gt;=2,$A387&gt;=2),D387&amp;".",""),IF(AND($A$5&gt;=3,$A387&gt;=3),E387&amp;".",""),IF(AND($A$5&gt;=4,$A387&gt;=4),F387&amp;".",""),IF($A387="S",G387&amp;".","")))</f>
        <v>5.4.</v>
      </c>
      <c r="L387" s="137" t="str">
        <f ca="1">IF(NOT(ISERROR($Y387)),IF($Y387&lt;&gt;FALSE,INDEX(Banco,$Y387,4),""),"")</f>
        <v/>
      </c>
      <c r="M387" s="122"/>
      <c r="N387" s="139"/>
      <c r="O387" s="137" t="s">
        <v>373</v>
      </c>
      <c r="P387" s="138" t="str">
        <f ca="1">IF(NOT(ISERROR($Y387)),IF($Y387&lt;&gt;FALSE,INDEX(Banco,$Y387,6),""),"")</f>
        <v/>
      </c>
      <c r="Q387" s="134"/>
      <c r="R387" s="124">
        <f ca="1">IF(NOT(ISERROR($Y387)),IF($Y387&lt;&gt;FALSE,INDEX(Banco,$Y387,7),0),0)</f>
        <v>0</v>
      </c>
      <c r="S387" s="136" t="s">
        <v>62</v>
      </c>
      <c r="T387" s="123">
        <f>IF($J387=$G$2,ROUND(ROUND($R387,2)*IF($R$9="Preço Unitário (R$)",1,1+$AA387),2),0)</f>
        <v>0</v>
      </c>
      <c r="U387" s="126">
        <f ca="1">IF($A387="S",VTOTAL1,IF($A387=0,0,ROUND(SomaAgrup,2)))</f>
        <v>1713.78</v>
      </c>
      <c r="V387" s="1"/>
      <c r="W387" s="39">
        <f ca="1">IF(OR($A387=0,$A387="S",$A387&gt;CFF!$A$9),"",MAX(W$11:OFFSET(W387,-1,0))+1)</f>
        <v>31</v>
      </c>
      <c r="X387" s="4" t="b">
        <f>IF(AND($J387=$G$2,$N387&lt;&gt;"",$M387&lt;&gt;""),CONCATENATE($M387,"-",$N387))</f>
        <v>0</v>
      </c>
      <c r="Y387" s="39" t="b">
        <f ca="1">IF(X387&lt;&gt;FALSE,MATCH(X387,OFFSET(Banco,0,0,,1),0))</f>
        <v>0</v>
      </c>
      <c r="Z387" s="1"/>
      <c r="AA387" s="133" t="str">
        <f>IF($J387=$G$2,ROUND(IF(ISNUMBER(S387),S387,IF(LEFT(S387,2)="DI",HLOOKUP(S387,DADOS!$T$29:$X$30,2,FALSE),0)),4),"")</f>
        <v/>
      </c>
      <c r="AB387" s="2"/>
    </row>
    <row r="388" spans="1:28">
      <c r="A388" t="str">
        <f t="shared" ref="A388:A389" si="426">CHOOSE(1+LOG(1+2*(J388=$C$2)+4*(J388=$D$2)+8*(J388=$E$2)+16*(J388=$F$2)+32*(J388=$G$2),2),0,1,2,3,4,"S")</f>
        <v>S</v>
      </c>
      <c r="B388">
        <f t="shared" ref="B388:B389" si="427">IF(OR(A388="S",A388=0),0,IF(ISERROR(I388),H388,SMALL(H388:I388,1)))</f>
        <v>0</v>
      </c>
      <c r="C388">
        <f t="shared" ref="C388:C389" ca="1" si="428">IF($A388=1,OFFSET(C388,-1,0)+1,OFFSET(C388,-1,0))</f>
        <v>5</v>
      </c>
      <c r="D388">
        <f t="shared" ref="D388:D389" ca="1" si="429">IF($A388=1,0,IF($A388=2,OFFSET(D388,-1,0)+1,OFFSET(D388,-1,0)))</f>
        <v>4</v>
      </c>
      <c r="E388">
        <f t="shared" ref="E388:E389" ca="1" si="430">IF(AND($A388&lt;=2,$A388&lt;&gt;0),0,IF($A388=3,OFFSET(E388,-1,0)+1,OFFSET(E388,-1,0)))</f>
        <v>0</v>
      </c>
      <c r="F388">
        <f t="shared" ref="F388:F389" ca="1" si="431">IF(AND($A388&lt;=3,$A388&lt;&gt;0),0,IF($A388=4,OFFSET(F388,-1,0)+1,OFFSET(F388,-1,0)))</f>
        <v>0</v>
      </c>
      <c r="G388">
        <f t="shared" ref="G388:G389" ca="1" si="432">IF(AND($A388&lt;=4,$A388&lt;&gt;0),0,IF($A388="S",OFFSET(G388,-1,0)+1,OFFSET(G388,-1,0)))</f>
        <v>1</v>
      </c>
      <c r="H388">
        <f ca="1">IF(OR($A388="S",$A388=0),0,MATCH(0,OFFSET($B388,1,$A388,ROW($A$1504)-ROW($A388)),0))</f>
        <v>0</v>
      </c>
      <c r="I388">
        <f ca="1">IF(OR($A388="S",$A388=0),0,MATCH(OFFSET($B388,0,$A388)+1,OFFSET($B388,1,$A388,ROW($A$1504)-ROW($A388)),0))</f>
        <v>0</v>
      </c>
      <c r="J388" s="132" t="s">
        <v>29</v>
      </c>
      <c r="K388" s="121" t="str">
        <f t="shared" ref="K388:K389" ca="1" si="433">IF($A388=0,"-",CONCATENATE(C388&amp;".",IF(AND($A$5&gt;=2,$A388&gt;=2),D388&amp;".",""),IF(AND($A$5&gt;=3,$A388&gt;=3),E388&amp;".",""),IF(AND($A$5&gt;=4,$A388&gt;=4),F388&amp;".",""),IF($A388="S",G388&amp;".","")))</f>
        <v>5.4.1.</v>
      </c>
      <c r="L388" s="137" t="str">
        <f t="shared" ref="L388:L389" ca="1" si="434">IF(NOT(ISERROR($Y388)),IF($Y388&lt;&gt;FALSE,INDEX(Banco,$Y388,4),""),"")</f>
        <v>CRESS</v>
      </c>
      <c r="M388" s="122" t="s">
        <v>78</v>
      </c>
      <c r="N388" s="139" t="s">
        <v>149</v>
      </c>
      <c r="O388" s="137" t="str">
        <f ca="1">IF(NOT(ISERROR($Y388)),IF($Y388&lt;&gt;FALSE,INDEX(Banco,$Y388,5),""),"")</f>
        <v>Responsável Técnica</v>
      </c>
      <c r="P388" s="138" t="str">
        <f t="shared" ref="P388:P389" ca="1" si="435">IF(NOT(ISERROR($Y388)),IF($Y388&lt;&gt;FALSE,INDEX(Banco,$Y388,6),""),"")</f>
        <v>Horas</v>
      </c>
      <c r="Q388" s="134">
        <v>2</v>
      </c>
      <c r="R388" s="124">
        <f t="shared" ref="R388:R389" ca="1" si="436">IF(NOT(ISERROR($Y388)),IF($Y388&lt;&gt;FALSE,INDEX(Banco,$Y388,7),0),0)</f>
        <v>150.28</v>
      </c>
      <c r="S388" s="136" t="s">
        <v>62</v>
      </c>
      <c r="T388" s="123">
        <f t="shared" ref="T388:T389" ca="1" si="437">IF($J388=$G$2,ROUND(ROUND($R388,2)*IF($R$9="Preço Unitário (R$)",1,1+$AA388),2),0)</f>
        <v>187.85</v>
      </c>
      <c r="U388" s="126">
        <f t="shared" ref="U388:U389" ca="1" si="438">IF($A388="S",VTOTAL1,IF($A388=0,0,ROUND(SomaAgrup,2)))</f>
        <v>375.7</v>
      </c>
      <c r="V388" s="1"/>
      <c r="W388" s="39" t="str">
        <f ca="1">IF(OR($A388=0,$A388="S",$A388&gt;CFF!$A$9),"",MAX(W$11:OFFSET(W388,-1,0))+1)</f>
        <v/>
      </c>
      <c r="X388" s="4" t="str">
        <f t="shared" ref="X388:X389" si="439">IF(AND($J388=$G$2,$N388&lt;&gt;"",$M388&lt;&gt;""),CONCATENATE($M388,"-",$N388))</f>
        <v>Rec. Humanos-001</v>
      </c>
      <c r="Y388" s="39">
        <f t="shared" ref="Y388:Y389" ca="1" si="440">IF(X388&lt;&gt;FALSE,MATCH(X388,OFFSET(Banco,0,0,,1),0))</f>
        <v>3</v>
      </c>
      <c r="Z388" s="1"/>
      <c r="AA388" s="133">
        <f>IF($J388=$G$2,ROUND(IF(ISNUMBER(S388),S388,IF(LEFT(S388,2)="DI",HLOOKUP(S388,DADOS!$T$29:$X$30,2,FALSE),0)),4),"")</f>
        <v>0.25</v>
      </c>
      <c r="AB388" s="2"/>
    </row>
    <row r="389" spans="1:28">
      <c r="A389" t="str">
        <f t="shared" si="426"/>
        <v>S</v>
      </c>
      <c r="B389">
        <f t="shared" si="427"/>
        <v>0</v>
      </c>
      <c r="C389">
        <f t="shared" ca="1" si="428"/>
        <v>5</v>
      </c>
      <c r="D389">
        <f t="shared" ca="1" si="429"/>
        <v>4</v>
      </c>
      <c r="E389">
        <f t="shared" ca="1" si="430"/>
        <v>0</v>
      </c>
      <c r="F389">
        <f t="shared" ca="1" si="431"/>
        <v>0</v>
      </c>
      <c r="G389">
        <f t="shared" ca="1" si="432"/>
        <v>2</v>
      </c>
      <c r="H389">
        <f ca="1">IF(OR($A389="S",$A389=0),0,MATCH(0,OFFSET($B389,1,$A389,ROW($A$1504)-ROW($A389)),0))</f>
        <v>0</v>
      </c>
      <c r="I389">
        <f ca="1">IF(OR($A389="S",$A389=0),0,MATCH(OFFSET($B389,0,$A389)+1,OFFSET($B389,1,$A389,ROW($A$1504)-ROW($A389)),0))</f>
        <v>0</v>
      </c>
      <c r="J389" s="132" t="s">
        <v>29</v>
      </c>
      <c r="K389" s="121" t="str">
        <f t="shared" ca="1" si="433"/>
        <v>5.4.2.</v>
      </c>
      <c r="L389" s="137" t="str">
        <f t="shared" ca="1" si="434"/>
        <v>CRESS</v>
      </c>
      <c r="M389" s="122" t="s">
        <v>78</v>
      </c>
      <c r="N389" s="139" t="s">
        <v>152</v>
      </c>
      <c r="O389" s="137" t="str">
        <f ca="1">IF(NOT(ISERROR($Y389)),IF($Y389&lt;&gt;FALSE,INDEX(Banco,$Y389,5),""),"")</f>
        <v>Assistente Social</v>
      </c>
      <c r="P389" s="138" t="str">
        <f t="shared" ca="1" si="435"/>
        <v>Horas</v>
      </c>
      <c r="Q389" s="134">
        <v>8</v>
      </c>
      <c r="R389" s="124">
        <f t="shared" ca="1" si="436"/>
        <v>133.81</v>
      </c>
      <c r="S389" s="136" t="s">
        <v>62</v>
      </c>
      <c r="T389" s="123">
        <f t="shared" ca="1" si="437"/>
        <v>167.26</v>
      </c>
      <c r="U389" s="126">
        <f t="shared" ca="1" si="438"/>
        <v>1338.08</v>
      </c>
      <c r="V389" s="1"/>
      <c r="W389" s="39" t="str">
        <f ca="1">IF(OR($A389=0,$A389="S",$A389&gt;CFF!$A$9),"",MAX(W$11:OFFSET(W389,-1,0))+1)</f>
        <v/>
      </c>
      <c r="X389" s="4" t="str">
        <f t="shared" si="439"/>
        <v>Rec. Humanos-002</v>
      </c>
      <c r="Y389" s="39">
        <f t="shared" ca="1" si="440"/>
        <v>4</v>
      </c>
      <c r="Z389" s="1"/>
      <c r="AA389" s="133">
        <f>IF($J389=$G$2,ROUND(IF(ISNUMBER(S389),S389,IF(LEFT(S389,2)="DI",HLOOKUP(S389,DADOS!$T$29:$X$30,2,FALSE),0)),4),"")</f>
        <v>0.25</v>
      </c>
      <c r="AB389" s="2"/>
    </row>
    <row r="390" spans="1:28" ht="38.25">
      <c r="A390">
        <f>CHOOSE(1+LOG(1+2*(J390=$C$2)+4*(J390=$D$2)+8*(J390=$E$2)+16*(J390=$F$2)+32*(J390=$G$2),2),0,1,2,3,4,"S")</f>
        <v>2</v>
      </c>
      <c r="B390">
        <f ca="1">IF(OR(A390="S",A390=0),0,IF(ISERROR(I390),H390,SMALL(H390:I390,1)))</f>
        <v>19</v>
      </c>
      <c r="C390">
        <f ca="1">IF($A390=1,OFFSET(C390,-1,0)+1,OFFSET(C390,-1,0))</f>
        <v>5</v>
      </c>
      <c r="D390">
        <f ca="1">IF($A390=1,0,IF($A390=2,OFFSET(D390,-1,0)+1,OFFSET(D390,-1,0)))</f>
        <v>5</v>
      </c>
      <c r="E390">
        <f ca="1">IF(AND($A390&lt;=2,$A390&lt;&gt;0),0,IF($A390=3,OFFSET(E390,-1,0)+1,OFFSET(E390,-1,0)))</f>
        <v>0</v>
      </c>
      <c r="F390">
        <f ca="1">IF(AND($A390&lt;=3,$A390&lt;&gt;0),0,IF($A390=4,OFFSET(F390,-1,0)+1,OFFSET(F390,-1,0)))</f>
        <v>0</v>
      </c>
      <c r="G390">
        <f ca="1">IF(AND($A390&lt;=4,$A390&lt;&gt;0),0,IF($A390="S",OFFSET(G390,-1,0)+1,OFFSET(G390,-1,0)))</f>
        <v>0</v>
      </c>
      <c r="H390">
        <f ca="1">IF(OR($A390="S",$A390=0),0,MATCH(0,OFFSET($B390,1,$A390,ROW($A$1504)-ROW($A390)),0))</f>
        <v>19</v>
      </c>
      <c r="I390">
        <f ca="1">IF(OR($A390="S",$A390=0),0,MATCH(OFFSET($B390,0,$A390)+1,OFFSET($B390,1,$A390,ROW($A$1504)-ROW($A390)),0))</f>
        <v>77</v>
      </c>
      <c r="J390" s="132" t="s">
        <v>68</v>
      </c>
      <c r="K390" s="121" t="str">
        <f ca="1">IF($A390=0,"-",CONCATENATE(C390&amp;".",IF(AND($A$5&gt;=2,$A390&gt;=2),D390&amp;".",""),IF(AND($A$5&gt;=3,$A390&gt;=3),E390&amp;".",""),IF(AND($A$5&gt;=4,$A390&gt;=4),F390&amp;".",""),IF($A390="S",G390&amp;".","")))</f>
        <v>5.5.</v>
      </c>
      <c r="L390" s="137" t="str">
        <f ca="1">IF(NOT(ISERROR($Y390)),IF($Y390&lt;&gt;FALSE,INDEX(Banco,$Y390,4),""),"")</f>
        <v/>
      </c>
      <c r="M390" s="122"/>
      <c r="N390" s="139"/>
      <c r="O390" s="137" t="s">
        <v>374</v>
      </c>
      <c r="P390" s="138" t="str">
        <f ca="1">IF(NOT(ISERROR($Y390)),IF($Y390&lt;&gt;FALSE,INDEX(Banco,$Y390,6),""),"")</f>
        <v/>
      </c>
      <c r="Q390" s="134"/>
      <c r="R390" s="124">
        <f ca="1">IF(NOT(ISERROR($Y390)),IF($Y390&lt;&gt;FALSE,INDEX(Banco,$Y390,7),0),0)</f>
        <v>0</v>
      </c>
      <c r="S390" s="136" t="s">
        <v>62</v>
      </c>
      <c r="T390" s="123">
        <f>IF($J390=$G$2,ROUND(ROUND($R390,2)*IF($R$9="Preço Unitário (R$)",1,1+$AA390),2),0)</f>
        <v>0</v>
      </c>
      <c r="U390" s="126">
        <f ca="1">IF($A390="S",VTOTAL1,IF($A390=0,0,ROUND(SomaAgrup,2)))</f>
        <v>8728.6299999999992</v>
      </c>
      <c r="V390" s="1"/>
      <c r="W390" s="39">
        <f ca="1">IF(OR($A390=0,$A390="S",$A390&gt;CFF!$A$9),"",MAX(W$11:OFFSET(W390,-1,0))+1)</f>
        <v>32</v>
      </c>
      <c r="X390" s="4" t="b">
        <f>IF(AND($J390=$G$2,$N390&lt;&gt;"",$M390&lt;&gt;""),CONCATENATE($M390,"-",$N390))</f>
        <v>0</v>
      </c>
      <c r="Y390" s="39" t="b">
        <f ca="1">IF(X390&lt;&gt;FALSE,MATCH(X390,OFFSET(Banco,0,0,,1),0))</f>
        <v>0</v>
      </c>
      <c r="Z390" s="1"/>
      <c r="AA390" s="133" t="str">
        <f>IF($J390=$G$2,ROUND(IF(ISNUMBER(S390),S390,IF(LEFT(S390,2)="DI",HLOOKUP(S390,DADOS!$T$29:$X$30,2,FALSE),0)),4),"")</f>
        <v/>
      </c>
      <c r="AB390" s="2"/>
    </row>
    <row r="391" spans="1:28">
      <c r="A391" t="str">
        <f t="shared" ref="A391:A394" si="441">CHOOSE(1+LOG(1+2*(J391=$C$2)+4*(J391=$D$2)+8*(J391=$E$2)+16*(J391=$F$2)+32*(J391=$G$2),2),0,1,2,3,4,"S")</f>
        <v>S</v>
      </c>
      <c r="B391">
        <f t="shared" ref="B391:B394" si="442">IF(OR(A391="S",A391=0),0,IF(ISERROR(I391),H391,SMALL(H391:I391,1)))</f>
        <v>0</v>
      </c>
      <c r="C391">
        <f t="shared" ref="C391:C394" ca="1" si="443">IF($A391=1,OFFSET(C391,-1,0)+1,OFFSET(C391,-1,0))</f>
        <v>5</v>
      </c>
      <c r="D391">
        <f t="shared" ref="D391:D394" ca="1" si="444">IF($A391=1,0,IF($A391=2,OFFSET(D391,-1,0)+1,OFFSET(D391,-1,0)))</f>
        <v>5</v>
      </c>
      <c r="E391">
        <f t="shared" ref="E391:E394" ca="1" si="445">IF(AND($A391&lt;=2,$A391&lt;&gt;0),0,IF($A391=3,OFFSET(E391,-1,0)+1,OFFSET(E391,-1,0)))</f>
        <v>0</v>
      </c>
      <c r="F391">
        <f t="shared" ref="F391:F394" ca="1" si="446">IF(AND($A391&lt;=3,$A391&lt;&gt;0),0,IF($A391=4,OFFSET(F391,-1,0)+1,OFFSET(F391,-1,0)))</f>
        <v>0</v>
      </c>
      <c r="G391">
        <f t="shared" ref="G391:G394" ca="1" si="447">IF(AND($A391&lt;=4,$A391&lt;&gt;0),0,IF($A391="S",OFFSET(G391,-1,0)+1,OFFSET(G391,-1,0)))</f>
        <v>1</v>
      </c>
      <c r="H391">
        <f ca="1">IF(OR($A391="S",$A391=0),0,MATCH(0,OFFSET($B391,1,$A391,ROW($A$1504)-ROW($A391)),0))</f>
        <v>0</v>
      </c>
      <c r="I391">
        <f ca="1">IF(OR($A391="S",$A391=0),0,MATCH(OFFSET($B391,0,$A391)+1,OFFSET($B391,1,$A391,ROW($A$1504)-ROW($A391)),0))</f>
        <v>0</v>
      </c>
      <c r="J391" s="132" t="s">
        <v>29</v>
      </c>
      <c r="K391" s="121" t="str">
        <f t="shared" ref="K391:K394" ca="1" si="448">IF($A391=0,"-",CONCATENATE(C391&amp;".",IF(AND($A$5&gt;=2,$A391&gt;=2),D391&amp;".",""),IF(AND($A$5&gt;=3,$A391&gt;=3),E391&amp;".",""),IF(AND($A$5&gt;=4,$A391&gt;=4),F391&amp;".",""),IF($A391="S",G391&amp;".","")))</f>
        <v>5.5.1.</v>
      </c>
      <c r="L391" s="137" t="str">
        <f t="shared" ref="L391:L394" ca="1" si="449">IF(NOT(ISERROR($Y391)),IF($Y391&lt;&gt;FALSE,INDEX(Banco,$Y391,4),""),"")</f>
        <v>CRESS</v>
      </c>
      <c r="M391" s="122" t="s">
        <v>78</v>
      </c>
      <c r="N391" s="139" t="s">
        <v>149</v>
      </c>
      <c r="O391" s="137" t="str">
        <f t="shared" ref="O391:O408" ca="1" si="450">IF(NOT(ISERROR($Y391)),IF($Y391&lt;&gt;FALSE,INDEX(Banco,$Y391,5),""),"")</f>
        <v>Responsável Técnica</v>
      </c>
      <c r="P391" s="138" t="str">
        <f t="shared" ref="P391:P394" ca="1" si="451">IF(NOT(ISERROR($Y391)),IF($Y391&lt;&gt;FALSE,INDEX(Banco,$Y391,6),""),"")</f>
        <v>Horas</v>
      </c>
      <c r="Q391" s="134">
        <v>6</v>
      </c>
      <c r="R391" s="124">
        <f t="shared" ref="R391:R394" ca="1" si="452">IF(NOT(ISERROR($Y391)),IF($Y391&lt;&gt;FALSE,INDEX(Banco,$Y391,7),0),0)</f>
        <v>150.28</v>
      </c>
      <c r="S391" s="136" t="s">
        <v>62</v>
      </c>
      <c r="T391" s="123">
        <f t="shared" ref="T391:T394" ca="1" si="453">IF($J391=$G$2,ROUND(ROUND($R391,2)*IF($R$9="Preço Unitário (R$)",1,1+$AA391),2),0)</f>
        <v>187.85</v>
      </c>
      <c r="U391" s="126">
        <f t="shared" ref="U391:U394" ca="1" si="454">IF($A391="S",VTOTAL1,IF($A391=0,0,ROUND(SomaAgrup,2)))</f>
        <v>1127.0999999999999</v>
      </c>
      <c r="V391" s="1"/>
      <c r="W391" s="39" t="str">
        <f ca="1">IF(OR($A391=0,$A391="S",$A391&gt;CFF!$A$9),"",MAX(W$11:OFFSET(W391,-1,0))+1)</f>
        <v/>
      </c>
      <c r="X391" s="4" t="str">
        <f t="shared" ref="X391:X394" si="455">IF(AND($J391=$G$2,$N391&lt;&gt;"",$M391&lt;&gt;""),CONCATENATE($M391,"-",$N391))</f>
        <v>Rec. Humanos-001</v>
      </c>
      <c r="Y391" s="39">
        <f t="shared" ref="Y391:Y394" ca="1" si="456">IF(X391&lt;&gt;FALSE,MATCH(X391,OFFSET(Banco,0,0,,1),0))</f>
        <v>3</v>
      </c>
      <c r="Z391" s="1"/>
      <c r="AA391" s="133">
        <f>IF($J391=$G$2,ROUND(IF(ISNUMBER(S391),S391,IF(LEFT(S391,2)="DI",HLOOKUP(S391,DADOS!$T$29:$X$30,2,FALSE),0)),4),"")</f>
        <v>0.25</v>
      </c>
      <c r="AB391" s="2"/>
    </row>
    <row r="392" spans="1:28">
      <c r="A392" t="str">
        <f t="shared" si="441"/>
        <v>S</v>
      </c>
      <c r="B392">
        <f t="shared" si="442"/>
        <v>0</v>
      </c>
      <c r="C392">
        <f t="shared" ca="1" si="443"/>
        <v>5</v>
      </c>
      <c r="D392">
        <f t="shared" ca="1" si="444"/>
        <v>5</v>
      </c>
      <c r="E392">
        <f t="shared" ca="1" si="445"/>
        <v>0</v>
      </c>
      <c r="F392">
        <f t="shared" ca="1" si="446"/>
        <v>0</v>
      </c>
      <c r="G392">
        <f t="shared" ca="1" si="447"/>
        <v>2</v>
      </c>
      <c r="H392">
        <f ca="1">IF(OR($A392="S",$A392=0),0,MATCH(0,OFFSET($B392,1,$A392,ROW($A$1504)-ROW($A392)),0))</f>
        <v>0</v>
      </c>
      <c r="I392">
        <f ca="1">IF(OR($A392="S",$A392=0),0,MATCH(OFFSET($B392,0,$A392)+1,OFFSET($B392,1,$A392,ROW($A$1504)-ROW($A392)),0))</f>
        <v>0</v>
      </c>
      <c r="J392" s="132" t="s">
        <v>29</v>
      </c>
      <c r="K392" s="121" t="str">
        <f t="shared" ca="1" si="448"/>
        <v>5.5.2.</v>
      </c>
      <c r="L392" s="137" t="str">
        <f t="shared" ca="1" si="449"/>
        <v>CRESS</v>
      </c>
      <c r="M392" s="122" t="s">
        <v>78</v>
      </c>
      <c r="N392" s="139" t="s">
        <v>152</v>
      </c>
      <c r="O392" s="137" t="str">
        <f t="shared" ca="1" si="450"/>
        <v>Assistente Social</v>
      </c>
      <c r="P392" s="138" t="str">
        <f t="shared" ca="1" si="451"/>
        <v>Horas</v>
      </c>
      <c r="Q392" s="134">
        <v>4</v>
      </c>
      <c r="R392" s="124">
        <f t="shared" ca="1" si="452"/>
        <v>133.81</v>
      </c>
      <c r="S392" s="136" t="s">
        <v>62</v>
      </c>
      <c r="T392" s="123">
        <f t="shared" ca="1" si="453"/>
        <v>167.26</v>
      </c>
      <c r="U392" s="126">
        <f t="shared" ca="1" si="454"/>
        <v>669.04</v>
      </c>
      <c r="V392" s="1"/>
      <c r="W392" s="39" t="str">
        <f ca="1">IF(OR($A392=0,$A392="S",$A392&gt;CFF!$A$9),"",MAX(W$11:OFFSET(W392,-1,0))+1)</f>
        <v/>
      </c>
      <c r="X392" s="4" t="str">
        <f t="shared" si="455"/>
        <v>Rec. Humanos-002</v>
      </c>
      <c r="Y392" s="39">
        <f t="shared" ca="1" si="456"/>
        <v>4</v>
      </c>
      <c r="Z392" s="1"/>
      <c r="AA392" s="133">
        <f>IF($J392=$G$2,ROUND(IF(ISNUMBER(S392),S392,IF(LEFT(S392,2)="DI",HLOOKUP(S392,DADOS!$T$29:$X$30,2,FALSE),0)),4),"")</f>
        <v>0.25</v>
      </c>
      <c r="AB392" s="2"/>
    </row>
    <row r="393" spans="1:28">
      <c r="A393" t="str">
        <f t="shared" si="441"/>
        <v>S</v>
      </c>
      <c r="B393">
        <f t="shared" si="442"/>
        <v>0</v>
      </c>
      <c r="C393">
        <f t="shared" ca="1" si="443"/>
        <v>5</v>
      </c>
      <c r="D393">
        <f t="shared" ca="1" si="444"/>
        <v>5</v>
      </c>
      <c r="E393">
        <f t="shared" ca="1" si="445"/>
        <v>0</v>
      </c>
      <c r="F393">
        <f t="shared" ca="1" si="446"/>
        <v>0</v>
      </c>
      <c r="G393">
        <f t="shared" ca="1" si="447"/>
        <v>3</v>
      </c>
      <c r="H393">
        <f ca="1">IF(OR($A393="S",$A393=0),0,MATCH(0,OFFSET($B393,1,$A393,ROW($A$1504)-ROW($A393)),0))</f>
        <v>0</v>
      </c>
      <c r="I393">
        <f ca="1">IF(OR($A393="S",$A393=0),0,MATCH(OFFSET($B393,0,$A393)+1,OFFSET($B393,1,$A393,ROW($A$1504)-ROW($A393)),0))</f>
        <v>0</v>
      </c>
      <c r="J393" s="132" t="s">
        <v>29</v>
      </c>
      <c r="K393" s="121" t="str">
        <f t="shared" ca="1" si="448"/>
        <v>5.5.3.</v>
      </c>
      <c r="L393" s="137" t="str">
        <f t="shared" ca="1" si="449"/>
        <v>Cotação</v>
      </c>
      <c r="M393" s="122" t="s">
        <v>78</v>
      </c>
      <c r="N393" s="139" t="s">
        <v>151</v>
      </c>
      <c r="O393" s="137" t="str">
        <f t="shared" ca="1" si="450"/>
        <v xml:space="preserve">Administrador (Técnico de Apoio) </v>
      </c>
      <c r="P393" s="138" t="str">
        <f t="shared" ca="1" si="451"/>
        <v>Horas</v>
      </c>
      <c r="Q393" s="134">
        <v>4</v>
      </c>
      <c r="R393" s="124">
        <f t="shared" ca="1" si="452"/>
        <v>103.65</v>
      </c>
      <c r="S393" s="136" t="s">
        <v>62</v>
      </c>
      <c r="T393" s="123">
        <f t="shared" ca="1" si="453"/>
        <v>129.56</v>
      </c>
      <c r="U393" s="126">
        <f t="shared" ca="1" si="454"/>
        <v>518.24</v>
      </c>
      <c r="V393" s="1"/>
      <c r="W393" s="39" t="str">
        <f ca="1">IF(OR($A393=0,$A393="S",$A393&gt;CFF!$A$9),"",MAX(W$11:OFFSET(W393,-1,0))+1)</f>
        <v/>
      </c>
      <c r="X393" s="4" t="str">
        <f t="shared" si="455"/>
        <v>Rec. Humanos-003</v>
      </c>
      <c r="Y393" s="39">
        <f t="shared" ca="1" si="456"/>
        <v>5</v>
      </c>
      <c r="Z393" s="1"/>
      <c r="AA393" s="133">
        <f>IF($J393=$G$2,ROUND(IF(ISNUMBER(S393),S393,IF(LEFT(S393,2)="DI",HLOOKUP(S393,DADOS!$T$29:$X$30,2,FALSE),0)),4),"")</f>
        <v>0.25</v>
      </c>
      <c r="AB393" s="2"/>
    </row>
    <row r="394" spans="1:28">
      <c r="A394" t="str">
        <f t="shared" si="441"/>
        <v>S</v>
      </c>
      <c r="B394">
        <f t="shared" si="442"/>
        <v>0</v>
      </c>
      <c r="C394">
        <f t="shared" ca="1" si="443"/>
        <v>5</v>
      </c>
      <c r="D394">
        <f t="shared" ca="1" si="444"/>
        <v>5</v>
      </c>
      <c r="E394">
        <f t="shared" ca="1" si="445"/>
        <v>0</v>
      </c>
      <c r="F394">
        <f t="shared" ca="1" si="446"/>
        <v>0</v>
      </c>
      <c r="G394">
        <f t="shared" ca="1" si="447"/>
        <v>4</v>
      </c>
      <c r="H394">
        <f ca="1">IF(OR($A394="S",$A394=0),0,MATCH(0,OFFSET($B394,1,$A394,ROW($A$1504)-ROW($A394)),0))</f>
        <v>0</v>
      </c>
      <c r="I394">
        <f ca="1">IF(OR($A394="S",$A394=0),0,MATCH(OFFSET($B394,0,$A394)+1,OFFSET($B394,1,$A394,ROW($A$1504)-ROW($A394)),0))</f>
        <v>0</v>
      </c>
      <c r="J394" s="132" t="s">
        <v>29</v>
      </c>
      <c r="K394" s="121" t="str">
        <f t="shared" ca="1" si="448"/>
        <v>5.5.4.</v>
      </c>
      <c r="L394" s="137" t="str">
        <f t="shared" ca="1" si="449"/>
        <v>SINE</v>
      </c>
      <c r="M394" s="122" t="s">
        <v>78</v>
      </c>
      <c r="N394" s="139" t="s">
        <v>153</v>
      </c>
      <c r="O394" s="137" t="str">
        <f t="shared" ca="1" si="450"/>
        <v>Estagiários</v>
      </c>
      <c r="P394" s="138" t="str">
        <f t="shared" ca="1" si="451"/>
        <v>Horas</v>
      </c>
      <c r="Q394" s="134">
        <v>10</v>
      </c>
      <c r="R394" s="124">
        <f t="shared" ca="1" si="452"/>
        <v>9.7899999999999991</v>
      </c>
      <c r="S394" s="136" t="s">
        <v>62</v>
      </c>
      <c r="T394" s="123">
        <f t="shared" ca="1" si="453"/>
        <v>12.24</v>
      </c>
      <c r="U394" s="126">
        <f t="shared" ca="1" si="454"/>
        <v>122.4</v>
      </c>
      <c r="V394" s="1"/>
      <c r="W394" s="39" t="str">
        <f ca="1">IF(OR($A394=0,$A394="S",$A394&gt;CFF!$A$9),"",MAX(W$11:OFFSET(W394,-1,0))+1)</f>
        <v/>
      </c>
      <c r="X394" s="4" t="str">
        <f t="shared" si="455"/>
        <v>Rec. Humanos-004</v>
      </c>
      <c r="Y394" s="39">
        <f t="shared" ca="1" si="456"/>
        <v>6</v>
      </c>
      <c r="Z394" s="1"/>
      <c r="AA394" s="133">
        <f>IF($J394=$G$2,ROUND(IF(ISNUMBER(S394),S394,IF(LEFT(S394,2)="DI",HLOOKUP(S394,DADOS!$T$29:$X$30,2,FALSE),0)),4),"")</f>
        <v>0.25</v>
      </c>
      <c r="AB394" s="2"/>
    </row>
    <row r="395" spans="1:28">
      <c r="A395" t="str">
        <f>CHOOSE(1+LOG(1+2*(J395=$C$2)+4*(J395=$D$2)+8*(J395=$E$2)+16*(J395=$F$2)+32*(J395=$G$2),2),0,1,2,3,4,"S")</f>
        <v>S</v>
      </c>
      <c r="B395">
        <f>IF(OR(A395="S",A395=0),0,IF(ISERROR(I395),H395,SMALL(H395:I395,1)))</f>
        <v>0</v>
      </c>
      <c r="C395">
        <f t="shared" ref="C395:C408" ca="1" si="457">IF($A395=1,OFFSET(C395,-1,0)+1,OFFSET(C395,-1,0))</f>
        <v>5</v>
      </c>
      <c r="D395">
        <f t="shared" ref="D395:D408" ca="1" si="458">IF($A395=1,0,IF($A395=2,OFFSET(D395,-1,0)+1,OFFSET(D395,-1,0)))</f>
        <v>5</v>
      </c>
      <c r="E395">
        <f t="shared" ref="E395:E408" ca="1" si="459">IF(AND($A395&lt;=2,$A395&lt;&gt;0),0,IF($A395=3,OFFSET(E395,-1,0)+1,OFFSET(E395,-1,0)))</f>
        <v>0</v>
      </c>
      <c r="F395">
        <f t="shared" ref="F395:F408" ca="1" si="460">IF(AND($A395&lt;=3,$A395&lt;&gt;0),0,IF($A395=4,OFFSET(F395,-1,0)+1,OFFSET(F395,-1,0)))</f>
        <v>0</v>
      </c>
      <c r="G395">
        <f t="shared" ref="G395:G408" ca="1" si="461">IF(AND($A395&lt;=4,$A395&lt;&gt;0),0,IF($A395="S",OFFSET(G395,-1,0)+1,OFFSET(G395,-1,0)))</f>
        <v>5</v>
      </c>
      <c r="H395">
        <f ca="1">IF(OR($A395="S",$A395=0),0,MATCH(0,OFFSET($B395,1,$A395,ROW($A$1504)-ROW($A395)),0))</f>
        <v>0</v>
      </c>
      <c r="I395">
        <f ca="1">IF(OR($A395="S",$A395=0),0,MATCH(OFFSET($B395,0,$A395)+1,OFFSET($B395,1,$A395,ROW($A$1504)-ROW($A395)),0))</f>
        <v>0</v>
      </c>
      <c r="J395" s="132" t="s">
        <v>29</v>
      </c>
      <c r="K395" s="121" t="str">
        <f ca="1">IF($A395=0,"-",CONCATENATE(C395&amp;".",IF(AND($A$5&gt;=2,$A395&gt;=2),D395&amp;".",""),IF(AND($A$5&gt;=3,$A395&gt;=3),E395&amp;".",""),IF(AND($A$5&gt;=4,$A395&gt;=4),F395&amp;".",""),IF($A395="S",G395&amp;".","")))</f>
        <v>5.5.5.</v>
      </c>
      <c r="L395" s="137" t="str">
        <f t="shared" ref="L395:L408" ca="1" si="462">IF(NOT(ISERROR($Y395)),IF($Y395&lt;&gt;FALSE,INDEX(Banco,$Y395,4),""),"")</f>
        <v>Cotação</v>
      </c>
      <c r="M395" s="122" t="s">
        <v>80</v>
      </c>
      <c r="N395" s="139" t="s">
        <v>149</v>
      </c>
      <c r="O395" s="137" t="str">
        <f t="shared" ca="1" si="450"/>
        <v>Fotocópias</v>
      </c>
      <c r="P395" s="138" t="str">
        <f t="shared" ref="P395:P408" ca="1" si="463">IF(NOT(ISERROR($Y395)),IF($Y395&lt;&gt;FALSE,INDEX(Banco,$Y395,6),""),"")</f>
        <v>Unidade</v>
      </c>
      <c r="Q395" s="134">
        <v>100</v>
      </c>
      <c r="R395" s="124">
        <f t="shared" ref="R395:R408" ca="1" si="464">IF(NOT(ISERROR($Y395)),IF($Y395&lt;&gt;FALSE,INDEX(Banco,$Y395,7),0),0)</f>
        <v>0.3</v>
      </c>
      <c r="S395" s="136" t="s">
        <v>62</v>
      </c>
      <c r="T395" s="123">
        <f t="shared" ref="T395:T408" ca="1" si="465">IF($J395=$G$2,ROUND(ROUND($R395,2)*IF($R$9="Preço Unitário (R$)",1,1+$AA395),2),0)</f>
        <v>0.38</v>
      </c>
      <c r="U395" s="126">
        <f t="shared" ref="U395:U408" ca="1" si="466">IF($A395="S",VTOTAL1,IF($A395=0,0,ROUND(SomaAgrup,2)))</f>
        <v>38</v>
      </c>
      <c r="V395" s="1"/>
      <c r="W395" s="39" t="str">
        <f ca="1">IF(OR($A395=0,$A395="S",$A395&gt;CFF!$A$9),"",MAX(W$11:OFFSET(W395,-1,0))+1)</f>
        <v/>
      </c>
      <c r="X395" s="4" t="str">
        <f t="shared" ref="X395:X408" si="467">IF(AND($J395=$G$2,$N395&lt;&gt;"",$M395&lt;&gt;""),CONCATENATE($M395,"-",$N395))</f>
        <v>Serv. Terc.-001</v>
      </c>
      <c r="Y395" s="39">
        <f ca="1">IF(X395&lt;&gt;FALSE,MATCH(X395,OFFSET(Banco,0,0,,1),0))</f>
        <v>81</v>
      </c>
      <c r="Z395" s="1"/>
      <c r="AA395" s="133">
        <f>IF($J395=$G$2,ROUND(IF(ISNUMBER(S395),S395,IF(LEFT(S395,2)="DI",HLOOKUP(S395,DADOS!$T$29:$X$30,2,FALSE),0)),4),"")</f>
        <v>0.25</v>
      </c>
      <c r="AB395" s="2"/>
    </row>
    <row r="396" spans="1:28">
      <c r="A396" t="str">
        <f>CHOOSE(1+LOG(1+2*(J396=$C$2)+4*(J396=$D$2)+8*(J396=$E$2)+16*(J396=$F$2)+32*(J396=$G$2),2),0,1,2,3,4,"S")</f>
        <v>S</v>
      </c>
      <c r="B396">
        <f>IF(OR(A396="S",A396=0),0,IF(ISERROR(I396),H396,SMALL(H396:I396,1)))</f>
        <v>0</v>
      </c>
      <c r="C396">
        <f ca="1">IF($A396=1,OFFSET(C396,-1,0)+1,OFFSET(C396,-1,0))</f>
        <v>5</v>
      </c>
      <c r="D396">
        <f ca="1">IF($A396=1,0,IF($A396=2,OFFSET(D396,-1,0)+1,OFFSET(D396,-1,0)))</f>
        <v>5</v>
      </c>
      <c r="E396">
        <f ca="1">IF(AND($A396&lt;=2,$A396&lt;&gt;0),0,IF($A396=3,OFFSET(E396,-1,0)+1,OFFSET(E396,-1,0)))</f>
        <v>0</v>
      </c>
      <c r="F396">
        <f ca="1">IF(AND($A396&lt;=3,$A396&lt;&gt;0),0,IF($A396=4,OFFSET(F396,-1,0)+1,OFFSET(F396,-1,0)))</f>
        <v>0</v>
      </c>
      <c r="G396">
        <f ca="1">IF(AND($A396&lt;=4,$A396&lt;&gt;0),0,IF($A396="S",OFFSET(G396,-1,0)+1,OFFSET(G396,-1,0)))</f>
        <v>6</v>
      </c>
      <c r="H396">
        <f ca="1">IF(OR($A396="S",$A396=0),0,MATCH(0,OFFSET($B396,1,$A396,ROW($A$1504)-ROW($A396)),0))</f>
        <v>0</v>
      </c>
      <c r="I396">
        <f ca="1">IF(OR($A396="S",$A396=0),0,MATCH(OFFSET($B396,0,$A396)+1,OFFSET($B396,1,$A396,ROW($A$1504)-ROW($A396)),0))</f>
        <v>0</v>
      </c>
      <c r="J396" s="132" t="s">
        <v>29</v>
      </c>
      <c r="K396" s="121" t="str">
        <f ca="1">IF($A396=0,"-",CONCATENATE(C396&amp;".",IF(AND($A$5&gt;=2,$A396&gt;=2),D396&amp;".",""),IF(AND($A$5&gt;=3,$A396&gt;=3),E396&amp;".",""),IF(AND($A$5&gt;=4,$A396&gt;=4),F396&amp;".",""),IF($A396="S",G396&amp;".","")))</f>
        <v>5.5.6.</v>
      </c>
      <c r="L396" s="137" t="str">
        <f ca="1">IF(NOT(ISERROR($Y396)),IF($Y396&lt;&gt;FALSE,INDEX(Banco,$Y396,4),""),"")</f>
        <v>Cotação</v>
      </c>
      <c r="M396" s="122" t="s">
        <v>80</v>
      </c>
      <c r="N396" s="139" t="s">
        <v>256</v>
      </c>
      <c r="O396" s="137" t="str">
        <f ca="1">IF(NOT(ISERROR($Y396)),IF($Y396&lt;&gt;FALSE,INDEX(Banco,$Y396,5),""),"")</f>
        <v>Instrutor/Monitor (Educação Fisíca)</v>
      </c>
      <c r="P396" s="138" t="str">
        <f ca="1">IF(NOT(ISERROR($Y396)),IF($Y396&lt;&gt;FALSE,INDEX(Banco,$Y396,6),""),"")</f>
        <v>Horas</v>
      </c>
      <c r="Q396" s="134">
        <v>3</v>
      </c>
      <c r="R396" s="124">
        <f ca="1">IF(NOT(ISERROR($Y396)),IF($Y396&lt;&gt;FALSE,INDEX(Banco,$Y396,7),0),0)</f>
        <v>100</v>
      </c>
      <c r="S396" s="136" t="s">
        <v>62</v>
      </c>
      <c r="T396" s="123">
        <f ca="1">IF($J396=$G$2,ROUND(ROUND($R396,2)*IF($R$9="Preço Unitário (R$)",1,1+$AA396),2),0)</f>
        <v>125</v>
      </c>
      <c r="U396" s="126">
        <f ca="1">IF($A396="S",VTOTAL1,IF($A396=0,0,ROUND(SomaAgrup,2)))</f>
        <v>375</v>
      </c>
      <c r="V396" s="1"/>
      <c r="W396" s="39" t="str">
        <f ca="1">IF(OR($A396=0,$A396="S",$A396&gt;CFF!$A$9),"",MAX(W$11:OFFSET(W396,-1,0))+1)</f>
        <v/>
      </c>
      <c r="X396" s="4" t="str">
        <f>IF(AND($J396=$G$2,$N396&lt;&gt;"",$M396&lt;&gt;""),CONCATENATE($M396,"-",$N396))</f>
        <v>Serv. Terc.-017</v>
      </c>
      <c r="Y396" s="39">
        <f ca="1">IF(X396&lt;&gt;FALSE,MATCH(X396,OFFSET(Banco,0,0,,1),0))</f>
        <v>97</v>
      </c>
      <c r="Z396" s="1"/>
      <c r="AA396" s="133">
        <f>IF($J396=$G$2,ROUND(IF(ISNUMBER(S396),S396,IF(LEFT(S396,2)="DI",HLOOKUP(S396,DADOS!$T$29:$X$30,2,FALSE),0)),4),"")</f>
        <v>0.25</v>
      </c>
      <c r="AB396" s="2"/>
    </row>
    <row r="397" spans="1:28">
      <c r="A397" t="str">
        <f t="shared" ref="A397:A408" si="468">CHOOSE(1+LOG(1+2*(J397=$C$2)+4*(J397=$D$2)+8*(J397=$E$2)+16*(J397=$F$2)+32*(J397=$G$2),2),0,1,2,3,4,"S")</f>
        <v>S</v>
      </c>
      <c r="B397">
        <f t="shared" ref="B397:B408" si="469">IF(OR(A397="S",A397=0),0,IF(ISERROR(I397),H397,SMALL(H397:I397,1)))</f>
        <v>0</v>
      </c>
      <c r="C397">
        <f t="shared" ca="1" si="457"/>
        <v>5</v>
      </c>
      <c r="D397">
        <f t="shared" ca="1" si="458"/>
        <v>5</v>
      </c>
      <c r="E397">
        <f t="shared" ca="1" si="459"/>
        <v>0</v>
      </c>
      <c r="F397">
        <f t="shared" ca="1" si="460"/>
        <v>0</v>
      </c>
      <c r="G397">
        <f t="shared" ca="1" si="461"/>
        <v>7</v>
      </c>
      <c r="H397">
        <f ca="1">IF(OR($A397="S",$A397=0),0,MATCH(0,OFFSET($B397,1,$A397,ROW($A$1504)-ROW($A397)),0))</f>
        <v>0</v>
      </c>
      <c r="I397">
        <f ca="1">IF(OR($A397="S",$A397=0),0,MATCH(OFFSET($B397,0,$A397)+1,OFFSET($B397,1,$A397,ROW($A$1504)-ROW($A397)),0))</f>
        <v>0</v>
      </c>
      <c r="J397" s="132" t="s">
        <v>29</v>
      </c>
      <c r="K397" s="121" t="str">
        <f t="shared" ref="K397:K408" ca="1" si="470">IF($A397=0,"-",CONCATENATE(C397&amp;".",IF(AND($A$5&gt;=2,$A397&gt;=2),D397&amp;".",""),IF(AND($A$5&gt;=3,$A397&gt;=3),E397&amp;".",""),IF(AND($A$5&gt;=4,$A397&gt;=4),F397&amp;".",""),IF($A397="S",G397&amp;".","")))</f>
        <v>5.5.7.</v>
      </c>
      <c r="L397" s="137" t="str">
        <f t="shared" ca="1" si="462"/>
        <v>Cotação</v>
      </c>
      <c r="M397" s="122" t="s">
        <v>80</v>
      </c>
      <c r="N397" s="139" t="s">
        <v>152</v>
      </c>
      <c r="O397" s="137" t="str">
        <f t="shared" ca="1" si="450"/>
        <v>Carro de som com gravação de vinheta</v>
      </c>
      <c r="P397" s="138" t="str">
        <f t="shared" ca="1" si="463"/>
        <v>Horas</v>
      </c>
      <c r="Q397" s="134">
        <v>3</v>
      </c>
      <c r="R397" s="124">
        <f t="shared" ca="1" si="464"/>
        <v>200</v>
      </c>
      <c r="S397" s="136" t="s">
        <v>62</v>
      </c>
      <c r="T397" s="123">
        <f t="shared" ca="1" si="465"/>
        <v>250</v>
      </c>
      <c r="U397" s="126">
        <f t="shared" ca="1" si="466"/>
        <v>750</v>
      </c>
      <c r="V397" s="1"/>
      <c r="W397" s="39" t="str">
        <f ca="1">IF(OR($A397=0,$A397="S",$A397&gt;CFF!$A$9),"",MAX(W$11:OFFSET(W397,-1,0))+1)</f>
        <v/>
      </c>
      <c r="X397" s="4" t="str">
        <f t="shared" si="467"/>
        <v>Serv. Terc.-002</v>
      </c>
      <c r="Y397" s="39">
        <f t="shared" ref="Y397:Y408" ca="1" si="471">IF(X397&lt;&gt;FALSE,MATCH(X397,OFFSET(Banco,0,0,,1),0))</f>
        <v>82</v>
      </c>
      <c r="Z397" s="1"/>
      <c r="AA397" s="133">
        <f>IF($J397=$G$2,ROUND(IF(ISNUMBER(S397),S397,IF(LEFT(S397,2)="DI",HLOOKUP(S397,DADOS!$T$29:$X$30,2,FALSE),0)),4),"")</f>
        <v>0.25</v>
      </c>
      <c r="AB397" s="2"/>
    </row>
    <row r="398" spans="1:28">
      <c r="A398" t="str">
        <f t="shared" si="468"/>
        <v>S</v>
      </c>
      <c r="B398">
        <f t="shared" si="469"/>
        <v>0</v>
      </c>
      <c r="C398">
        <f t="shared" ca="1" si="457"/>
        <v>5</v>
      </c>
      <c r="D398">
        <f t="shared" ca="1" si="458"/>
        <v>5</v>
      </c>
      <c r="E398">
        <f t="shared" ca="1" si="459"/>
        <v>0</v>
      </c>
      <c r="F398">
        <f t="shared" ca="1" si="460"/>
        <v>0</v>
      </c>
      <c r="G398">
        <f t="shared" ca="1" si="461"/>
        <v>8</v>
      </c>
      <c r="H398">
        <f ca="1">IF(OR($A398="S",$A398=0),0,MATCH(0,OFFSET($B398,1,$A398,ROW($A$1504)-ROW($A398)),0))</f>
        <v>0</v>
      </c>
      <c r="I398">
        <f ca="1">IF(OR($A398="S",$A398=0),0,MATCH(OFFSET($B398,0,$A398)+1,OFFSET($B398,1,$A398,ROW($A$1504)-ROW($A398)),0))</f>
        <v>0</v>
      </c>
      <c r="J398" s="132" t="s">
        <v>29</v>
      </c>
      <c r="K398" s="121" t="str">
        <f t="shared" ca="1" si="470"/>
        <v>5.5.8.</v>
      </c>
      <c r="L398" s="137" t="str">
        <f t="shared" ca="1" si="462"/>
        <v>Cotação</v>
      </c>
      <c r="M398" s="122" t="s">
        <v>80</v>
      </c>
      <c r="N398" s="139" t="s">
        <v>154</v>
      </c>
      <c r="O398" s="137" t="str">
        <f t="shared" ca="1" si="450"/>
        <v>Locação de caixa térmica</v>
      </c>
      <c r="P398" s="138" t="str">
        <f t="shared" ca="1" si="463"/>
        <v>Unidade</v>
      </c>
      <c r="Q398" s="134">
        <v>2</v>
      </c>
      <c r="R398" s="124">
        <f t="shared" ca="1" si="464"/>
        <v>40</v>
      </c>
      <c r="S398" s="136" t="s">
        <v>62</v>
      </c>
      <c r="T398" s="123">
        <f t="shared" ca="1" si="465"/>
        <v>50</v>
      </c>
      <c r="U398" s="126">
        <f t="shared" ca="1" si="466"/>
        <v>100</v>
      </c>
      <c r="V398" s="1"/>
      <c r="W398" s="39" t="str">
        <f ca="1">IF(OR($A398=0,$A398="S",$A398&gt;CFF!$A$9),"",MAX(W$11:OFFSET(W398,-1,0))+1)</f>
        <v/>
      </c>
      <c r="X398" s="4" t="str">
        <f t="shared" si="467"/>
        <v>Serv. Terc.-005</v>
      </c>
      <c r="Y398" s="39">
        <f t="shared" ca="1" si="471"/>
        <v>85</v>
      </c>
      <c r="Z398" s="1"/>
      <c r="AA398" s="133">
        <f>IF($J398=$G$2,ROUND(IF(ISNUMBER(S398),S398,IF(LEFT(S398,2)="DI",HLOOKUP(S398,DADOS!$T$29:$X$30,2,FALSE),0)),4),"")</f>
        <v>0.25</v>
      </c>
      <c r="AB398" s="2"/>
    </row>
    <row r="399" spans="1:28">
      <c r="A399" t="str">
        <f t="shared" si="468"/>
        <v>S</v>
      </c>
      <c r="B399">
        <f t="shared" si="469"/>
        <v>0</v>
      </c>
      <c r="C399">
        <f t="shared" ca="1" si="457"/>
        <v>5</v>
      </c>
      <c r="D399">
        <f t="shared" ca="1" si="458"/>
        <v>5</v>
      </c>
      <c r="E399">
        <f t="shared" ca="1" si="459"/>
        <v>0</v>
      </c>
      <c r="F399">
        <f t="shared" ca="1" si="460"/>
        <v>0</v>
      </c>
      <c r="G399">
        <f t="shared" ca="1" si="461"/>
        <v>9</v>
      </c>
      <c r="H399">
        <f ca="1">IF(OR($A399="S",$A399=0),0,MATCH(0,OFFSET($B399,1,$A399,ROW($A$1504)-ROW($A399)),0))</f>
        <v>0</v>
      </c>
      <c r="I399">
        <f ca="1">IF(OR($A399="S",$A399=0),0,MATCH(OFFSET($B399,0,$A399)+1,OFFSET($B399,1,$A399,ROW($A$1504)-ROW($A399)),0))</f>
        <v>0</v>
      </c>
      <c r="J399" s="132" t="s">
        <v>29</v>
      </c>
      <c r="K399" s="121" t="str">
        <f t="shared" ca="1" si="470"/>
        <v>5.5.9.</v>
      </c>
      <c r="L399" s="137" t="str">
        <f t="shared" ca="1" si="462"/>
        <v>Cotação</v>
      </c>
      <c r="M399" s="122" t="s">
        <v>80</v>
      </c>
      <c r="N399" s="139" t="s">
        <v>157</v>
      </c>
      <c r="O399" s="137" t="str">
        <f t="shared" ca="1" si="450"/>
        <v>Locação de pula-pula com monitor</v>
      </c>
      <c r="P399" s="138" t="str">
        <f t="shared" ca="1" si="463"/>
        <v>Unidade</v>
      </c>
      <c r="Q399" s="134">
        <v>2</v>
      </c>
      <c r="R399" s="124">
        <f t="shared" ca="1" si="464"/>
        <v>220</v>
      </c>
      <c r="S399" s="136" t="s">
        <v>62</v>
      </c>
      <c r="T399" s="123">
        <f t="shared" ca="1" si="465"/>
        <v>275</v>
      </c>
      <c r="U399" s="126">
        <f t="shared" ca="1" si="466"/>
        <v>550</v>
      </c>
      <c r="V399" s="1"/>
      <c r="W399" s="39" t="str">
        <f ca="1">IF(OR($A399=0,$A399="S",$A399&gt;CFF!$A$9),"",MAX(W$11:OFFSET(W399,-1,0))+1)</f>
        <v/>
      </c>
      <c r="X399" s="4" t="str">
        <f t="shared" si="467"/>
        <v>Serv. Terc.-008</v>
      </c>
      <c r="Y399" s="39">
        <f t="shared" ca="1" si="471"/>
        <v>88</v>
      </c>
      <c r="Z399" s="1"/>
      <c r="AA399" s="133">
        <f>IF($J399=$G$2,ROUND(IF(ISNUMBER(S399),S399,IF(LEFT(S399,2)="DI",HLOOKUP(S399,DADOS!$T$29:$X$30,2,FALSE),0)),4),"")</f>
        <v>0.25</v>
      </c>
      <c r="AB399" s="2"/>
    </row>
    <row r="400" spans="1:28">
      <c r="A400" t="str">
        <f t="shared" si="468"/>
        <v>S</v>
      </c>
      <c r="B400">
        <f t="shared" si="469"/>
        <v>0</v>
      </c>
      <c r="C400">
        <f t="shared" ca="1" si="457"/>
        <v>5</v>
      </c>
      <c r="D400">
        <f t="shared" ca="1" si="458"/>
        <v>5</v>
      </c>
      <c r="E400">
        <f t="shared" ca="1" si="459"/>
        <v>0</v>
      </c>
      <c r="F400">
        <f t="shared" ca="1" si="460"/>
        <v>0</v>
      </c>
      <c r="G400">
        <f t="shared" ca="1" si="461"/>
        <v>10</v>
      </c>
      <c r="H400">
        <f ca="1">IF(OR($A400="S",$A400=0),0,MATCH(0,OFFSET($B400,1,$A400,ROW($A$1504)-ROW($A400)),0))</f>
        <v>0</v>
      </c>
      <c r="I400">
        <f ca="1">IF(OR($A400="S",$A400=0),0,MATCH(OFFSET($B400,0,$A400)+1,OFFSET($B400,1,$A400,ROW($A$1504)-ROW($A400)),0))</f>
        <v>0</v>
      </c>
      <c r="J400" s="132" t="s">
        <v>29</v>
      </c>
      <c r="K400" s="121" t="str">
        <f t="shared" ca="1" si="470"/>
        <v>5.5.10.</v>
      </c>
      <c r="L400" s="137" t="str">
        <f t="shared" ca="1" si="462"/>
        <v xml:space="preserve">Cotação </v>
      </c>
      <c r="M400" s="122" t="s">
        <v>80</v>
      </c>
      <c r="N400" s="139" t="s">
        <v>160</v>
      </c>
      <c r="O400" s="137" t="str">
        <f t="shared" ca="1" si="450"/>
        <v>Barra de gelo</v>
      </c>
      <c r="P400" s="138" t="str">
        <f t="shared" ca="1" si="463"/>
        <v>Unidade</v>
      </c>
      <c r="Q400" s="134">
        <v>4</v>
      </c>
      <c r="R400" s="124">
        <f t="shared" ca="1" si="464"/>
        <v>12</v>
      </c>
      <c r="S400" s="136" t="s">
        <v>62</v>
      </c>
      <c r="T400" s="123">
        <f t="shared" ca="1" si="465"/>
        <v>15</v>
      </c>
      <c r="U400" s="126">
        <f t="shared" ca="1" si="466"/>
        <v>60</v>
      </c>
      <c r="V400" s="1"/>
      <c r="W400" s="39" t="str">
        <f ca="1">IF(OR($A400=0,$A400="S",$A400&gt;CFF!$A$9),"",MAX(W$11:OFFSET(W400,-1,0))+1)</f>
        <v/>
      </c>
      <c r="X400" s="4" t="str">
        <f t="shared" si="467"/>
        <v>Serv. Terc.-011</v>
      </c>
      <c r="Y400" s="39">
        <f t="shared" ca="1" si="471"/>
        <v>91</v>
      </c>
      <c r="Z400" s="1"/>
      <c r="AA400" s="133">
        <f>IF($J400=$G$2,ROUND(IF(ISNUMBER(S400),S400,IF(LEFT(S400,2)="DI",HLOOKUP(S400,DADOS!$T$29:$X$30,2,FALSE),0)),4),"")</f>
        <v>0.25</v>
      </c>
      <c r="AB400" s="2"/>
    </row>
    <row r="401" spans="1:28">
      <c r="A401" t="str">
        <f t="shared" si="468"/>
        <v>S</v>
      </c>
      <c r="B401">
        <f t="shared" si="469"/>
        <v>0</v>
      </c>
      <c r="C401">
        <f t="shared" ca="1" si="457"/>
        <v>5</v>
      </c>
      <c r="D401">
        <f t="shared" ca="1" si="458"/>
        <v>5</v>
      </c>
      <c r="E401">
        <f t="shared" ca="1" si="459"/>
        <v>0</v>
      </c>
      <c r="F401">
        <f t="shared" ca="1" si="460"/>
        <v>0</v>
      </c>
      <c r="G401">
        <f t="shared" ca="1" si="461"/>
        <v>11</v>
      </c>
      <c r="H401">
        <f ca="1">IF(OR($A401="S",$A401=0),0,MATCH(0,OFFSET($B401,1,$A401,ROW($A$1504)-ROW($A401)),0))</f>
        <v>0</v>
      </c>
      <c r="I401">
        <f ca="1">IF(OR($A401="S",$A401=0),0,MATCH(OFFSET($B401,0,$A401)+1,OFFSET($B401,1,$A401,ROW($A$1504)-ROW($A401)),0))</f>
        <v>0</v>
      </c>
      <c r="J401" s="132" t="s">
        <v>29</v>
      </c>
      <c r="K401" s="121" t="str">
        <f t="shared" ca="1" si="470"/>
        <v>5.5.11.</v>
      </c>
      <c r="L401" s="137" t="str">
        <f t="shared" ca="1" si="462"/>
        <v>Cotação</v>
      </c>
      <c r="M401" s="122" t="s">
        <v>80</v>
      </c>
      <c r="N401" s="139" t="s">
        <v>150</v>
      </c>
      <c r="O401" s="137" t="str">
        <f t="shared" ca="1" si="450"/>
        <v>Sucos</v>
      </c>
      <c r="P401" s="138" t="str">
        <f t="shared" ca="1" si="463"/>
        <v>Unidade</v>
      </c>
      <c r="Q401" s="134">
        <v>12</v>
      </c>
      <c r="R401" s="124">
        <f t="shared" ca="1" si="464"/>
        <v>6.4</v>
      </c>
      <c r="S401" s="136" t="s">
        <v>62</v>
      </c>
      <c r="T401" s="123">
        <f t="shared" ca="1" si="465"/>
        <v>8</v>
      </c>
      <c r="U401" s="126">
        <f t="shared" ca="1" si="466"/>
        <v>96</v>
      </c>
      <c r="V401" s="1"/>
      <c r="W401" s="39" t="str">
        <f ca="1">IF(OR($A401=0,$A401="S",$A401&gt;CFF!$A$9),"",MAX(W$11:OFFSET(W401,-1,0))+1)</f>
        <v/>
      </c>
      <c r="X401" s="4" t="str">
        <f t="shared" si="467"/>
        <v>Serv. Terc.-013</v>
      </c>
      <c r="Y401" s="39">
        <f t="shared" ca="1" si="471"/>
        <v>93</v>
      </c>
      <c r="Z401" s="1"/>
      <c r="AA401" s="133">
        <f>IF($J401=$G$2,ROUND(IF(ISNUMBER(S401),S401,IF(LEFT(S401,2)="DI",HLOOKUP(S401,DADOS!$T$29:$X$30,2,FALSE),0)),4),"")</f>
        <v>0.25</v>
      </c>
      <c r="AB401" s="2"/>
    </row>
    <row r="402" spans="1:28">
      <c r="A402" t="str">
        <f>CHOOSE(1+LOG(1+2*(J402=$C$2)+4*(J402=$D$2)+8*(J402=$E$2)+16*(J402=$F$2)+32*(J402=$G$2),2),0,1,2,3,4,"S")</f>
        <v>S</v>
      </c>
      <c r="B402">
        <f>IF(OR(A402="S",A402=0),0,IF(ISERROR(I402),H402,SMALL(H402:I402,1)))</f>
        <v>0</v>
      </c>
      <c r="C402">
        <f ca="1">IF($A402=1,OFFSET(C402,-1,0)+1,OFFSET(C402,-1,0))</f>
        <v>5</v>
      </c>
      <c r="D402">
        <f ca="1">IF($A402=1,0,IF($A402=2,OFFSET(D402,-1,0)+1,OFFSET(D402,-1,0)))</f>
        <v>5</v>
      </c>
      <c r="E402">
        <f ca="1">IF(AND($A402&lt;=2,$A402&lt;&gt;0),0,IF($A402=3,OFFSET(E402,-1,0)+1,OFFSET(E402,-1,0)))</f>
        <v>0</v>
      </c>
      <c r="F402">
        <f ca="1">IF(AND($A402&lt;=3,$A402&lt;&gt;0),0,IF($A402=4,OFFSET(F402,-1,0)+1,OFFSET(F402,-1,0)))</f>
        <v>0</v>
      </c>
      <c r="G402">
        <f ca="1">IF(AND($A402&lt;=4,$A402&lt;&gt;0),0,IF($A402="S",OFFSET(G402,-1,0)+1,OFFSET(G402,-1,0)))</f>
        <v>12</v>
      </c>
      <c r="H402">
        <f ca="1">IF(OR($A402="S",$A402=0),0,MATCH(0,OFFSET($B402,1,$A402,ROW($A$1504)-ROW($A402)),0))</f>
        <v>0</v>
      </c>
      <c r="I402">
        <f ca="1">IF(OR($A402="S",$A402=0),0,MATCH(OFFSET($B402,0,$A402)+1,OFFSET($B402,1,$A402,ROW($A$1504)-ROW($A402)),0))</f>
        <v>0</v>
      </c>
      <c r="J402" s="132" t="s">
        <v>29</v>
      </c>
      <c r="K402" s="121" t="str">
        <f ca="1">IF($A402=0,"-",CONCATENATE(C402&amp;".",IF(AND($A$5&gt;=2,$A402&gt;=2),D402&amp;".",""),IF(AND($A$5&gt;=3,$A402&gt;=3),E402&amp;".",""),IF(AND($A$5&gt;=4,$A402&gt;=4),F402&amp;".",""),IF($A402="S",G402&amp;".","")))</f>
        <v>5.5.12.</v>
      </c>
      <c r="L402" s="137" t="str">
        <f ca="1">IF(NOT(ISERROR($Y402)),IF($Y402&lt;&gt;FALSE,INDEX(Banco,$Y402,4),""),"")</f>
        <v>Cotação</v>
      </c>
      <c r="M402" s="122" t="s">
        <v>80</v>
      </c>
      <c r="N402" s="139" t="s">
        <v>171</v>
      </c>
      <c r="O402" s="137" t="str">
        <f ca="1">IF(NOT(ISERROR($Y402)),IF($Y402&lt;&gt;FALSE,INDEX(Banco,$Y402,5),""),"")</f>
        <v xml:space="preserve">Refrigerantes (02 litros) </v>
      </c>
      <c r="P402" s="138" t="str">
        <f ca="1">IF(NOT(ISERROR($Y402)),IF($Y402&lt;&gt;FALSE,INDEX(Banco,$Y402,6),""),"")</f>
        <v>Unidade</v>
      </c>
      <c r="Q402" s="134">
        <v>20</v>
      </c>
      <c r="R402" s="124">
        <f ca="1">IF(NOT(ISERROR($Y402)),IF($Y402&lt;&gt;FALSE,INDEX(Banco,$Y402,7),0),0)</f>
        <v>6</v>
      </c>
      <c r="S402" s="136" t="s">
        <v>62</v>
      </c>
      <c r="T402" s="123">
        <f ca="1">IF($J402=$G$2,ROUND(ROUND($R402,2)*IF($R$9="Preço Unitário (R$)",1,1+$AA402),2),0)</f>
        <v>7.5</v>
      </c>
      <c r="U402" s="126">
        <f ca="1">IF($A402="S",VTOTAL1,IF($A402=0,0,ROUND(SomaAgrup,2)))</f>
        <v>150</v>
      </c>
      <c r="V402" s="1"/>
      <c r="W402" s="39" t="str">
        <f ca="1">IF(OR($A402=0,$A402="S",$A402&gt;CFF!$A$9),"",MAX(W$11:OFFSET(W402,-1,0))+1)</f>
        <v/>
      </c>
      <c r="X402" s="4" t="str">
        <f>IF(AND($J402=$G$2,$N402&lt;&gt;"",$M402&lt;&gt;""),CONCATENATE($M402,"-",$N402))</f>
        <v>Serv. Terc.-027</v>
      </c>
      <c r="Y402" s="39">
        <f ca="1">IF(X402&lt;&gt;FALSE,MATCH(X402,OFFSET(Banco,0,0,,1),0))</f>
        <v>107</v>
      </c>
      <c r="Z402" s="1"/>
      <c r="AA402" s="133">
        <f>IF($J402=$G$2,ROUND(IF(ISNUMBER(S402),S402,IF(LEFT(S402,2)="DI",HLOOKUP(S402,DADOS!$T$29:$X$30,2,FALSE),0)),4),"")</f>
        <v>0.25</v>
      </c>
      <c r="AB402" s="2"/>
    </row>
    <row r="403" spans="1:28">
      <c r="A403" t="str">
        <f t="shared" si="468"/>
        <v>S</v>
      </c>
      <c r="B403">
        <f t="shared" si="469"/>
        <v>0</v>
      </c>
      <c r="C403">
        <f ca="1">IF($A403=1,OFFSET(C403,-1,0)+1,OFFSET(C403,-1,0))</f>
        <v>5</v>
      </c>
      <c r="D403">
        <f ca="1">IF($A403=1,0,IF($A403=2,OFFSET(D403,-1,0)+1,OFFSET(D403,-1,0)))</f>
        <v>5</v>
      </c>
      <c r="E403">
        <f ca="1">IF(AND($A403&lt;=2,$A403&lt;&gt;0),0,IF($A403=3,OFFSET(E403,-1,0)+1,OFFSET(E403,-1,0)))</f>
        <v>0</v>
      </c>
      <c r="F403">
        <f ca="1">IF(AND($A403&lt;=3,$A403&lt;&gt;0),0,IF($A403=4,OFFSET(F403,-1,0)+1,OFFSET(F403,-1,0)))</f>
        <v>0</v>
      </c>
      <c r="G403">
        <f ca="1">IF(AND($A403&lt;=4,$A403&lt;&gt;0),0,IF($A403="S",OFFSET(G403,-1,0)+1,OFFSET(G403,-1,0)))</f>
        <v>13</v>
      </c>
      <c r="H403">
        <f ca="1">IF(OR($A403="S",$A403=0),0,MATCH(0,OFFSET($B403,1,$A403,ROW($A$1504)-ROW($A403)),0))</f>
        <v>0</v>
      </c>
      <c r="I403">
        <f ca="1">IF(OR($A403="S",$A403=0),0,MATCH(OFFSET($B403,0,$A403)+1,OFFSET($B403,1,$A403,ROW($A$1504)-ROW($A403)),0))</f>
        <v>0</v>
      </c>
      <c r="J403" s="132" t="s">
        <v>29</v>
      </c>
      <c r="K403" s="121" t="str">
        <f t="shared" ca="1" si="470"/>
        <v>5.5.13.</v>
      </c>
      <c r="L403" s="137" t="str">
        <f ca="1">IF(NOT(ISERROR($Y403)),IF($Y403&lt;&gt;FALSE,INDEX(Banco,$Y403,4),""),"")</f>
        <v xml:space="preserve">Cotação </v>
      </c>
      <c r="M403" s="122" t="s">
        <v>80</v>
      </c>
      <c r="N403" s="139" t="s">
        <v>159</v>
      </c>
      <c r="O403" s="137" t="str">
        <f ca="1">IF(NOT(ISERROR($Y403)),IF($Y403&lt;&gt;FALSE,INDEX(Banco,$Y403,5),""),"")</f>
        <v>Brindes ( descrição nos orçamentos e PTS)</v>
      </c>
      <c r="P403" s="138" t="str">
        <f ca="1">IF(NOT(ISERROR($Y403)),IF($Y403&lt;&gt;FALSE,INDEX(Banco,$Y403,6),""),"")</f>
        <v>Unidade</v>
      </c>
      <c r="Q403" s="134">
        <v>4</v>
      </c>
      <c r="R403" s="124">
        <f ca="1">IF(NOT(ISERROR($Y403)),IF($Y403&lt;&gt;FALSE,INDEX(Banco,$Y403,7),0),0)</f>
        <v>120</v>
      </c>
      <c r="S403" s="136" t="s">
        <v>62</v>
      </c>
      <c r="T403" s="123">
        <f ca="1">IF($J403=$G$2,ROUND(ROUND($R403,2)*IF($R$9="Preço Unitário (R$)",1,1+$AA403),2),0)</f>
        <v>150</v>
      </c>
      <c r="U403" s="126">
        <f ca="1">IF($A403="S",VTOTAL1,IF($A403=0,0,ROUND(SomaAgrup,2)))</f>
        <v>600</v>
      </c>
      <c r="V403" s="1"/>
      <c r="W403" s="39" t="str">
        <f ca="1">IF(OR($A403=0,$A403="S",$A403&gt;CFF!$A$9),"",MAX(W$11:OFFSET(W403,-1,0))+1)</f>
        <v/>
      </c>
      <c r="X403" s="4" t="str">
        <f>IF(AND($J403=$G$2,$N403&lt;&gt;"",$M403&lt;&gt;""),CONCATENATE($M403,"-",$N403))</f>
        <v>Serv. Terc.-010</v>
      </c>
      <c r="Y403" s="39">
        <f t="shared" ca="1" si="471"/>
        <v>90</v>
      </c>
      <c r="Z403" s="1"/>
      <c r="AA403" s="133">
        <f>IF($J403=$G$2,ROUND(IF(ISNUMBER(S403),S403,IF(LEFT(S403,2)="DI",HLOOKUP(S403,DADOS!$T$29:$X$30,2,FALSE),0)),4),"")</f>
        <v>0.25</v>
      </c>
      <c r="AB403" s="2"/>
    </row>
    <row r="404" spans="1:28">
      <c r="A404" t="str">
        <f t="shared" si="468"/>
        <v>S</v>
      </c>
      <c r="B404">
        <f t="shared" si="469"/>
        <v>0</v>
      </c>
      <c r="C404">
        <f t="shared" ca="1" si="457"/>
        <v>5</v>
      </c>
      <c r="D404">
        <f t="shared" ca="1" si="458"/>
        <v>5</v>
      </c>
      <c r="E404">
        <f t="shared" ca="1" si="459"/>
        <v>0</v>
      </c>
      <c r="F404">
        <f t="shared" ca="1" si="460"/>
        <v>0</v>
      </c>
      <c r="G404">
        <f t="shared" ca="1" si="461"/>
        <v>14</v>
      </c>
      <c r="H404">
        <f ca="1">IF(OR($A404="S",$A404=0),0,MATCH(0,OFFSET($B404,1,$A404,ROW($A$1504)-ROW($A404)),0))</f>
        <v>0</v>
      </c>
      <c r="I404">
        <f ca="1">IF(OR($A404="S",$A404=0),0,MATCH(OFFSET($B404,0,$A404)+1,OFFSET($B404,1,$A404,ROW($A$1504)-ROW($A404)),0))</f>
        <v>0</v>
      </c>
      <c r="J404" s="132" t="s">
        <v>29</v>
      </c>
      <c r="K404" s="121" t="str">
        <f t="shared" ca="1" si="470"/>
        <v>5.5.14.</v>
      </c>
      <c r="L404" s="137" t="str">
        <f t="shared" ca="1" si="462"/>
        <v>Cotação</v>
      </c>
      <c r="M404" s="122" t="s">
        <v>80</v>
      </c>
      <c r="N404" s="139" t="s">
        <v>162</v>
      </c>
      <c r="O404" s="137" t="str">
        <f t="shared" ca="1" si="450"/>
        <v>Coffee break (salgados)</v>
      </c>
      <c r="P404" s="138" t="str">
        <f t="shared" ca="1" si="463"/>
        <v>Centro</v>
      </c>
      <c r="Q404" s="134">
        <v>15</v>
      </c>
      <c r="R404" s="124">
        <f t="shared" ca="1" si="464"/>
        <v>65</v>
      </c>
      <c r="S404" s="136" t="s">
        <v>62</v>
      </c>
      <c r="T404" s="123">
        <f t="shared" ca="1" si="465"/>
        <v>81.25</v>
      </c>
      <c r="U404" s="126">
        <f t="shared" ca="1" si="466"/>
        <v>1218.75</v>
      </c>
      <c r="V404" s="1"/>
      <c r="W404" s="39" t="str">
        <f ca="1">IF(OR($A404=0,$A404="S",$A404&gt;CFF!$A$9),"",MAX(W$11:OFFSET(W404,-1,0))+1)</f>
        <v/>
      </c>
      <c r="X404" s="4" t="str">
        <f t="shared" si="467"/>
        <v>Serv. Terc.-015</v>
      </c>
      <c r="Y404" s="39">
        <f t="shared" ca="1" si="471"/>
        <v>95</v>
      </c>
      <c r="Z404" s="1"/>
      <c r="AA404" s="133">
        <f>IF($J404=$G$2,ROUND(IF(ISNUMBER(S404),S404,IF(LEFT(S404,2)="DI",HLOOKUP(S404,DADOS!$T$29:$X$30,2,FALSE),0)),4),"")</f>
        <v>0.25</v>
      </c>
      <c r="AB404" s="2"/>
    </row>
    <row r="405" spans="1:28">
      <c r="A405" t="str">
        <f>CHOOSE(1+LOG(1+2*(J405=$C$2)+4*(J405=$D$2)+8*(J405=$E$2)+16*(J405=$F$2)+32*(J405=$G$2),2),0,1,2,3,4,"S")</f>
        <v>S</v>
      </c>
      <c r="B405">
        <f>IF(OR(A405="S",A405=0),0,IF(ISERROR(I405),H405,SMALL(H405:I405,1)))</f>
        <v>0</v>
      </c>
      <c r="C405">
        <f ca="1">IF($A405=1,OFFSET(C405,-1,0)+1,OFFSET(C405,-1,0))</f>
        <v>5</v>
      </c>
      <c r="D405">
        <f ca="1">IF($A405=1,0,IF($A405=2,OFFSET(D405,-1,0)+1,OFFSET(D405,-1,0)))</f>
        <v>5</v>
      </c>
      <c r="E405">
        <f ca="1">IF(AND($A405&lt;=2,$A405&lt;&gt;0),0,IF($A405=3,OFFSET(E405,-1,0)+1,OFFSET(E405,-1,0)))</f>
        <v>0</v>
      </c>
      <c r="F405">
        <f ca="1">IF(AND($A405&lt;=3,$A405&lt;&gt;0),0,IF($A405=4,OFFSET(F405,-1,0)+1,OFFSET(F405,-1,0)))</f>
        <v>0</v>
      </c>
      <c r="G405">
        <f ca="1">IF(AND($A405&lt;=4,$A405&lt;&gt;0),0,IF($A405="S",OFFSET(G405,-1,0)+1,OFFSET(G405,-1,0)))</f>
        <v>15</v>
      </c>
      <c r="H405">
        <f ca="1">IF(OR($A405="S",$A405=0),0,MATCH(0,OFFSET($B405,1,$A405,ROW($A$1504)-ROW($A405)),0))</f>
        <v>0</v>
      </c>
      <c r="I405">
        <f ca="1">IF(OR($A405="S",$A405=0),0,MATCH(OFFSET($B405,0,$A405)+1,OFFSET($B405,1,$A405,ROW($A$1504)-ROW($A405)),0))</f>
        <v>0</v>
      </c>
      <c r="J405" s="132" t="s">
        <v>29</v>
      </c>
      <c r="K405" s="121" t="str">
        <f ca="1">IF($A405=0,"-",CONCATENATE(C405&amp;".",IF(AND($A$5&gt;=2,$A405&gt;=2),D405&amp;".",""),IF(AND($A$5&gt;=3,$A405&gt;=3),E405&amp;".",""),IF(AND($A$5&gt;=4,$A405&gt;=4),F405&amp;".",""),IF($A405="S",G405&amp;".","")))</f>
        <v>5.5.15.</v>
      </c>
      <c r="L405" s="137" t="str">
        <f ca="1">IF(NOT(ISERROR($Y405)),IF($Y405&lt;&gt;FALSE,INDEX(Banco,$Y405,4),""),"")</f>
        <v>OABMT</v>
      </c>
      <c r="M405" s="122" t="s">
        <v>80</v>
      </c>
      <c r="N405" s="139" t="s">
        <v>271</v>
      </c>
      <c r="O405" s="137" t="str">
        <f ca="1">IF(NOT(ISERROR($Y405)),IF($Y405&lt;&gt;FALSE,INDEX(Banco,$Y405,5),""),"")</f>
        <v>Advogado</v>
      </c>
      <c r="P405" s="138" t="str">
        <f ca="1">IF(NOT(ISERROR($Y405)),IF($Y405&lt;&gt;FALSE,INDEX(Banco,$Y405,6),""),"")</f>
        <v>Horas</v>
      </c>
      <c r="Q405" s="134">
        <v>2</v>
      </c>
      <c r="R405" s="124">
        <f ca="1">IF(NOT(ISERROR($Y405)),IF($Y405&lt;&gt;FALSE,INDEX(Banco,$Y405,7),0),0)</f>
        <v>896.51</v>
      </c>
      <c r="S405" s="136" t="s">
        <v>62</v>
      </c>
      <c r="T405" s="123">
        <f ca="1">IF($J405=$G$2,ROUND(ROUND($R405,2)*IF($R$9="Preço Unitário (R$)",1,1+$AA405),2),0)</f>
        <v>1120.6400000000001</v>
      </c>
      <c r="U405" s="126">
        <f ca="1">IF($A405="S",VTOTAL1,IF($A405=0,0,ROUND(SomaAgrup,2)))</f>
        <v>2241.2800000000002</v>
      </c>
      <c r="V405" s="1"/>
      <c r="W405" s="39" t="str">
        <f ca="1">IF(OR($A405=0,$A405="S",$A405&gt;CFF!$A$9),"",MAX(W$11:OFFSET(W405,-1,0))+1)</f>
        <v/>
      </c>
      <c r="X405" s="4" t="str">
        <f>IF(AND($J405=$G$2,$N405&lt;&gt;"",$M405&lt;&gt;""),CONCATENATE($M405,"-",$N405))</f>
        <v>Serv. Terc.-087</v>
      </c>
      <c r="Y405" s="39">
        <f ca="1">IF(X405&lt;&gt;FALSE,MATCH(X405,OFFSET(Banco,0,0,,1),0))</f>
        <v>167</v>
      </c>
      <c r="Z405" s="1"/>
      <c r="AA405" s="133">
        <f>IF($J405=$G$2,ROUND(IF(ISNUMBER(S405),S405,IF(LEFT(S405,2)="DI",HLOOKUP(S405,DADOS!$T$29:$X$30,2,FALSE),0)),4),"")</f>
        <v>0.25</v>
      </c>
      <c r="AB405" s="2"/>
    </row>
    <row r="406" spans="1:28">
      <c r="A406" t="str">
        <f t="shared" si="468"/>
        <v>S</v>
      </c>
      <c r="B406">
        <f t="shared" si="469"/>
        <v>0</v>
      </c>
      <c r="C406">
        <f t="shared" ca="1" si="457"/>
        <v>5</v>
      </c>
      <c r="D406">
        <f t="shared" ca="1" si="458"/>
        <v>5</v>
      </c>
      <c r="E406">
        <f t="shared" ca="1" si="459"/>
        <v>0</v>
      </c>
      <c r="F406">
        <f t="shared" ca="1" si="460"/>
        <v>0</v>
      </c>
      <c r="G406">
        <f t="shared" ca="1" si="461"/>
        <v>16</v>
      </c>
      <c r="H406">
        <f ca="1">IF(OR($A406="S",$A406=0),0,MATCH(0,OFFSET($B406,1,$A406,ROW($A$1504)-ROW($A406)),0))</f>
        <v>0</v>
      </c>
      <c r="I406">
        <f ca="1">IF(OR($A406="S",$A406=0),0,MATCH(OFFSET($B406,0,$A406)+1,OFFSET($B406,1,$A406,ROW($A$1504)-ROW($A406)),0))</f>
        <v>0</v>
      </c>
      <c r="J406" s="132" t="s">
        <v>29</v>
      </c>
      <c r="K406" s="121" t="str">
        <f t="shared" ca="1" si="470"/>
        <v>5.5.16.</v>
      </c>
      <c r="L406" s="137" t="str">
        <f t="shared" ca="1" si="462"/>
        <v>Cotação</v>
      </c>
      <c r="M406" s="122" t="s">
        <v>79</v>
      </c>
      <c r="N406" s="139" t="s">
        <v>163</v>
      </c>
      <c r="O406" s="137" t="str">
        <f t="shared" ca="1" si="450"/>
        <v>Guloseimas (balas e pirulito)</v>
      </c>
      <c r="P406" s="138" t="str">
        <f t="shared" ca="1" si="463"/>
        <v>Pacote</v>
      </c>
      <c r="Q406" s="134">
        <v>4</v>
      </c>
      <c r="R406" s="124">
        <f t="shared" ca="1" si="464"/>
        <v>12</v>
      </c>
      <c r="S406" s="136" t="s">
        <v>62</v>
      </c>
      <c r="T406" s="123">
        <f t="shared" ca="1" si="465"/>
        <v>15</v>
      </c>
      <c r="U406" s="126">
        <f t="shared" ca="1" si="466"/>
        <v>60</v>
      </c>
      <c r="V406" s="1"/>
      <c r="W406" s="39" t="str">
        <f ca="1">IF(OR($A406=0,$A406="S",$A406&gt;CFF!$A$9),"",MAX(W$11:OFFSET(W406,-1,0))+1)</f>
        <v/>
      </c>
      <c r="X406" s="4" t="str">
        <f t="shared" si="467"/>
        <v>Rec. Materiais-020</v>
      </c>
      <c r="Y406" s="39">
        <f t="shared" ca="1" si="471"/>
        <v>29</v>
      </c>
      <c r="Z406" s="1"/>
      <c r="AA406" s="133">
        <f>IF($J406=$G$2,ROUND(IF(ISNUMBER(S406),S406,IF(LEFT(S406,2)="DI",HLOOKUP(S406,DADOS!$T$29:$X$30,2,FALSE),0)),4),"")</f>
        <v>0.25</v>
      </c>
      <c r="AB406" s="2"/>
    </row>
    <row r="407" spans="1:28">
      <c r="A407" t="str">
        <f t="shared" si="468"/>
        <v>S</v>
      </c>
      <c r="B407">
        <f t="shared" si="469"/>
        <v>0</v>
      </c>
      <c r="C407">
        <f t="shared" ca="1" si="457"/>
        <v>5</v>
      </c>
      <c r="D407">
        <f t="shared" ca="1" si="458"/>
        <v>5</v>
      </c>
      <c r="E407">
        <f t="shared" ca="1" si="459"/>
        <v>0</v>
      </c>
      <c r="F407">
        <f t="shared" ca="1" si="460"/>
        <v>0</v>
      </c>
      <c r="G407">
        <f t="shared" ca="1" si="461"/>
        <v>17</v>
      </c>
      <c r="H407">
        <f ca="1">IF(OR($A407="S",$A407=0),0,MATCH(0,OFFSET($B407,1,$A407,ROW($A$1504)-ROW($A407)),0))</f>
        <v>0</v>
      </c>
      <c r="I407">
        <f ca="1">IF(OR($A407="S",$A407=0),0,MATCH(OFFSET($B407,0,$A407)+1,OFFSET($B407,1,$A407,ROW($A$1504)-ROW($A407)),0))</f>
        <v>0</v>
      </c>
      <c r="J407" s="132" t="s">
        <v>29</v>
      </c>
      <c r="K407" s="121" t="str">
        <f t="shared" ca="1" si="470"/>
        <v>5.5.17.</v>
      </c>
      <c r="L407" s="137" t="str">
        <f t="shared" ca="1" si="462"/>
        <v>Cotação</v>
      </c>
      <c r="M407" s="122" t="s">
        <v>79</v>
      </c>
      <c r="N407" s="139" t="s">
        <v>165</v>
      </c>
      <c r="O407" s="137" t="str">
        <f t="shared" ca="1" si="450"/>
        <v>Papel de presente</v>
      </c>
      <c r="P407" s="138" t="str">
        <f t="shared" ca="1" si="463"/>
        <v>Folhas</v>
      </c>
      <c r="Q407" s="134">
        <v>8.15</v>
      </c>
      <c r="R407" s="124">
        <f t="shared" ca="1" si="464"/>
        <v>1.5</v>
      </c>
      <c r="S407" s="136" t="s">
        <v>62</v>
      </c>
      <c r="T407" s="123">
        <f t="shared" ca="1" si="465"/>
        <v>1.88</v>
      </c>
      <c r="U407" s="126">
        <f t="shared" ca="1" si="466"/>
        <v>15.32</v>
      </c>
      <c r="V407" s="1"/>
      <c r="W407" s="39" t="str">
        <f ca="1">IF(OR($A407=0,$A407="S",$A407&gt;CFF!$A$9),"",MAX(W$11:OFFSET(W407,-1,0))+1)</f>
        <v/>
      </c>
      <c r="X407" s="4" t="str">
        <f t="shared" si="467"/>
        <v>Rec. Materiais-021</v>
      </c>
      <c r="Y407" s="39">
        <f t="shared" ca="1" si="471"/>
        <v>30</v>
      </c>
      <c r="Z407" s="1"/>
      <c r="AA407" s="133">
        <f>IF($J407=$G$2,ROUND(IF(ISNUMBER(S407),S407,IF(LEFT(S407,2)="DI",HLOOKUP(S407,DADOS!$T$29:$X$30,2,FALSE),0)),4),"")</f>
        <v>0.25</v>
      </c>
      <c r="AB407" s="2"/>
    </row>
    <row r="408" spans="1:28">
      <c r="A408" t="str">
        <f t="shared" si="468"/>
        <v>S</v>
      </c>
      <c r="B408">
        <f t="shared" si="469"/>
        <v>0</v>
      </c>
      <c r="C408">
        <f t="shared" ca="1" si="457"/>
        <v>5</v>
      </c>
      <c r="D408">
        <f t="shared" ca="1" si="458"/>
        <v>5</v>
      </c>
      <c r="E408">
        <f t="shared" ca="1" si="459"/>
        <v>0</v>
      </c>
      <c r="F408">
        <f t="shared" ca="1" si="460"/>
        <v>0</v>
      </c>
      <c r="G408">
        <f t="shared" ca="1" si="461"/>
        <v>18</v>
      </c>
      <c r="H408">
        <f ca="1">IF(OR($A408="S",$A408=0),0,MATCH(0,OFFSET($B408,1,$A408,ROW($A$1504)-ROW($A408)),0))</f>
        <v>0</v>
      </c>
      <c r="I408">
        <f ca="1">IF(OR($A408="S",$A408=0),0,MATCH(OFFSET($B408,0,$A408)+1,OFFSET($B408,1,$A408,ROW($A$1504)-ROW($A408)),0))</f>
        <v>0</v>
      </c>
      <c r="J408" s="132" t="s">
        <v>29</v>
      </c>
      <c r="K408" s="121" t="str">
        <f t="shared" ca="1" si="470"/>
        <v>5.5.18.</v>
      </c>
      <c r="L408" s="137" t="str">
        <f t="shared" ca="1" si="462"/>
        <v>Cotação</v>
      </c>
      <c r="M408" s="122" t="s">
        <v>79</v>
      </c>
      <c r="N408" s="139" t="s">
        <v>170</v>
      </c>
      <c r="O408" s="137" t="str">
        <f t="shared" ca="1" si="450"/>
        <v>Saco de lixo (100 litros)</v>
      </c>
      <c r="P408" s="138" t="str">
        <f t="shared" ca="1" si="463"/>
        <v>Pacote</v>
      </c>
      <c r="Q408" s="134">
        <v>2</v>
      </c>
      <c r="R408" s="124">
        <f t="shared" ca="1" si="464"/>
        <v>15</v>
      </c>
      <c r="S408" s="136" t="s">
        <v>62</v>
      </c>
      <c r="T408" s="123">
        <f t="shared" ca="1" si="465"/>
        <v>18.75</v>
      </c>
      <c r="U408" s="126">
        <f t="shared" ca="1" si="466"/>
        <v>37.5</v>
      </c>
      <c r="V408" s="1"/>
      <c r="W408" s="39" t="str">
        <f ca="1">IF(OR($A408=0,$A408="S",$A408&gt;CFF!$A$9),"",MAX(W$11:OFFSET(W408,-1,0))+1)</f>
        <v/>
      </c>
      <c r="X408" s="4" t="str">
        <f t="shared" si="467"/>
        <v>Rec. Materiais-026</v>
      </c>
      <c r="Y408" s="39">
        <f t="shared" ca="1" si="471"/>
        <v>35</v>
      </c>
      <c r="Z408" s="1"/>
      <c r="AA408" s="133">
        <f>IF($J408=$G$2,ROUND(IF(ISNUMBER(S408),S408,IF(LEFT(S408,2)="DI",HLOOKUP(S408,DADOS!$T$29:$X$30,2,FALSE),0)),4),"")</f>
        <v>0.25</v>
      </c>
      <c r="AB408" s="2"/>
    </row>
    <row r="409" spans="1:28">
      <c r="A409">
        <f>CHOOSE(1+LOG(1+2*(J409=$C$2)+4*(J409=$D$2)+8*(J409=$E$2)+16*(J409=$F$2)+32*(J409=$G$2),2),0,1,2,3,4,"S")</f>
        <v>1</v>
      </c>
      <c r="B409">
        <f ca="1">IF(OR(A409="S",A409=0),0,IF(ISERROR(I409),H409,SMALL(H409:I409,1)))</f>
        <v>82</v>
      </c>
      <c r="C409">
        <f ca="1">IF($A409=1,OFFSET(C409,-1,0)+1,OFFSET(C409,-1,0))</f>
        <v>6</v>
      </c>
      <c r="D409">
        <f ca="1">IF($A409=1,0,IF($A409=2,OFFSET(D409,-1,0)+1,OFFSET(D409,-1,0)))</f>
        <v>0</v>
      </c>
      <c r="E409">
        <f ca="1">IF(AND($A409&lt;=2,$A409&lt;&gt;0),0,IF($A409=3,OFFSET(E409,-1,0)+1,OFFSET(E409,-1,0)))</f>
        <v>0</v>
      </c>
      <c r="F409">
        <f ca="1">IF(AND($A409&lt;=3,$A409&lt;&gt;0),0,IF($A409=4,OFFSET(F409,-1,0)+1,OFFSET(F409,-1,0)))</f>
        <v>0</v>
      </c>
      <c r="G409">
        <f ca="1">IF(AND($A409&lt;=4,$A409&lt;&gt;0),0,IF($A409="S",OFFSET(G409,-1,0)+1,OFFSET(G409,-1,0)))</f>
        <v>0</v>
      </c>
      <c r="H409">
        <f ca="1">IF(OR($A409="S",$A409=0),0,MATCH(0,OFFSET($B409,1,$A409,ROW($A$1504)-ROW($A409)),0))</f>
        <v>1095</v>
      </c>
      <c r="I409">
        <f ca="1">IF(OR($A409="S",$A409=0),0,MATCH(OFFSET($B409,0,$A409)+1,OFFSET($B409,1,$A409,ROW($A$1504)-ROW($A409)),0))</f>
        <v>82</v>
      </c>
      <c r="J409" s="132" t="s">
        <v>67</v>
      </c>
      <c r="K409" s="121" t="str">
        <f ca="1">IF($A409=0,"-",CONCATENATE(C409&amp;".",IF(AND($A$5&gt;=2,$A409&gt;=2),D409&amp;".",""),IF(AND($A$5&gt;=3,$A409&gt;=3),E409&amp;".",""),IF(AND($A$5&gt;=4,$A409&gt;=4),F409&amp;".",""),IF($A409="S",G409&amp;".","")))</f>
        <v>6.</v>
      </c>
      <c r="L409" s="137" t="str">
        <f ca="1">IF(NOT(ISERROR($Y409)),IF($Y409&lt;&gt;FALSE,INDEX(Banco,$Y409,4),""),"")</f>
        <v/>
      </c>
      <c r="M409" s="122"/>
      <c r="N409" s="139"/>
      <c r="O409" s="137" t="s">
        <v>270</v>
      </c>
      <c r="P409" s="138" t="str">
        <f ca="1">IF(NOT(ISERROR($Y409)),IF($Y409&lt;&gt;FALSE,INDEX(Banco,$Y409,6),""),"")</f>
        <v/>
      </c>
      <c r="Q409" s="134"/>
      <c r="R409" s="124">
        <f ca="1">IF(NOT(ISERROR($Y409)),IF($Y409&lt;&gt;FALSE,INDEX(Banco,$Y409,7),0),0)</f>
        <v>0</v>
      </c>
      <c r="S409" s="136" t="s">
        <v>62</v>
      </c>
      <c r="T409" s="123">
        <f>IF($J409=$G$2,ROUND(ROUND($R409,2)*IF($R$9="Preço Unitário (R$)",1,1+$AA409),2),0)</f>
        <v>0</v>
      </c>
      <c r="U409" s="126">
        <f ca="1">IF($A409="S",VTOTAL1,IF($A409=0,0,ROUND(SomaAgrup,2)))</f>
        <v>34125.56</v>
      </c>
      <c r="V409" s="1"/>
      <c r="W409" s="39">
        <f ca="1">IF(OR($A409=0,$A409="S",$A409&gt;CFF!$A$9),"",MAX(W$11:OFFSET(W409,-1,0))+1)</f>
        <v>33</v>
      </c>
      <c r="X409" s="4" t="b">
        <f>IF(AND($J409=$G$2,$N409&lt;&gt;"",$M409&lt;&gt;""),CONCATENATE($M409,"-",$N409))</f>
        <v>0</v>
      </c>
      <c r="Y409" s="39" t="b">
        <f ca="1">IF(X409&lt;&gt;FALSE,MATCH(X409,OFFSET(Banco,0,0,,1),0))</f>
        <v>0</v>
      </c>
      <c r="Z409" s="1"/>
      <c r="AA409" s="133" t="str">
        <f>IF($J409=$G$2,ROUND(IF(ISNUMBER(S409),S409,IF(LEFT(S409,2)="DI",HLOOKUP(S409,DADOS!$T$29:$X$30,2,FALSE),0)),4),"")</f>
        <v/>
      </c>
      <c r="AB409" s="2"/>
    </row>
    <row r="410" spans="1:28" ht="25.5">
      <c r="A410">
        <f>CHOOSE(1+LOG(1+2*(J410=$C$2)+4*(J410=$D$2)+8*(J410=$E$2)+16*(J410=$F$2)+32*(J410=$G$2),2),0,1,2,3,4,"S")</f>
        <v>2</v>
      </c>
      <c r="B410">
        <f ca="1">IF(OR(A410="S",A410=0),0,IF(ISERROR(I410),H410,SMALL(H410:I410,1)))</f>
        <v>27</v>
      </c>
      <c r="C410">
        <f ca="1">IF($A410=1,OFFSET(C410,-1,0)+1,OFFSET(C410,-1,0))</f>
        <v>6</v>
      </c>
      <c r="D410">
        <f ca="1">IF($A410=1,0,IF($A410=2,OFFSET(D410,-1,0)+1,OFFSET(D410,-1,0)))</f>
        <v>1</v>
      </c>
      <c r="E410">
        <f ca="1">IF(AND($A410&lt;=2,$A410&lt;&gt;0),0,IF($A410=3,OFFSET(E410,-1,0)+1,OFFSET(E410,-1,0)))</f>
        <v>0</v>
      </c>
      <c r="F410">
        <f ca="1">IF(AND($A410&lt;=3,$A410&lt;&gt;0),0,IF($A410=4,OFFSET(F410,-1,0)+1,OFFSET(F410,-1,0)))</f>
        <v>0</v>
      </c>
      <c r="G410">
        <f ca="1">IF(AND($A410&lt;=4,$A410&lt;&gt;0),0,IF($A410="S",OFFSET(G410,-1,0)+1,OFFSET(G410,-1,0)))</f>
        <v>0</v>
      </c>
      <c r="H410">
        <f ca="1">IF(OR($A410="S",$A410=0),0,MATCH(0,OFFSET($B410,1,$A410,ROW($A$1504)-ROW($A410)),0))</f>
        <v>81</v>
      </c>
      <c r="I410">
        <f ca="1">IF(OR($A410="S",$A410=0),0,MATCH(OFFSET($B410,0,$A410)+1,OFFSET($B410,1,$A410,ROW($A$1504)-ROW($A410)),0))</f>
        <v>27</v>
      </c>
      <c r="J410" s="132" t="s">
        <v>68</v>
      </c>
      <c r="K410" s="121" t="str">
        <f ca="1">IF($A410=0,"-",CONCATENATE(C410&amp;".",IF(AND($A$5&gt;=2,$A410&gt;=2),D410&amp;".",""),IF(AND($A$5&gt;=3,$A410&gt;=3),E410&amp;".",""),IF(AND($A$5&gt;=4,$A410&gt;=4),F410&amp;".",""),IF($A410="S",G410&amp;".","")))</f>
        <v>6.1.</v>
      </c>
      <c r="L410" s="137" t="str">
        <f ca="1">IF(NOT(ISERROR($Y410)),IF($Y410&lt;&gt;FALSE,INDEX(Banco,$Y410,4),""),"")</f>
        <v/>
      </c>
      <c r="M410" s="122"/>
      <c r="N410" s="139"/>
      <c r="O410" s="137" t="s">
        <v>375</v>
      </c>
      <c r="P410" s="138" t="str">
        <f ca="1">IF(NOT(ISERROR($Y410)),IF($Y410&lt;&gt;FALSE,INDEX(Banco,$Y410,6),""),"")</f>
        <v/>
      </c>
      <c r="Q410" s="134"/>
      <c r="R410" s="124">
        <f ca="1">IF(NOT(ISERROR($Y410)),IF($Y410&lt;&gt;FALSE,INDEX(Banco,$Y410,7),0),0)</f>
        <v>0</v>
      </c>
      <c r="S410" s="136" t="s">
        <v>62</v>
      </c>
      <c r="T410" s="123">
        <f>IF($J410=$G$2,ROUND(ROUND($R410,2)*IF($R$9="Preço Unitário (R$)",1,1+$AA410),2),0)</f>
        <v>0</v>
      </c>
      <c r="U410" s="126">
        <f ca="1">IF($A410="S",VTOTAL1,IF($A410=0,0,ROUND(SomaAgrup,2)))</f>
        <v>13065.6</v>
      </c>
      <c r="V410" s="1"/>
      <c r="W410" s="39">
        <f ca="1">IF(OR($A410=0,$A410="S",$A410&gt;CFF!$A$9),"",MAX(W$11:OFFSET(W410,-1,0))+1)</f>
        <v>34</v>
      </c>
      <c r="X410" s="4" t="b">
        <f>IF(AND($J410=$G$2,$N410&lt;&gt;"",$M410&lt;&gt;""),CONCATENATE($M410,"-",$N410))</f>
        <v>0</v>
      </c>
      <c r="Y410" s="39" t="b">
        <f ca="1">IF(X410&lt;&gt;FALSE,MATCH(X410,OFFSET(Banco,0,0,,1),0))</f>
        <v>0</v>
      </c>
      <c r="Z410" s="1"/>
      <c r="AA410" s="133" t="str">
        <f>IF($J410=$G$2,ROUND(IF(ISNUMBER(S410),S410,IF(LEFT(S410,2)="DI",HLOOKUP(S410,DADOS!$T$29:$X$30,2,FALSE),0)),4),"")</f>
        <v/>
      </c>
      <c r="AB410" s="2"/>
    </row>
    <row r="411" spans="1:28">
      <c r="A411" t="str">
        <f t="shared" ref="A411:A434" si="472">CHOOSE(1+LOG(1+2*(J411=$C$2)+4*(J411=$D$2)+8*(J411=$E$2)+16*(J411=$F$2)+32*(J411=$G$2),2),0,1,2,3,4,"S")</f>
        <v>S</v>
      </c>
      <c r="B411">
        <f t="shared" ref="B411:B434" si="473">IF(OR(A411="S",A411=0),0,IF(ISERROR(I411),H411,SMALL(H411:I411,1)))</f>
        <v>0</v>
      </c>
      <c r="C411">
        <f t="shared" ref="C411:C434" ca="1" si="474">IF($A411=1,OFFSET(C411,-1,0)+1,OFFSET(C411,-1,0))</f>
        <v>6</v>
      </c>
      <c r="D411">
        <f t="shared" ref="D411:D434" ca="1" si="475">IF($A411=1,0,IF($A411=2,OFFSET(D411,-1,0)+1,OFFSET(D411,-1,0)))</f>
        <v>1</v>
      </c>
      <c r="E411">
        <f t="shared" ref="E411:E434" ca="1" si="476">IF(AND($A411&lt;=2,$A411&lt;&gt;0),0,IF($A411=3,OFFSET(E411,-1,0)+1,OFFSET(E411,-1,0)))</f>
        <v>0</v>
      </c>
      <c r="F411">
        <f t="shared" ref="F411:F434" ca="1" si="477">IF(AND($A411&lt;=3,$A411&lt;&gt;0),0,IF($A411=4,OFFSET(F411,-1,0)+1,OFFSET(F411,-1,0)))</f>
        <v>0</v>
      </c>
      <c r="G411">
        <f t="shared" ref="G411:G434" ca="1" si="478">IF(AND($A411&lt;=4,$A411&lt;&gt;0),0,IF($A411="S",OFFSET(G411,-1,0)+1,OFFSET(G411,-1,0)))</f>
        <v>1</v>
      </c>
      <c r="H411">
        <f ca="1">IF(OR($A411="S",$A411=0),0,MATCH(0,OFFSET($B411,1,$A411,ROW($A$1504)-ROW($A411)),0))</f>
        <v>0</v>
      </c>
      <c r="I411">
        <f ca="1">IF(OR($A411="S",$A411=0),0,MATCH(OFFSET($B411,0,$A411)+1,OFFSET($B411,1,$A411,ROW($A$1504)-ROW($A411)),0))</f>
        <v>0</v>
      </c>
      <c r="J411" s="132" t="s">
        <v>29</v>
      </c>
      <c r="K411" s="121" t="str">
        <f t="shared" ref="K411:K434" ca="1" si="479">IF($A411=0,"-",CONCATENATE(C411&amp;".",IF(AND($A$5&gt;=2,$A411&gt;=2),D411&amp;".",""),IF(AND($A$5&gt;=3,$A411&gt;=3),E411&amp;".",""),IF(AND($A$5&gt;=4,$A411&gt;=4),F411&amp;".",""),IF($A411="S",G411&amp;".","")))</f>
        <v>6.1.1.</v>
      </c>
      <c r="L411" s="137" t="str">
        <f t="shared" ref="L411:L434" ca="1" si="480">IF(NOT(ISERROR($Y411)),IF($Y411&lt;&gt;FALSE,INDEX(Banco,$Y411,4),""),"")</f>
        <v>CRESS</v>
      </c>
      <c r="M411" s="122" t="s">
        <v>78</v>
      </c>
      <c r="N411" s="139" t="s">
        <v>149</v>
      </c>
      <c r="O411" s="137" t="str">
        <f t="shared" ref="O411:O434" ca="1" si="481">IF(NOT(ISERROR($Y411)),IF($Y411&lt;&gt;FALSE,INDEX(Banco,$Y411,5),""),"")</f>
        <v>Responsável Técnica</v>
      </c>
      <c r="P411" s="138" t="str">
        <f t="shared" ref="P411:P434" ca="1" si="482">IF(NOT(ISERROR($Y411)),IF($Y411&lt;&gt;FALSE,INDEX(Banco,$Y411,6),""),"")</f>
        <v>Horas</v>
      </c>
      <c r="Q411" s="134">
        <v>8</v>
      </c>
      <c r="R411" s="124">
        <f t="shared" ref="R411:R434" ca="1" si="483">IF(NOT(ISERROR($Y411)),IF($Y411&lt;&gt;FALSE,INDEX(Banco,$Y411,7),0),0)</f>
        <v>150.28</v>
      </c>
      <c r="S411" s="136" t="s">
        <v>62</v>
      </c>
      <c r="T411" s="123">
        <f t="shared" ref="T411:T434" ca="1" si="484">IF($J411=$G$2,ROUND(ROUND($R411,2)*IF($R$9="Preço Unitário (R$)",1,1+$AA411),2),0)</f>
        <v>187.85</v>
      </c>
      <c r="U411" s="126">
        <f t="shared" ref="U411:U434" ca="1" si="485">IF($A411="S",VTOTAL1,IF($A411=0,0,ROUND(SomaAgrup,2)))</f>
        <v>1502.8</v>
      </c>
      <c r="V411" s="1"/>
      <c r="W411" s="39" t="str">
        <f ca="1">IF(OR($A411=0,$A411="S",$A411&gt;CFF!$A$9),"",MAX(W$11:OFFSET(W411,-1,0))+1)</f>
        <v/>
      </c>
      <c r="X411" s="4" t="str">
        <f t="shared" ref="X411:X434" si="486">IF(AND($J411=$G$2,$N411&lt;&gt;"",$M411&lt;&gt;""),CONCATENATE($M411,"-",$N411))</f>
        <v>Rec. Humanos-001</v>
      </c>
      <c r="Y411" s="39">
        <f t="shared" ref="Y411:Y434" ca="1" si="487">IF(X411&lt;&gt;FALSE,MATCH(X411,OFFSET(Banco,0,0,,1),0))</f>
        <v>3</v>
      </c>
      <c r="Z411" s="1"/>
      <c r="AA411" s="133">
        <f>IF($J411=$G$2,ROUND(IF(ISNUMBER(S411),S411,IF(LEFT(S411,2)="DI",HLOOKUP(S411,DADOS!$T$29:$X$30,2,FALSE),0)),4),"")</f>
        <v>0.25</v>
      </c>
      <c r="AB411" s="2"/>
    </row>
    <row r="412" spans="1:28">
      <c r="A412" t="str">
        <f t="shared" si="472"/>
        <v>S</v>
      </c>
      <c r="B412">
        <f t="shared" si="473"/>
        <v>0</v>
      </c>
      <c r="C412">
        <f t="shared" ca="1" si="474"/>
        <v>6</v>
      </c>
      <c r="D412">
        <f t="shared" ca="1" si="475"/>
        <v>1</v>
      </c>
      <c r="E412">
        <f t="shared" ca="1" si="476"/>
        <v>0</v>
      </c>
      <c r="F412">
        <f t="shared" ca="1" si="477"/>
        <v>0</v>
      </c>
      <c r="G412">
        <f t="shared" ca="1" si="478"/>
        <v>2</v>
      </c>
      <c r="H412">
        <f ca="1">IF(OR($A412="S",$A412=0),0,MATCH(0,OFFSET($B412,1,$A412,ROW($A$1504)-ROW($A412)),0))</f>
        <v>0</v>
      </c>
      <c r="I412">
        <f ca="1">IF(OR($A412="S",$A412=0),0,MATCH(OFFSET($B412,0,$A412)+1,OFFSET($B412,1,$A412,ROW($A$1504)-ROW($A412)),0))</f>
        <v>0</v>
      </c>
      <c r="J412" s="132" t="s">
        <v>29</v>
      </c>
      <c r="K412" s="121" t="str">
        <f t="shared" ca="1" si="479"/>
        <v>6.1.2.</v>
      </c>
      <c r="L412" s="137" t="str">
        <f t="shared" ca="1" si="480"/>
        <v>CRESS</v>
      </c>
      <c r="M412" s="122" t="s">
        <v>78</v>
      </c>
      <c r="N412" s="139" t="s">
        <v>152</v>
      </c>
      <c r="O412" s="137" t="str">
        <f t="shared" ca="1" si="481"/>
        <v>Assistente Social</v>
      </c>
      <c r="P412" s="138" t="str">
        <f t="shared" ca="1" si="482"/>
        <v>Horas</v>
      </c>
      <c r="Q412" s="134">
        <v>4</v>
      </c>
      <c r="R412" s="124">
        <f t="shared" ca="1" si="483"/>
        <v>133.81</v>
      </c>
      <c r="S412" s="136" t="s">
        <v>62</v>
      </c>
      <c r="T412" s="123">
        <f t="shared" ca="1" si="484"/>
        <v>167.26</v>
      </c>
      <c r="U412" s="126">
        <f t="shared" ca="1" si="485"/>
        <v>669.04</v>
      </c>
      <c r="V412" s="1"/>
      <c r="W412" s="39" t="str">
        <f ca="1">IF(OR($A412=0,$A412="S",$A412&gt;CFF!$A$9),"",MAX(W$11:OFFSET(W412,-1,0))+1)</f>
        <v/>
      </c>
      <c r="X412" s="4" t="str">
        <f t="shared" si="486"/>
        <v>Rec. Humanos-002</v>
      </c>
      <c r="Y412" s="39">
        <f t="shared" ca="1" si="487"/>
        <v>4</v>
      </c>
      <c r="Z412" s="1"/>
      <c r="AA412" s="133">
        <f>IF($J412=$G$2,ROUND(IF(ISNUMBER(S412),S412,IF(LEFT(S412,2)="DI",HLOOKUP(S412,DADOS!$T$29:$X$30,2,FALSE),0)),4),"")</f>
        <v>0.25</v>
      </c>
      <c r="AB412" s="2"/>
    </row>
    <row r="413" spans="1:28">
      <c r="A413" t="str">
        <f t="shared" si="472"/>
        <v>S</v>
      </c>
      <c r="B413">
        <f t="shared" si="473"/>
        <v>0</v>
      </c>
      <c r="C413">
        <f t="shared" ca="1" si="474"/>
        <v>6</v>
      </c>
      <c r="D413">
        <f t="shared" ca="1" si="475"/>
        <v>1</v>
      </c>
      <c r="E413">
        <f t="shared" ca="1" si="476"/>
        <v>0</v>
      </c>
      <c r="F413">
        <f t="shared" ca="1" si="477"/>
        <v>0</v>
      </c>
      <c r="G413">
        <f t="shared" ca="1" si="478"/>
        <v>3</v>
      </c>
      <c r="H413">
        <f ca="1">IF(OR($A413="S",$A413=0),0,MATCH(0,OFFSET($B413,1,$A413,ROW($A$1504)-ROW($A413)),0))</f>
        <v>0</v>
      </c>
      <c r="I413">
        <f ca="1">IF(OR($A413="S",$A413=0),0,MATCH(OFFSET($B413,0,$A413)+1,OFFSET($B413,1,$A413,ROW($A$1504)-ROW($A413)),0))</f>
        <v>0</v>
      </c>
      <c r="J413" s="132" t="s">
        <v>29</v>
      </c>
      <c r="K413" s="121" t="str">
        <f t="shared" ca="1" si="479"/>
        <v>6.1.3.</v>
      </c>
      <c r="L413" s="137" t="str">
        <f t="shared" ca="1" si="480"/>
        <v>Cotação</v>
      </c>
      <c r="M413" s="122" t="s">
        <v>78</v>
      </c>
      <c r="N413" s="139" t="s">
        <v>151</v>
      </c>
      <c r="O413" s="137" t="str">
        <f t="shared" ca="1" si="481"/>
        <v xml:space="preserve">Administrador (Técnico de Apoio) </v>
      </c>
      <c r="P413" s="138" t="str">
        <f t="shared" ca="1" si="482"/>
        <v>Horas</v>
      </c>
      <c r="Q413" s="134">
        <v>4</v>
      </c>
      <c r="R413" s="124">
        <f t="shared" ca="1" si="483"/>
        <v>103.65</v>
      </c>
      <c r="S413" s="136" t="s">
        <v>62</v>
      </c>
      <c r="T413" s="123">
        <f t="shared" ca="1" si="484"/>
        <v>129.56</v>
      </c>
      <c r="U413" s="126">
        <f t="shared" ca="1" si="485"/>
        <v>518.24</v>
      </c>
      <c r="V413" s="1"/>
      <c r="W413" s="39" t="str">
        <f ca="1">IF(OR($A413=0,$A413="S",$A413&gt;CFF!$A$9),"",MAX(W$11:OFFSET(W413,-1,0))+1)</f>
        <v/>
      </c>
      <c r="X413" s="4" t="str">
        <f t="shared" si="486"/>
        <v>Rec. Humanos-003</v>
      </c>
      <c r="Y413" s="39">
        <f t="shared" ca="1" si="487"/>
        <v>5</v>
      </c>
      <c r="Z413" s="1"/>
      <c r="AA413" s="133">
        <f>IF($J413=$G$2,ROUND(IF(ISNUMBER(S413),S413,IF(LEFT(S413,2)="DI",HLOOKUP(S413,DADOS!$T$29:$X$30,2,FALSE),0)),4),"")</f>
        <v>0.25</v>
      </c>
      <c r="AB413" s="2"/>
    </row>
    <row r="414" spans="1:28">
      <c r="A414" t="str">
        <f t="shared" si="472"/>
        <v>S</v>
      </c>
      <c r="B414">
        <f t="shared" si="473"/>
        <v>0</v>
      </c>
      <c r="C414">
        <f t="shared" ca="1" si="474"/>
        <v>6</v>
      </c>
      <c r="D414">
        <f t="shared" ca="1" si="475"/>
        <v>1</v>
      </c>
      <c r="E414">
        <f t="shared" ca="1" si="476"/>
        <v>0</v>
      </c>
      <c r="F414">
        <f t="shared" ca="1" si="477"/>
        <v>0</v>
      </c>
      <c r="G414">
        <f t="shared" ca="1" si="478"/>
        <v>4</v>
      </c>
      <c r="H414">
        <f ca="1">IF(OR($A414="S",$A414=0),0,MATCH(0,OFFSET($B414,1,$A414,ROW($A$1504)-ROW($A414)),0))</f>
        <v>0</v>
      </c>
      <c r="I414">
        <f ca="1">IF(OR($A414="S",$A414=0),0,MATCH(OFFSET($B414,0,$A414)+1,OFFSET($B414,1,$A414,ROW($A$1504)-ROW($A414)),0))</f>
        <v>0</v>
      </c>
      <c r="J414" s="132" t="s">
        <v>29</v>
      </c>
      <c r="K414" s="121" t="str">
        <f t="shared" ca="1" si="479"/>
        <v>6.1.4.</v>
      </c>
      <c r="L414" s="137" t="str">
        <f t="shared" ca="1" si="480"/>
        <v>SINE</v>
      </c>
      <c r="M414" s="122" t="s">
        <v>78</v>
      </c>
      <c r="N414" s="139" t="s">
        <v>153</v>
      </c>
      <c r="O414" s="137" t="str">
        <f t="shared" ca="1" si="481"/>
        <v>Estagiários</v>
      </c>
      <c r="P414" s="138" t="str">
        <f t="shared" ca="1" si="482"/>
        <v>Horas</v>
      </c>
      <c r="Q414" s="134">
        <v>16</v>
      </c>
      <c r="R414" s="124">
        <f t="shared" ca="1" si="483"/>
        <v>9.7899999999999991</v>
      </c>
      <c r="S414" s="136" t="s">
        <v>62</v>
      </c>
      <c r="T414" s="123">
        <f t="shared" ca="1" si="484"/>
        <v>12.24</v>
      </c>
      <c r="U414" s="126">
        <f t="shared" ca="1" si="485"/>
        <v>195.84</v>
      </c>
      <c r="V414" s="1"/>
      <c r="W414" s="39" t="str">
        <f ca="1">IF(OR($A414=0,$A414="S",$A414&gt;CFF!$A$9),"",MAX(W$11:OFFSET(W414,-1,0))+1)</f>
        <v/>
      </c>
      <c r="X414" s="4" t="str">
        <f t="shared" si="486"/>
        <v>Rec. Humanos-004</v>
      </c>
      <c r="Y414" s="39">
        <f t="shared" ca="1" si="487"/>
        <v>6</v>
      </c>
      <c r="Z414" s="1"/>
      <c r="AA414" s="133">
        <f>IF($J414=$G$2,ROUND(IF(ISNUMBER(S414),S414,IF(LEFT(S414,2)="DI",HLOOKUP(S414,DADOS!$T$29:$X$30,2,FALSE),0)),4),"")</f>
        <v>0.25</v>
      </c>
      <c r="AB414" s="2"/>
    </row>
    <row r="415" spans="1:28">
      <c r="A415" t="str">
        <f t="shared" si="472"/>
        <v>S</v>
      </c>
      <c r="B415">
        <f t="shared" si="473"/>
        <v>0</v>
      </c>
      <c r="C415">
        <f t="shared" ca="1" si="474"/>
        <v>6</v>
      </c>
      <c r="D415">
        <f t="shared" ca="1" si="475"/>
        <v>1</v>
      </c>
      <c r="E415">
        <f t="shared" ca="1" si="476"/>
        <v>0</v>
      </c>
      <c r="F415">
        <f t="shared" ca="1" si="477"/>
        <v>0</v>
      </c>
      <c r="G415">
        <f t="shared" ca="1" si="478"/>
        <v>5</v>
      </c>
      <c r="H415">
        <f ca="1">IF(OR($A415="S",$A415=0),0,MATCH(0,OFFSET($B415,1,$A415,ROW($A$1504)-ROW($A415)),0))</f>
        <v>0</v>
      </c>
      <c r="I415">
        <f ca="1">IF(OR($A415="S",$A415=0),0,MATCH(OFFSET($B415,0,$A415)+1,OFFSET($B415,1,$A415,ROW($A$1504)-ROW($A415)),0))</f>
        <v>0</v>
      </c>
      <c r="J415" s="132" t="s">
        <v>29</v>
      </c>
      <c r="K415" s="121" t="str">
        <f t="shared" ca="1" si="479"/>
        <v>6.1.5.</v>
      </c>
      <c r="L415" s="137" t="str">
        <f t="shared" ca="1" si="480"/>
        <v>Cotação</v>
      </c>
      <c r="M415" s="122" t="s">
        <v>80</v>
      </c>
      <c r="N415" s="139" t="s">
        <v>149</v>
      </c>
      <c r="O415" s="137" t="str">
        <f t="shared" ca="1" si="481"/>
        <v>Fotocópias</v>
      </c>
      <c r="P415" s="138" t="str">
        <f t="shared" ca="1" si="482"/>
        <v>Unidade</v>
      </c>
      <c r="Q415" s="134">
        <v>200</v>
      </c>
      <c r="R415" s="124">
        <f t="shared" ca="1" si="483"/>
        <v>0.3</v>
      </c>
      <c r="S415" s="136" t="s">
        <v>62</v>
      </c>
      <c r="T415" s="123">
        <f t="shared" ca="1" si="484"/>
        <v>0.38</v>
      </c>
      <c r="U415" s="126">
        <f t="shared" ca="1" si="485"/>
        <v>76</v>
      </c>
      <c r="V415" s="1"/>
      <c r="W415" s="39" t="str">
        <f ca="1">IF(OR($A415=0,$A415="S",$A415&gt;CFF!$A$9),"",MAX(W$11:OFFSET(W415,-1,0))+1)</f>
        <v/>
      </c>
      <c r="X415" s="4" t="str">
        <f t="shared" si="486"/>
        <v>Serv. Terc.-001</v>
      </c>
      <c r="Y415" s="39">
        <f t="shared" ca="1" si="487"/>
        <v>81</v>
      </c>
      <c r="Z415" s="1"/>
      <c r="AA415" s="133">
        <f>IF($J415=$G$2,ROUND(IF(ISNUMBER(S415),S415,IF(LEFT(S415,2)="DI",HLOOKUP(S415,DADOS!$T$29:$X$30,2,FALSE),0)),4),"")</f>
        <v>0.25</v>
      </c>
      <c r="AB415" s="2"/>
    </row>
    <row r="416" spans="1:28">
      <c r="A416" t="str">
        <f t="shared" si="472"/>
        <v>S</v>
      </c>
      <c r="B416">
        <f t="shared" si="473"/>
        <v>0</v>
      </c>
      <c r="C416">
        <f t="shared" ca="1" si="474"/>
        <v>6</v>
      </c>
      <c r="D416">
        <f t="shared" ca="1" si="475"/>
        <v>1</v>
      </c>
      <c r="E416">
        <f t="shared" ca="1" si="476"/>
        <v>0</v>
      </c>
      <c r="F416">
        <f t="shared" ca="1" si="477"/>
        <v>0</v>
      </c>
      <c r="G416">
        <f t="shared" ca="1" si="478"/>
        <v>6</v>
      </c>
      <c r="H416">
        <f ca="1">IF(OR($A416="S",$A416=0),0,MATCH(0,OFFSET($B416,1,$A416,ROW($A$1504)-ROW($A416)),0))</f>
        <v>0</v>
      </c>
      <c r="I416">
        <f ca="1">IF(OR($A416="S",$A416=0),0,MATCH(OFFSET($B416,0,$A416)+1,OFFSET($B416,1,$A416,ROW($A$1504)-ROW($A416)),0))</f>
        <v>0</v>
      </c>
      <c r="J416" s="132" t="s">
        <v>29</v>
      </c>
      <c r="K416" s="121" t="str">
        <f t="shared" ca="1" si="479"/>
        <v>6.1.6.</v>
      </c>
      <c r="L416" s="137" t="str">
        <f t="shared" ca="1" si="480"/>
        <v>Cotação</v>
      </c>
      <c r="M416" s="122" t="s">
        <v>80</v>
      </c>
      <c r="N416" s="139" t="s">
        <v>256</v>
      </c>
      <c r="O416" s="137" t="str">
        <f t="shared" ca="1" si="481"/>
        <v>Instrutor/Monitor (Educação Fisíca)</v>
      </c>
      <c r="P416" s="138" t="str">
        <f t="shared" ca="1" si="482"/>
        <v>Horas</v>
      </c>
      <c r="Q416" s="134">
        <v>3</v>
      </c>
      <c r="R416" s="124">
        <f t="shared" ca="1" si="483"/>
        <v>100</v>
      </c>
      <c r="S416" s="136" t="s">
        <v>62</v>
      </c>
      <c r="T416" s="123">
        <f t="shared" ca="1" si="484"/>
        <v>125</v>
      </c>
      <c r="U416" s="126">
        <f t="shared" ca="1" si="485"/>
        <v>375</v>
      </c>
      <c r="V416" s="1"/>
      <c r="W416" s="39" t="str">
        <f ca="1">IF(OR($A416=0,$A416="S",$A416&gt;CFF!$A$9),"",MAX(W$11:OFFSET(W416,-1,0))+1)</f>
        <v/>
      </c>
      <c r="X416" s="4" t="str">
        <f t="shared" si="486"/>
        <v>Serv. Terc.-017</v>
      </c>
      <c r="Y416" s="39">
        <f t="shared" ca="1" si="487"/>
        <v>97</v>
      </c>
      <c r="Z416" s="1"/>
      <c r="AA416" s="133">
        <f>IF($J416=$G$2,ROUND(IF(ISNUMBER(S416),S416,IF(LEFT(S416,2)="DI",HLOOKUP(S416,DADOS!$T$29:$X$30,2,FALSE),0)),4),"")</f>
        <v>0.25</v>
      </c>
      <c r="AB416" s="2"/>
    </row>
    <row r="417" spans="1:28">
      <c r="A417" t="str">
        <f t="shared" si="472"/>
        <v>S</v>
      </c>
      <c r="B417">
        <f t="shared" si="473"/>
        <v>0</v>
      </c>
      <c r="C417">
        <f t="shared" ca="1" si="474"/>
        <v>6</v>
      </c>
      <c r="D417">
        <f t="shared" ca="1" si="475"/>
        <v>1</v>
      </c>
      <c r="E417">
        <f t="shared" ca="1" si="476"/>
        <v>0</v>
      </c>
      <c r="F417">
        <f t="shared" ca="1" si="477"/>
        <v>0</v>
      </c>
      <c r="G417">
        <f t="shared" ca="1" si="478"/>
        <v>7</v>
      </c>
      <c r="H417">
        <f ca="1">IF(OR($A417="S",$A417=0),0,MATCH(0,OFFSET($B417,1,$A417,ROW($A$1504)-ROW($A417)),0))</f>
        <v>0</v>
      </c>
      <c r="I417">
        <f ca="1">IF(OR($A417="S",$A417=0),0,MATCH(OFFSET($B417,0,$A417)+1,OFFSET($B417,1,$A417,ROW($A$1504)-ROW($A417)),0))</f>
        <v>0</v>
      </c>
      <c r="J417" s="132" t="s">
        <v>29</v>
      </c>
      <c r="K417" s="121" t="str">
        <f t="shared" ca="1" si="479"/>
        <v>6.1.7.</v>
      </c>
      <c r="L417" s="137" t="str">
        <f t="shared" ca="1" si="480"/>
        <v>Cotação</v>
      </c>
      <c r="M417" s="122" t="s">
        <v>80</v>
      </c>
      <c r="N417" s="139" t="s">
        <v>152</v>
      </c>
      <c r="O417" s="137" t="str">
        <f t="shared" ca="1" si="481"/>
        <v>Carro de som com gravação de vinheta</v>
      </c>
      <c r="P417" s="138" t="str">
        <f t="shared" ca="1" si="482"/>
        <v>Horas</v>
      </c>
      <c r="Q417" s="134">
        <v>3</v>
      </c>
      <c r="R417" s="124">
        <f t="shared" ca="1" si="483"/>
        <v>200</v>
      </c>
      <c r="S417" s="136" t="s">
        <v>62</v>
      </c>
      <c r="T417" s="123">
        <f t="shared" ca="1" si="484"/>
        <v>250</v>
      </c>
      <c r="U417" s="126">
        <f t="shared" ca="1" si="485"/>
        <v>750</v>
      </c>
      <c r="V417" s="1"/>
      <c r="W417" s="39" t="str">
        <f ca="1">IF(OR($A417=0,$A417="S",$A417&gt;CFF!$A$9),"",MAX(W$11:OFFSET(W417,-1,0))+1)</f>
        <v/>
      </c>
      <c r="X417" s="4" t="str">
        <f t="shared" si="486"/>
        <v>Serv. Terc.-002</v>
      </c>
      <c r="Y417" s="39">
        <f t="shared" ca="1" si="487"/>
        <v>82</v>
      </c>
      <c r="Z417" s="1"/>
      <c r="AA417" s="133">
        <f>IF($J417=$G$2,ROUND(IF(ISNUMBER(S417),S417,IF(LEFT(S417,2)="DI",HLOOKUP(S417,DADOS!$T$29:$X$30,2,FALSE),0)),4),"")</f>
        <v>0.25</v>
      </c>
      <c r="AB417" s="2"/>
    </row>
    <row r="418" spans="1:28">
      <c r="A418" t="str">
        <f t="shared" si="472"/>
        <v>S</v>
      </c>
      <c r="B418">
        <f t="shared" si="473"/>
        <v>0</v>
      </c>
      <c r="C418">
        <f t="shared" ca="1" si="474"/>
        <v>6</v>
      </c>
      <c r="D418">
        <f t="shared" ca="1" si="475"/>
        <v>1</v>
      </c>
      <c r="E418">
        <f t="shared" ca="1" si="476"/>
        <v>0</v>
      </c>
      <c r="F418">
        <f t="shared" ca="1" si="477"/>
        <v>0</v>
      </c>
      <c r="G418">
        <f t="shared" ca="1" si="478"/>
        <v>8</v>
      </c>
      <c r="H418">
        <f ca="1">IF(OR($A418="S",$A418=0),0,MATCH(0,OFFSET($B418,1,$A418,ROW($A$1504)-ROW($A418)),0))</f>
        <v>0</v>
      </c>
      <c r="I418">
        <f ca="1">IF(OR($A418="S",$A418=0),0,MATCH(OFFSET($B418,0,$A418)+1,OFFSET($B418,1,$A418,ROW($A$1504)-ROW($A418)),0))</f>
        <v>0</v>
      </c>
      <c r="J418" s="132" t="s">
        <v>29</v>
      </c>
      <c r="K418" s="121" t="str">
        <f t="shared" ca="1" si="479"/>
        <v>6.1.8.</v>
      </c>
      <c r="L418" s="137" t="str">
        <f t="shared" ca="1" si="480"/>
        <v>Cotação</v>
      </c>
      <c r="M418" s="122" t="s">
        <v>80</v>
      </c>
      <c r="N418" s="139" t="s">
        <v>151</v>
      </c>
      <c r="O418" s="137" t="str">
        <f t="shared" ca="1" si="481"/>
        <v>Locação de mesas</v>
      </c>
      <c r="P418" s="138" t="str">
        <f t="shared" ca="1" si="482"/>
        <v>Unidade</v>
      </c>
      <c r="Q418" s="134">
        <v>30</v>
      </c>
      <c r="R418" s="124">
        <f t="shared" ca="1" si="483"/>
        <v>3</v>
      </c>
      <c r="S418" s="136" t="s">
        <v>62</v>
      </c>
      <c r="T418" s="123">
        <f t="shared" ca="1" si="484"/>
        <v>3.75</v>
      </c>
      <c r="U418" s="126">
        <f t="shared" ca="1" si="485"/>
        <v>112.5</v>
      </c>
      <c r="V418" s="1"/>
      <c r="W418" s="39" t="str">
        <f ca="1">IF(OR($A418=0,$A418="S",$A418&gt;CFF!$A$9),"",MAX(W$11:OFFSET(W418,-1,0))+1)</f>
        <v/>
      </c>
      <c r="X418" s="4" t="str">
        <f t="shared" si="486"/>
        <v>Serv. Terc.-003</v>
      </c>
      <c r="Y418" s="39">
        <f t="shared" ca="1" si="487"/>
        <v>83</v>
      </c>
      <c r="Z418" s="1"/>
      <c r="AA418" s="133">
        <f>IF($J418=$G$2,ROUND(IF(ISNUMBER(S418),S418,IF(LEFT(S418,2)="DI",HLOOKUP(S418,DADOS!$T$29:$X$30,2,FALSE),0)),4),"")</f>
        <v>0.25</v>
      </c>
      <c r="AB418" s="2"/>
    </row>
    <row r="419" spans="1:28">
      <c r="A419" t="str">
        <f t="shared" si="472"/>
        <v>S</v>
      </c>
      <c r="B419">
        <f t="shared" si="473"/>
        <v>0</v>
      </c>
      <c r="C419">
        <f t="shared" ca="1" si="474"/>
        <v>6</v>
      </c>
      <c r="D419">
        <f t="shared" ca="1" si="475"/>
        <v>1</v>
      </c>
      <c r="E419">
        <f t="shared" ca="1" si="476"/>
        <v>0</v>
      </c>
      <c r="F419">
        <f t="shared" ca="1" si="477"/>
        <v>0</v>
      </c>
      <c r="G419">
        <f t="shared" ca="1" si="478"/>
        <v>9</v>
      </c>
      <c r="H419">
        <f ca="1">IF(OR($A419="S",$A419=0),0,MATCH(0,OFFSET($B419,1,$A419,ROW($A$1504)-ROW($A419)),0))</f>
        <v>0</v>
      </c>
      <c r="I419">
        <f ca="1">IF(OR($A419="S",$A419=0),0,MATCH(OFFSET($B419,0,$A419)+1,OFFSET($B419,1,$A419,ROW($A$1504)-ROW($A419)),0))</f>
        <v>0</v>
      </c>
      <c r="J419" s="132" t="s">
        <v>29</v>
      </c>
      <c r="K419" s="121" t="str">
        <f t="shared" ca="1" si="479"/>
        <v>6.1.9.</v>
      </c>
      <c r="L419" s="137" t="str">
        <f t="shared" ca="1" si="480"/>
        <v>Cotação</v>
      </c>
      <c r="M419" s="122" t="s">
        <v>80</v>
      </c>
      <c r="N419" s="139" t="s">
        <v>153</v>
      </c>
      <c r="O419" s="137" t="str">
        <f t="shared" ca="1" si="481"/>
        <v>Locação de cadeiras</v>
      </c>
      <c r="P419" s="138" t="str">
        <f t="shared" ca="1" si="482"/>
        <v>Unidade</v>
      </c>
      <c r="Q419" s="134">
        <v>200</v>
      </c>
      <c r="R419" s="124">
        <f t="shared" ca="1" si="483"/>
        <v>2</v>
      </c>
      <c r="S419" s="136" t="s">
        <v>62</v>
      </c>
      <c r="T419" s="123">
        <f t="shared" ca="1" si="484"/>
        <v>2.5</v>
      </c>
      <c r="U419" s="126">
        <f t="shared" ca="1" si="485"/>
        <v>500</v>
      </c>
      <c r="V419" s="1"/>
      <c r="W419" s="39" t="str">
        <f ca="1">IF(OR($A419=0,$A419="S",$A419&gt;CFF!$A$9),"",MAX(W$11:OFFSET(W419,-1,0))+1)</f>
        <v/>
      </c>
      <c r="X419" s="4" t="str">
        <f t="shared" si="486"/>
        <v>Serv. Terc.-004</v>
      </c>
      <c r="Y419" s="39">
        <f t="shared" ca="1" si="487"/>
        <v>84</v>
      </c>
      <c r="Z419" s="1"/>
      <c r="AA419" s="133">
        <f>IF($J419=$G$2,ROUND(IF(ISNUMBER(S419),S419,IF(LEFT(S419,2)="DI",HLOOKUP(S419,DADOS!$T$29:$X$30,2,FALSE),0)),4),"")</f>
        <v>0.25</v>
      </c>
      <c r="AB419" s="2"/>
    </row>
    <row r="420" spans="1:28">
      <c r="A420" t="str">
        <f t="shared" si="472"/>
        <v>S</v>
      </c>
      <c r="B420">
        <f t="shared" si="473"/>
        <v>0</v>
      </c>
      <c r="C420">
        <f t="shared" ca="1" si="474"/>
        <v>6</v>
      </c>
      <c r="D420">
        <f t="shared" ca="1" si="475"/>
        <v>1</v>
      </c>
      <c r="E420">
        <f t="shared" ca="1" si="476"/>
        <v>0</v>
      </c>
      <c r="F420">
        <f t="shared" ca="1" si="477"/>
        <v>0</v>
      </c>
      <c r="G420">
        <f t="shared" ca="1" si="478"/>
        <v>10</v>
      </c>
      <c r="H420">
        <f ca="1">IF(OR($A420="S",$A420=0),0,MATCH(0,OFFSET($B420,1,$A420,ROW($A$1504)-ROW($A420)),0))</f>
        <v>0</v>
      </c>
      <c r="I420">
        <f ca="1">IF(OR($A420="S",$A420=0),0,MATCH(OFFSET($B420,0,$A420)+1,OFFSET($B420,1,$A420,ROW($A$1504)-ROW($A420)),0))</f>
        <v>0</v>
      </c>
      <c r="J420" s="132" t="s">
        <v>29</v>
      </c>
      <c r="K420" s="121" t="str">
        <f t="shared" ca="1" si="479"/>
        <v>6.1.10.</v>
      </c>
      <c r="L420" s="137" t="str">
        <f t="shared" ca="1" si="480"/>
        <v>Cotação</v>
      </c>
      <c r="M420" s="122" t="s">
        <v>80</v>
      </c>
      <c r="N420" s="139" t="s">
        <v>154</v>
      </c>
      <c r="O420" s="137" t="str">
        <f t="shared" ca="1" si="481"/>
        <v>Locação de caixa térmica</v>
      </c>
      <c r="P420" s="138" t="str">
        <f t="shared" ca="1" si="482"/>
        <v>Unidade</v>
      </c>
      <c r="Q420" s="134">
        <v>2</v>
      </c>
      <c r="R420" s="124">
        <f t="shared" ca="1" si="483"/>
        <v>40</v>
      </c>
      <c r="S420" s="136" t="s">
        <v>62</v>
      </c>
      <c r="T420" s="123">
        <f t="shared" ca="1" si="484"/>
        <v>50</v>
      </c>
      <c r="U420" s="126">
        <f t="shared" ca="1" si="485"/>
        <v>100</v>
      </c>
      <c r="V420" s="1"/>
      <c r="W420" s="39" t="str">
        <f ca="1">IF(OR($A420=0,$A420="S",$A420&gt;CFF!$A$9),"",MAX(W$11:OFFSET(W420,-1,0))+1)</f>
        <v/>
      </c>
      <c r="X420" s="4" t="str">
        <f t="shared" si="486"/>
        <v>Serv. Terc.-005</v>
      </c>
      <c r="Y420" s="39">
        <f t="shared" ca="1" si="487"/>
        <v>85</v>
      </c>
      <c r="Z420" s="1"/>
      <c r="AA420" s="133">
        <f>IF($J420=$G$2,ROUND(IF(ISNUMBER(S420),S420,IF(LEFT(S420,2)="DI",HLOOKUP(S420,DADOS!$T$29:$X$30,2,FALSE),0)),4),"")</f>
        <v>0.25</v>
      </c>
      <c r="AB420" s="2"/>
    </row>
    <row r="421" spans="1:28">
      <c r="A421" t="str">
        <f t="shared" si="472"/>
        <v>S</v>
      </c>
      <c r="B421">
        <f t="shared" si="473"/>
        <v>0</v>
      </c>
      <c r="C421">
        <f t="shared" ca="1" si="474"/>
        <v>6</v>
      </c>
      <c r="D421">
        <f t="shared" ca="1" si="475"/>
        <v>1</v>
      </c>
      <c r="E421">
        <f t="shared" ca="1" si="476"/>
        <v>0</v>
      </c>
      <c r="F421">
        <f t="shared" ca="1" si="477"/>
        <v>0</v>
      </c>
      <c r="G421">
        <f t="shared" ca="1" si="478"/>
        <v>11</v>
      </c>
      <c r="H421">
        <f ca="1">IF(OR($A421="S",$A421=0),0,MATCH(0,OFFSET($B421,1,$A421,ROW($A$1504)-ROW($A421)),0))</f>
        <v>0</v>
      </c>
      <c r="I421">
        <f ca="1">IF(OR($A421="S",$A421=0),0,MATCH(OFFSET($B421,0,$A421)+1,OFFSET($B421,1,$A421,ROW($A$1504)-ROW($A421)),0))</f>
        <v>0</v>
      </c>
      <c r="J421" s="132" t="s">
        <v>29</v>
      </c>
      <c r="K421" s="121" t="str">
        <f t="shared" ca="1" si="479"/>
        <v>6.1.11.</v>
      </c>
      <c r="L421" s="137" t="str">
        <f t="shared" ca="1" si="480"/>
        <v>Cotação</v>
      </c>
      <c r="M421" s="122" t="s">
        <v>80</v>
      </c>
      <c r="N421" s="139" t="s">
        <v>155</v>
      </c>
      <c r="O421" s="137" t="str">
        <f t="shared" ca="1" si="481"/>
        <v>Locação de tendas</v>
      </c>
      <c r="P421" s="138" t="str">
        <f t="shared" ca="1" si="482"/>
        <v>Unidade</v>
      </c>
      <c r="Q421" s="134">
        <v>3</v>
      </c>
      <c r="R421" s="124">
        <f t="shared" ca="1" si="483"/>
        <v>250</v>
      </c>
      <c r="S421" s="136" t="s">
        <v>62</v>
      </c>
      <c r="T421" s="123">
        <f t="shared" ca="1" si="484"/>
        <v>312.5</v>
      </c>
      <c r="U421" s="126">
        <f t="shared" ca="1" si="485"/>
        <v>937.5</v>
      </c>
      <c r="V421" s="1"/>
      <c r="W421" s="39" t="str">
        <f ca="1">IF(OR($A421=0,$A421="S",$A421&gt;CFF!$A$9),"",MAX(W$11:OFFSET(W421,-1,0))+1)</f>
        <v/>
      </c>
      <c r="X421" s="4" t="str">
        <f t="shared" si="486"/>
        <v>Serv. Terc.-006</v>
      </c>
      <c r="Y421" s="39">
        <f t="shared" ca="1" si="487"/>
        <v>86</v>
      </c>
      <c r="Z421" s="1"/>
      <c r="AA421" s="133">
        <f>IF($J421=$G$2,ROUND(IF(ISNUMBER(S421),S421,IF(LEFT(S421,2)="DI",HLOOKUP(S421,DADOS!$T$29:$X$30,2,FALSE),0)),4),"")</f>
        <v>0.25</v>
      </c>
      <c r="AB421" s="2"/>
    </row>
    <row r="422" spans="1:28">
      <c r="A422" t="str">
        <f t="shared" si="472"/>
        <v>S</v>
      </c>
      <c r="B422">
        <f t="shared" si="473"/>
        <v>0</v>
      </c>
      <c r="C422">
        <f t="shared" ca="1" si="474"/>
        <v>6</v>
      </c>
      <c r="D422">
        <f t="shared" ca="1" si="475"/>
        <v>1</v>
      </c>
      <c r="E422">
        <f t="shared" ca="1" si="476"/>
        <v>0</v>
      </c>
      <c r="F422">
        <f t="shared" ca="1" si="477"/>
        <v>0</v>
      </c>
      <c r="G422">
        <f t="shared" ca="1" si="478"/>
        <v>12</v>
      </c>
      <c r="H422">
        <f ca="1">IF(OR($A422="S",$A422=0),0,MATCH(0,OFFSET($B422,1,$A422,ROW($A$1504)-ROW($A422)),0))</f>
        <v>0</v>
      </c>
      <c r="I422">
        <f ca="1">IF(OR($A422="S",$A422=0),0,MATCH(OFFSET($B422,0,$A422)+1,OFFSET($B422,1,$A422,ROW($A$1504)-ROW($A422)),0))</f>
        <v>0</v>
      </c>
      <c r="J422" s="132" t="s">
        <v>29</v>
      </c>
      <c r="K422" s="121" t="str">
        <f t="shared" ca="1" si="479"/>
        <v>6.1.12.</v>
      </c>
      <c r="L422" s="137" t="str">
        <f t="shared" ca="1" si="480"/>
        <v>Cotação</v>
      </c>
      <c r="M422" s="122" t="s">
        <v>80</v>
      </c>
      <c r="N422" s="139" t="s">
        <v>161</v>
      </c>
      <c r="O422" s="137" t="str">
        <f t="shared" ca="1" si="481"/>
        <v>Água (garrafão de 20 litros)</v>
      </c>
      <c r="P422" s="138" t="str">
        <f t="shared" ca="1" si="482"/>
        <v>Unidade</v>
      </c>
      <c r="Q422" s="134">
        <v>2</v>
      </c>
      <c r="R422" s="124">
        <f t="shared" ca="1" si="483"/>
        <v>10</v>
      </c>
      <c r="S422" s="136" t="s">
        <v>62</v>
      </c>
      <c r="T422" s="123">
        <f t="shared" ca="1" si="484"/>
        <v>12.5</v>
      </c>
      <c r="U422" s="126">
        <f t="shared" ca="1" si="485"/>
        <v>25</v>
      </c>
      <c r="V422" s="1"/>
      <c r="W422" s="39" t="str">
        <f ca="1">IF(OR($A422=0,$A422="S",$A422&gt;CFF!$A$9),"",MAX(W$11:OFFSET(W422,-1,0))+1)</f>
        <v/>
      </c>
      <c r="X422" s="4" t="str">
        <f t="shared" si="486"/>
        <v>Serv. Terc.-012</v>
      </c>
      <c r="Y422" s="39">
        <f t="shared" ca="1" si="487"/>
        <v>92</v>
      </c>
      <c r="Z422" s="1"/>
      <c r="AA422" s="133">
        <f>IF($J422=$G$2,ROUND(IF(ISNUMBER(S422),S422,IF(LEFT(S422,2)="DI",HLOOKUP(S422,DADOS!$T$29:$X$30,2,FALSE),0)),4),"")</f>
        <v>0.25</v>
      </c>
      <c r="AB422" s="2"/>
    </row>
    <row r="423" spans="1:28">
      <c r="A423" t="str">
        <f t="shared" si="472"/>
        <v>S</v>
      </c>
      <c r="B423">
        <f t="shared" si="473"/>
        <v>0</v>
      </c>
      <c r="C423">
        <f t="shared" ca="1" si="474"/>
        <v>6</v>
      </c>
      <c r="D423">
        <f t="shared" ca="1" si="475"/>
        <v>1</v>
      </c>
      <c r="E423">
        <f t="shared" ca="1" si="476"/>
        <v>0</v>
      </c>
      <c r="F423">
        <f t="shared" ca="1" si="477"/>
        <v>0</v>
      </c>
      <c r="G423">
        <f t="shared" ca="1" si="478"/>
        <v>13</v>
      </c>
      <c r="H423">
        <f ca="1">IF(OR($A423="S",$A423=0),0,MATCH(0,OFFSET($B423,1,$A423,ROW($A$1504)-ROW($A423)),0))</f>
        <v>0</v>
      </c>
      <c r="I423">
        <f ca="1">IF(OR($A423="S",$A423=0),0,MATCH(OFFSET($B423,0,$A423)+1,OFFSET($B423,1,$A423,ROW($A$1504)-ROW($A423)),0))</f>
        <v>0</v>
      </c>
      <c r="J423" s="132" t="s">
        <v>29</v>
      </c>
      <c r="K423" s="121" t="str">
        <f t="shared" ca="1" si="479"/>
        <v>6.1.13.</v>
      </c>
      <c r="L423" s="137" t="str">
        <f t="shared" ca="1" si="480"/>
        <v xml:space="preserve">Cotação </v>
      </c>
      <c r="M423" s="122" t="s">
        <v>80</v>
      </c>
      <c r="N423" s="139" t="s">
        <v>160</v>
      </c>
      <c r="O423" s="137" t="str">
        <f t="shared" ca="1" si="481"/>
        <v>Barra de gelo</v>
      </c>
      <c r="P423" s="138" t="str">
        <f t="shared" ca="1" si="482"/>
        <v>Unidade</v>
      </c>
      <c r="Q423" s="134">
        <v>6</v>
      </c>
      <c r="R423" s="124">
        <f t="shared" ca="1" si="483"/>
        <v>12</v>
      </c>
      <c r="S423" s="136" t="s">
        <v>62</v>
      </c>
      <c r="T423" s="123">
        <f t="shared" ca="1" si="484"/>
        <v>15</v>
      </c>
      <c r="U423" s="126">
        <f t="shared" ca="1" si="485"/>
        <v>90</v>
      </c>
      <c r="V423" s="1"/>
      <c r="W423" s="39" t="str">
        <f ca="1">IF(OR($A423=0,$A423="S",$A423&gt;CFF!$A$9),"",MAX(W$11:OFFSET(W423,-1,0))+1)</f>
        <v/>
      </c>
      <c r="X423" s="4" t="str">
        <f t="shared" si="486"/>
        <v>Serv. Terc.-011</v>
      </c>
      <c r="Y423" s="39">
        <f t="shared" ca="1" si="487"/>
        <v>91</v>
      </c>
      <c r="Z423" s="1"/>
      <c r="AA423" s="133">
        <f>IF($J423=$G$2,ROUND(IF(ISNUMBER(S423),S423,IF(LEFT(S423,2)="DI",HLOOKUP(S423,DADOS!$T$29:$X$30,2,FALSE),0)),4),"")</f>
        <v>0.25</v>
      </c>
      <c r="AB423" s="2"/>
    </row>
    <row r="424" spans="1:28">
      <c r="A424" t="str">
        <f t="shared" si="472"/>
        <v>S</v>
      </c>
      <c r="B424">
        <f t="shared" si="473"/>
        <v>0</v>
      </c>
      <c r="C424">
        <f t="shared" ca="1" si="474"/>
        <v>6</v>
      </c>
      <c r="D424">
        <f t="shared" ca="1" si="475"/>
        <v>1</v>
      </c>
      <c r="E424">
        <f t="shared" ca="1" si="476"/>
        <v>0</v>
      </c>
      <c r="F424">
        <f t="shared" ca="1" si="477"/>
        <v>0</v>
      </c>
      <c r="G424">
        <f t="shared" ca="1" si="478"/>
        <v>14</v>
      </c>
      <c r="H424">
        <f ca="1">IF(OR($A424="S",$A424=0),0,MATCH(0,OFFSET($B424,1,$A424,ROW($A$1504)-ROW($A424)),0))</f>
        <v>0</v>
      </c>
      <c r="I424">
        <f ca="1">IF(OR($A424="S",$A424=0),0,MATCH(OFFSET($B424,0,$A424)+1,OFFSET($B424,1,$A424,ROW($A$1504)-ROW($A424)),0))</f>
        <v>0</v>
      </c>
      <c r="J424" s="132" t="s">
        <v>29</v>
      </c>
      <c r="K424" s="121" t="str">
        <f t="shared" ca="1" si="479"/>
        <v>6.1.14.</v>
      </c>
      <c r="L424" s="137" t="str">
        <f t="shared" ca="1" si="480"/>
        <v>Cotação</v>
      </c>
      <c r="M424" s="122" t="s">
        <v>80</v>
      </c>
      <c r="N424" s="139" t="s">
        <v>150</v>
      </c>
      <c r="O424" s="137" t="str">
        <f t="shared" ca="1" si="481"/>
        <v>Sucos</v>
      </c>
      <c r="P424" s="138" t="str">
        <f t="shared" ca="1" si="482"/>
        <v>Unidade</v>
      </c>
      <c r="Q424" s="134">
        <v>6</v>
      </c>
      <c r="R424" s="124">
        <f t="shared" ca="1" si="483"/>
        <v>6.4</v>
      </c>
      <c r="S424" s="136" t="s">
        <v>62</v>
      </c>
      <c r="T424" s="123">
        <f t="shared" ca="1" si="484"/>
        <v>8</v>
      </c>
      <c r="U424" s="126">
        <f t="shared" ca="1" si="485"/>
        <v>48</v>
      </c>
      <c r="V424" s="1"/>
      <c r="W424" s="39" t="str">
        <f ca="1">IF(OR($A424=0,$A424="S",$A424&gt;CFF!$A$9),"",MAX(W$11:OFFSET(W424,-1,0))+1)</f>
        <v/>
      </c>
      <c r="X424" s="4" t="str">
        <f t="shared" si="486"/>
        <v>Serv. Terc.-013</v>
      </c>
      <c r="Y424" s="39">
        <f t="shared" ca="1" si="487"/>
        <v>93</v>
      </c>
      <c r="Z424" s="1"/>
      <c r="AA424" s="133">
        <f>IF($J424=$G$2,ROUND(IF(ISNUMBER(S424),S424,IF(LEFT(S424,2)="DI",HLOOKUP(S424,DADOS!$T$29:$X$30,2,FALSE),0)),4),"")</f>
        <v>0.25</v>
      </c>
      <c r="AB424" s="2"/>
    </row>
    <row r="425" spans="1:28">
      <c r="A425" t="str">
        <f>CHOOSE(1+LOG(1+2*(J425=$C$2)+4*(J425=$D$2)+8*(J425=$E$2)+16*(J425=$F$2)+32*(J425=$G$2),2),0,1,2,3,4,"S")</f>
        <v>S</v>
      </c>
      <c r="B425">
        <f>IF(OR(A425="S",A425=0),0,IF(ISERROR(I425),H425,SMALL(H425:I425,1)))</f>
        <v>0</v>
      </c>
      <c r="C425">
        <f ca="1">IF($A425=1,OFFSET(C425,-1,0)+1,OFFSET(C425,-1,0))</f>
        <v>6</v>
      </c>
      <c r="D425">
        <f ca="1">IF($A425=1,0,IF($A425=2,OFFSET(D425,-1,0)+1,OFFSET(D425,-1,0)))</f>
        <v>1</v>
      </c>
      <c r="E425">
        <f ca="1">IF(AND($A425&lt;=2,$A425&lt;&gt;0),0,IF($A425=3,OFFSET(E425,-1,0)+1,OFFSET(E425,-1,0)))</f>
        <v>0</v>
      </c>
      <c r="F425">
        <f ca="1">IF(AND($A425&lt;=3,$A425&lt;&gt;0),0,IF($A425=4,OFFSET(F425,-1,0)+1,OFFSET(F425,-1,0)))</f>
        <v>0</v>
      </c>
      <c r="G425">
        <f ca="1">IF(AND($A425&lt;=4,$A425&lt;&gt;0),0,IF($A425="S",OFFSET(G425,-1,0)+1,OFFSET(G425,-1,0)))</f>
        <v>15</v>
      </c>
      <c r="H425">
        <f ca="1">IF(OR($A425="S",$A425=0),0,MATCH(0,OFFSET($B425,1,$A425,ROW($A$1504)-ROW($A425)),0))</f>
        <v>0</v>
      </c>
      <c r="I425">
        <f ca="1">IF(OR($A425="S",$A425=0),0,MATCH(OFFSET($B425,0,$A425)+1,OFFSET($B425,1,$A425,ROW($A$1504)-ROW($A425)),0))</f>
        <v>0</v>
      </c>
      <c r="J425" s="132" t="s">
        <v>29</v>
      </c>
      <c r="K425" s="121" t="str">
        <f ca="1">IF($A425=0,"-",CONCATENATE(C425&amp;".",IF(AND($A$5&gt;=2,$A425&gt;=2),D425&amp;".",""),IF(AND($A$5&gt;=3,$A425&gt;=3),E425&amp;".",""),IF(AND($A$5&gt;=4,$A425&gt;=4),F425&amp;".",""),IF($A425="S",G425&amp;".","")))</f>
        <v>6.1.15.</v>
      </c>
      <c r="L425" s="137" t="str">
        <f ca="1">IF(NOT(ISERROR($Y425)),IF($Y425&lt;&gt;FALSE,INDEX(Banco,$Y425,4),""),"")</f>
        <v>Cotação</v>
      </c>
      <c r="M425" s="122" t="s">
        <v>80</v>
      </c>
      <c r="N425" s="139" t="s">
        <v>171</v>
      </c>
      <c r="O425" s="137" t="str">
        <f ca="1">IF(NOT(ISERROR($Y425)),IF($Y425&lt;&gt;FALSE,INDEX(Banco,$Y425,5),""),"")</f>
        <v xml:space="preserve">Refrigerantes (02 litros) </v>
      </c>
      <c r="P425" s="138" t="str">
        <f ca="1">IF(NOT(ISERROR($Y425)),IF($Y425&lt;&gt;FALSE,INDEX(Banco,$Y425,6),""),"")</f>
        <v>Unidade</v>
      </c>
      <c r="Q425" s="134">
        <v>20</v>
      </c>
      <c r="R425" s="124">
        <f ca="1">IF(NOT(ISERROR($Y425)),IF($Y425&lt;&gt;FALSE,INDEX(Banco,$Y425,7),0),0)</f>
        <v>6</v>
      </c>
      <c r="S425" s="136" t="s">
        <v>62</v>
      </c>
      <c r="T425" s="123">
        <f ca="1">IF($J425=$G$2,ROUND(ROUND($R425,2)*IF($R$9="Preço Unitário (R$)",1,1+$AA425),2),0)</f>
        <v>7.5</v>
      </c>
      <c r="U425" s="126">
        <f ca="1">IF($A425="S",VTOTAL1,IF($A425=0,0,ROUND(SomaAgrup,2)))</f>
        <v>150</v>
      </c>
      <c r="V425" s="1"/>
      <c r="W425" s="39" t="str">
        <f ca="1">IF(OR($A425=0,$A425="S",$A425&gt;CFF!$A$9),"",MAX(W$11:OFFSET(W425,-1,0))+1)</f>
        <v/>
      </c>
      <c r="X425" s="4" t="str">
        <f>IF(AND($J425=$G$2,$N425&lt;&gt;"",$M425&lt;&gt;""),CONCATENATE($M425,"-",$N425))</f>
        <v>Serv. Terc.-027</v>
      </c>
      <c r="Y425" s="39">
        <f ca="1">IF(X425&lt;&gt;FALSE,MATCH(X425,OFFSET(Banco,0,0,,1),0))</f>
        <v>107</v>
      </c>
      <c r="Z425" s="1"/>
      <c r="AA425" s="133">
        <f>IF($J425=$G$2,ROUND(IF(ISNUMBER(S425),S425,IF(LEFT(S425,2)="DI",HLOOKUP(S425,DADOS!$T$29:$X$30,2,FALSE),0)),4),"")</f>
        <v>0.25</v>
      </c>
      <c r="AB425" s="2"/>
    </row>
    <row r="426" spans="1:28">
      <c r="A426" t="str">
        <f t="shared" si="472"/>
        <v>S</v>
      </c>
      <c r="B426">
        <f t="shared" si="473"/>
        <v>0</v>
      </c>
      <c r="C426">
        <f t="shared" ca="1" si="474"/>
        <v>6</v>
      </c>
      <c r="D426">
        <f t="shared" ca="1" si="475"/>
        <v>1</v>
      </c>
      <c r="E426">
        <f t="shared" ca="1" si="476"/>
        <v>0</v>
      </c>
      <c r="F426">
        <f t="shared" ca="1" si="477"/>
        <v>0</v>
      </c>
      <c r="G426">
        <f t="shared" ca="1" si="478"/>
        <v>16</v>
      </c>
      <c r="H426">
        <f ca="1">IF(OR($A426="S",$A426=0),0,MATCH(0,OFFSET($B426,1,$A426,ROW($A$1504)-ROW($A426)),0))</f>
        <v>0</v>
      </c>
      <c r="I426">
        <f ca="1">IF(OR($A426="S",$A426=0),0,MATCH(OFFSET($B426,0,$A426)+1,OFFSET($B426,1,$A426,ROW($A$1504)-ROW($A426)),0))</f>
        <v>0</v>
      </c>
      <c r="J426" s="132" t="s">
        <v>29</v>
      </c>
      <c r="K426" s="121" t="str">
        <f t="shared" ca="1" si="479"/>
        <v>6.1.16.</v>
      </c>
      <c r="L426" s="137" t="str">
        <f t="shared" ca="1" si="480"/>
        <v xml:space="preserve">Cotação </v>
      </c>
      <c r="M426" s="122" t="s">
        <v>80</v>
      </c>
      <c r="N426" s="139" t="s">
        <v>159</v>
      </c>
      <c r="O426" s="137" t="str">
        <f t="shared" ca="1" si="481"/>
        <v>Brindes ( descrição nos orçamentos e PTS)</v>
      </c>
      <c r="P426" s="138" t="str">
        <f t="shared" ca="1" si="482"/>
        <v>Unidade</v>
      </c>
      <c r="Q426" s="134">
        <v>8</v>
      </c>
      <c r="R426" s="124">
        <f t="shared" ca="1" si="483"/>
        <v>120</v>
      </c>
      <c r="S426" s="136" t="s">
        <v>62</v>
      </c>
      <c r="T426" s="123">
        <f t="shared" ca="1" si="484"/>
        <v>150</v>
      </c>
      <c r="U426" s="126">
        <f t="shared" ca="1" si="485"/>
        <v>1200</v>
      </c>
      <c r="V426" s="1"/>
      <c r="W426" s="39" t="str">
        <f ca="1">IF(OR($A426=0,$A426="S",$A426&gt;CFF!$A$9),"",MAX(W$11:OFFSET(W426,-1,0))+1)</f>
        <v/>
      </c>
      <c r="X426" s="4" t="str">
        <f t="shared" si="486"/>
        <v>Serv. Terc.-010</v>
      </c>
      <c r="Y426" s="39">
        <f t="shared" ca="1" si="487"/>
        <v>90</v>
      </c>
      <c r="Z426" s="1"/>
      <c r="AA426" s="133">
        <f>IF($J426=$G$2,ROUND(IF(ISNUMBER(S426),S426,IF(LEFT(S426,2)="DI",HLOOKUP(S426,DADOS!$T$29:$X$30,2,FALSE),0)),4),"")</f>
        <v>0.25</v>
      </c>
      <c r="AB426" s="2"/>
    </row>
    <row r="427" spans="1:28">
      <c r="A427" t="str">
        <f t="shared" si="472"/>
        <v>S</v>
      </c>
      <c r="B427">
        <f t="shared" si="473"/>
        <v>0</v>
      </c>
      <c r="C427">
        <f t="shared" ca="1" si="474"/>
        <v>6</v>
      </c>
      <c r="D427">
        <f t="shared" ca="1" si="475"/>
        <v>1</v>
      </c>
      <c r="E427">
        <f t="shared" ca="1" si="476"/>
        <v>0</v>
      </c>
      <c r="F427">
        <f t="shared" ca="1" si="477"/>
        <v>0</v>
      </c>
      <c r="G427">
        <f t="shared" ca="1" si="478"/>
        <v>17</v>
      </c>
      <c r="H427">
        <f ca="1">IF(OR($A427="S",$A427=0),0,MATCH(0,OFFSET($B427,1,$A427,ROW($A$1504)-ROW($A427)),0))</f>
        <v>0</v>
      </c>
      <c r="I427">
        <f ca="1">IF(OR($A427="S",$A427=0),0,MATCH(OFFSET($B427,0,$A427)+1,OFFSET($B427,1,$A427,ROW($A$1504)-ROW($A427)),0))</f>
        <v>0</v>
      </c>
      <c r="J427" s="132" t="s">
        <v>29</v>
      </c>
      <c r="K427" s="121" t="str">
        <f t="shared" ca="1" si="479"/>
        <v>6.1.17.</v>
      </c>
      <c r="L427" s="137" t="str">
        <f t="shared" ca="1" si="480"/>
        <v>Cotação</v>
      </c>
      <c r="M427" s="122" t="s">
        <v>80</v>
      </c>
      <c r="N427" s="139" t="s">
        <v>162</v>
      </c>
      <c r="O427" s="137" t="str">
        <f t="shared" ca="1" si="481"/>
        <v>Coffee break (salgados)</v>
      </c>
      <c r="P427" s="138" t="str">
        <f t="shared" ca="1" si="482"/>
        <v>Centro</v>
      </c>
      <c r="Q427" s="134">
        <v>24</v>
      </c>
      <c r="R427" s="124">
        <f t="shared" ca="1" si="483"/>
        <v>65</v>
      </c>
      <c r="S427" s="136" t="s">
        <v>62</v>
      </c>
      <c r="T427" s="123">
        <f t="shared" ca="1" si="484"/>
        <v>81.25</v>
      </c>
      <c r="U427" s="126">
        <f t="shared" ca="1" si="485"/>
        <v>1950</v>
      </c>
      <c r="V427" s="1"/>
      <c r="W427" s="39" t="str">
        <f ca="1">IF(OR($A427=0,$A427="S",$A427&gt;CFF!$A$9),"",MAX(W$11:OFFSET(W427,-1,0))+1)</f>
        <v/>
      </c>
      <c r="X427" s="4" t="str">
        <f t="shared" si="486"/>
        <v>Serv. Terc.-015</v>
      </c>
      <c r="Y427" s="39">
        <f t="shared" ca="1" si="487"/>
        <v>95</v>
      </c>
      <c r="Z427" s="1"/>
      <c r="AA427" s="133">
        <f>IF($J427=$G$2,ROUND(IF(ISNUMBER(S427),S427,IF(LEFT(S427,2)="DI",HLOOKUP(S427,DADOS!$T$29:$X$30,2,FALSE),0)),4),"")</f>
        <v>0.25</v>
      </c>
      <c r="AB427" s="2"/>
    </row>
    <row r="428" spans="1:28">
      <c r="A428" t="str">
        <f t="shared" si="472"/>
        <v>S</v>
      </c>
      <c r="B428">
        <f t="shared" si="473"/>
        <v>0</v>
      </c>
      <c r="C428">
        <f t="shared" ca="1" si="474"/>
        <v>6</v>
      </c>
      <c r="D428">
        <f t="shared" ca="1" si="475"/>
        <v>1</v>
      </c>
      <c r="E428">
        <f t="shared" ca="1" si="476"/>
        <v>0</v>
      </c>
      <c r="F428">
        <f t="shared" ca="1" si="477"/>
        <v>0</v>
      </c>
      <c r="G428">
        <f t="shared" ca="1" si="478"/>
        <v>18</v>
      </c>
      <c r="H428">
        <f ca="1">IF(OR($A428="S",$A428=0),0,MATCH(0,OFFSET($B428,1,$A428,ROW($A$1504)-ROW($A428)),0))</f>
        <v>0</v>
      </c>
      <c r="I428">
        <f ca="1">IF(OR($A428="S",$A428=0),0,MATCH(OFFSET($B428,0,$A428)+1,OFFSET($B428,1,$A428,ROW($A$1504)-ROW($A428)),0))</f>
        <v>0</v>
      </c>
      <c r="J428" s="132" t="s">
        <v>29</v>
      </c>
      <c r="K428" s="121" t="str">
        <f t="shared" ca="1" si="479"/>
        <v>6.1.18.</v>
      </c>
      <c r="L428" s="137" t="str">
        <f t="shared" ca="1" si="480"/>
        <v>Cotação</v>
      </c>
      <c r="M428" s="122" t="s">
        <v>79</v>
      </c>
      <c r="N428" s="139" t="s">
        <v>163</v>
      </c>
      <c r="O428" s="137" t="str">
        <f t="shared" ca="1" si="481"/>
        <v>Guloseimas (balas e pirulito)</v>
      </c>
      <c r="P428" s="138" t="str">
        <f t="shared" ca="1" si="482"/>
        <v>Pacote</v>
      </c>
      <c r="Q428" s="134">
        <v>8</v>
      </c>
      <c r="R428" s="124">
        <f t="shared" ca="1" si="483"/>
        <v>12</v>
      </c>
      <c r="S428" s="136" t="s">
        <v>62</v>
      </c>
      <c r="T428" s="123">
        <f t="shared" ca="1" si="484"/>
        <v>15</v>
      </c>
      <c r="U428" s="126">
        <f t="shared" ca="1" si="485"/>
        <v>120</v>
      </c>
      <c r="V428" s="1"/>
      <c r="W428" s="39" t="str">
        <f ca="1">IF(OR($A428=0,$A428="S",$A428&gt;CFF!$A$9),"",MAX(W$11:OFFSET(W428,-1,0))+1)</f>
        <v/>
      </c>
      <c r="X428" s="4" t="str">
        <f t="shared" si="486"/>
        <v>Rec. Materiais-020</v>
      </c>
      <c r="Y428" s="39">
        <f t="shared" ca="1" si="487"/>
        <v>29</v>
      </c>
      <c r="Z428" s="1"/>
      <c r="AA428" s="133">
        <f>IF($J428=$G$2,ROUND(IF(ISNUMBER(S428),S428,IF(LEFT(S428,2)="DI",HLOOKUP(S428,DADOS!$T$29:$X$30,2,FALSE),0)),4),"")</f>
        <v>0.25</v>
      </c>
      <c r="AB428" s="2"/>
    </row>
    <row r="429" spans="1:28">
      <c r="A429" t="str">
        <f t="shared" si="472"/>
        <v>S</v>
      </c>
      <c r="B429">
        <f t="shared" si="473"/>
        <v>0</v>
      </c>
      <c r="C429">
        <f t="shared" ca="1" si="474"/>
        <v>6</v>
      </c>
      <c r="D429">
        <f t="shared" ca="1" si="475"/>
        <v>1</v>
      </c>
      <c r="E429">
        <f t="shared" ca="1" si="476"/>
        <v>0</v>
      </c>
      <c r="F429">
        <f t="shared" ca="1" si="477"/>
        <v>0</v>
      </c>
      <c r="G429">
        <f t="shared" ca="1" si="478"/>
        <v>19</v>
      </c>
      <c r="H429">
        <f ca="1">IF(OR($A429="S",$A429=0),0,MATCH(0,OFFSET($B429,1,$A429,ROW($A$1504)-ROW($A429)),0))</f>
        <v>0</v>
      </c>
      <c r="I429">
        <f ca="1">IF(OR($A429="S",$A429=0),0,MATCH(OFFSET($B429,0,$A429)+1,OFFSET($B429,1,$A429,ROW($A$1504)-ROW($A429)),0))</f>
        <v>0</v>
      </c>
      <c r="J429" s="132" t="s">
        <v>29</v>
      </c>
      <c r="K429" s="121" t="str">
        <f t="shared" ca="1" si="479"/>
        <v>6.1.19.</v>
      </c>
      <c r="L429" s="137" t="str">
        <f t="shared" ca="1" si="480"/>
        <v>Cotação</v>
      </c>
      <c r="M429" s="122" t="s">
        <v>79</v>
      </c>
      <c r="N429" s="139" t="s">
        <v>165</v>
      </c>
      <c r="O429" s="137" t="str">
        <f t="shared" ca="1" si="481"/>
        <v>Papel de presente</v>
      </c>
      <c r="P429" s="138" t="str">
        <f t="shared" ca="1" si="482"/>
        <v>Folhas</v>
      </c>
      <c r="Q429" s="134">
        <v>16</v>
      </c>
      <c r="R429" s="124">
        <f t="shared" ca="1" si="483"/>
        <v>1.5</v>
      </c>
      <c r="S429" s="136" t="s">
        <v>62</v>
      </c>
      <c r="T429" s="123">
        <f t="shared" ca="1" si="484"/>
        <v>1.88</v>
      </c>
      <c r="U429" s="126">
        <f t="shared" ca="1" si="485"/>
        <v>30.08</v>
      </c>
      <c r="V429" s="1"/>
      <c r="W429" s="39" t="str">
        <f ca="1">IF(OR($A429=0,$A429="S",$A429&gt;CFF!$A$9),"",MAX(W$11:OFFSET(W429,-1,0))+1)</f>
        <v/>
      </c>
      <c r="X429" s="4" t="str">
        <f t="shared" si="486"/>
        <v>Rec. Materiais-021</v>
      </c>
      <c r="Y429" s="39">
        <f t="shared" ca="1" si="487"/>
        <v>30</v>
      </c>
      <c r="Z429" s="1"/>
      <c r="AA429" s="133">
        <f>IF($J429=$G$2,ROUND(IF(ISNUMBER(S429),S429,IF(LEFT(S429,2)="DI",HLOOKUP(S429,DADOS!$T$29:$X$30,2,FALSE),0)),4),"")</f>
        <v>0.25</v>
      </c>
      <c r="AB429" s="2"/>
    </row>
    <row r="430" spans="1:28">
      <c r="A430" t="str">
        <f t="shared" si="472"/>
        <v>S</v>
      </c>
      <c r="B430">
        <f t="shared" si="473"/>
        <v>0</v>
      </c>
      <c r="C430">
        <f t="shared" ca="1" si="474"/>
        <v>6</v>
      </c>
      <c r="D430">
        <f t="shared" ca="1" si="475"/>
        <v>1</v>
      </c>
      <c r="E430">
        <f t="shared" ca="1" si="476"/>
        <v>0</v>
      </c>
      <c r="F430">
        <f t="shared" ca="1" si="477"/>
        <v>0</v>
      </c>
      <c r="G430">
        <f t="shared" ca="1" si="478"/>
        <v>20</v>
      </c>
      <c r="H430">
        <f ca="1">IF(OR($A430="S",$A430=0),0,MATCH(0,OFFSET($B430,1,$A430,ROW($A$1504)-ROW($A430)),0))</f>
        <v>0</v>
      </c>
      <c r="I430">
        <f ca="1">IF(OR($A430="S",$A430=0),0,MATCH(OFFSET($B430,0,$A430)+1,OFFSET($B430,1,$A430,ROW($A$1504)-ROW($A430)),0))</f>
        <v>0</v>
      </c>
      <c r="J430" s="132" t="s">
        <v>29</v>
      </c>
      <c r="K430" s="121" t="str">
        <f t="shared" ca="1" si="479"/>
        <v>6.1.20.</v>
      </c>
      <c r="L430" s="137" t="str">
        <f t="shared" ca="1" si="480"/>
        <v>Cotação</v>
      </c>
      <c r="M430" s="122" t="s">
        <v>79</v>
      </c>
      <c r="N430" s="139" t="s">
        <v>170</v>
      </c>
      <c r="O430" s="137" t="str">
        <f t="shared" ca="1" si="481"/>
        <v>Saco de lixo (100 litros)</v>
      </c>
      <c r="P430" s="138" t="str">
        <f t="shared" ca="1" si="482"/>
        <v>Pacote</v>
      </c>
      <c r="Q430" s="134">
        <v>2</v>
      </c>
      <c r="R430" s="124">
        <f t="shared" ca="1" si="483"/>
        <v>15</v>
      </c>
      <c r="S430" s="136" t="s">
        <v>62</v>
      </c>
      <c r="T430" s="123">
        <f t="shared" ca="1" si="484"/>
        <v>18.75</v>
      </c>
      <c r="U430" s="126">
        <f t="shared" ca="1" si="485"/>
        <v>37.5</v>
      </c>
      <c r="V430" s="1"/>
      <c r="W430" s="39" t="str">
        <f ca="1">IF(OR($A430=0,$A430="S",$A430&gt;CFF!$A$9),"",MAX(W$11:OFFSET(W430,-1,0))+1)</f>
        <v/>
      </c>
      <c r="X430" s="4" t="str">
        <f t="shared" si="486"/>
        <v>Rec. Materiais-026</v>
      </c>
      <c r="Y430" s="39">
        <f t="shared" ca="1" si="487"/>
        <v>35</v>
      </c>
      <c r="Z430" s="1"/>
      <c r="AA430" s="133">
        <f>IF($J430=$G$2,ROUND(IF(ISNUMBER(S430),S430,IF(LEFT(S430,2)="DI",HLOOKUP(S430,DADOS!$T$29:$X$30,2,FALSE),0)),4),"")</f>
        <v>0.25</v>
      </c>
      <c r="AB430" s="2"/>
    </row>
    <row r="431" spans="1:28">
      <c r="A431" t="str">
        <f t="shared" si="472"/>
        <v>S</v>
      </c>
      <c r="B431">
        <f t="shared" si="473"/>
        <v>0</v>
      </c>
      <c r="C431">
        <f t="shared" ca="1" si="474"/>
        <v>6</v>
      </c>
      <c r="D431">
        <f t="shared" ca="1" si="475"/>
        <v>1</v>
      </c>
      <c r="E431">
        <f t="shared" ca="1" si="476"/>
        <v>0</v>
      </c>
      <c r="F431">
        <f t="shared" ca="1" si="477"/>
        <v>0</v>
      </c>
      <c r="G431">
        <f t="shared" ca="1" si="478"/>
        <v>21</v>
      </c>
      <c r="H431">
        <f ca="1">IF(OR($A431="S",$A431=0),0,MATCH(0,OFFSET($B431,1,$A431,ROW($A$1504)-ROW($A431)),0))</f>
        <v>0</v>
      </c>
      <c r="I431">
        <f ca="1">IF(OR($A431="S",$A431=0),0,MATCH(OFFSET($B431,0,$A431)+1,OFFSET($B431,1,$A431,ROW($A$1504)-ROW($A431)),0))</f>
        <v>0</v>
      </c>
      <c r="J431" s="132" t="s">
        <v>29</v>
      </c>
      <c r="K431" s="121" t="str">
        <f t="shared" ca="1" si="479"/>
        <v>6.1.21.</v>
      </c>
      <c r="L431" s="137" t="str">
        <f t="shared" ca="1" si="480"/>
        <v>Cotação</v>
      </c>
      <c r="M431" s="122" t="s">
        <v>79</v>
      </c>
      <c r="N431" s="139" t="s">
        <v>149</v>
      </c>
      <c r="O431" s="137" t="str">
        <f t="shared" ca="1" si="481"/>
        <v>Papel A4</v>
      </c>
      <c r="P431" s="138" t="str">
        <f t="shared" ca="1" si="482"/>
        <v>Resma</v>
      </c>
      <c r="Q431" s="134">
        <v>1</v>
      </c>
      <c r="R431" s="124">
        <f t="shared" ca="1" si="483"/>
        <v>28</v>
      </c>
      <c r="S431" s="136" t="s">
        <v>62</v>
      </c>
      <c r="T431" s="123">
        <f t="shared" ca="1" si="484"/>
        <v>35</v>
      </c>
      <c r="U431" s="126">
        <f t="shared" ca="1" si="485"/>
        <v>35</v>
      </c>
      <c r="V431" s="1"/>
      <c r="W431" s="39" t="str">
        <f ca="1">IF(OR($A431=0,$A431="S",$A431&gt;CFF!$A$9),"",MAX(W$11:OFFSET(W431,-1,0))+1)</f>
        <v/>
      </c>
      <c r="X431" s="4" t="str">
        <f t="shared" si="486"/>
        <v>Rec. Materiais-001</v>
      </c>
      <c r="Y431" s="39">
        <f t="shared" ca="1" si="487"/>
        <v>10</v>
      </c>
      <c r="Z431" s="1"/>
      <c r="AA431" s="133">
        <f>IF($J431=$G$2,ROUND(IF(ISNUMBER(S431),S431,IF(LEFT(S431,2)="DI",HLOOKUP(S431,DADOS!$T$29:$X$30,2,FALSE),0)),4),"")</f>
        <v>0.25</v>
      </c>
      <c r="AB431" s="2"/>
    </row>
    <row r="432" spans="1:28">
      <c r="A432" t="str">
        <f t="shared" si="472"/>
        <v>S</v>
      </c>
      <c r="B432">
        <f t="shared" si="473"/>
        <v>0</v>
      </c>
      <c r="C432">
        <f t="shared" ca="1" si="474"/>
        <v>6</v>
      </c>
      <c r="D432">
        <f t="shared" ca="1" si="475"/>
        <v>1</v>
      </c>
      <c r="E432">
        <f t="shared" ca="1" si="476"/>
        <v>0</v>
      </c>
      <c r="F432">
        <f t="shared" ca="1" si="477"/>
        <v>0</v>
      </c>
      <c r="G432">
        <f t="shared" ca="1" si="478"/>
        <v>22</v>
      </c>
      <c r="H432">
        <f ca="1">IF(OR($A432="S",$A432=0),0,MATCH(0,OFFSET($B432,1,$A432,ROW($A$1504)-ROW($A432)),0))</f>
        <v>0</v>
      </c>
      <c r="I432">
        <f ca="1">IF(OR($A432="S",$A432=0),0,MATCH(OFFSET($B432,0,$A432)+1,OFFSET($B432,1,$A432,ROW($A$1504)-ROW($A432)),0))</f>
        <v>0</v>
      </c>
      <c r="J432" s="132" t="s">
        <v>29</v>
      </c>
      <c r="K432" s="121" t="str">
        <f t="shared" ca="1" si="479"/>
        <v>6.1.22.</v>
      </c>
      <c r="L432" s="137" t="str">
        <f t="shared" ca="1" si="480"/>
        <v>Cotação</v>
      </c>
      <c r="M432" s="122" t="s">
        <v>79</v>
      </c>
      <c r="N432" s="139" t="s">
        <v>152</v>
      </c>
      <c r="O432" s="137" t="str">
        <f t="shared" ca="1" si="481"/>
        <v>Toner para impressora</v>
      </c>
      <c r="P432" s="138" t="str">
        <f t="shared" ca="1" si="482"/>
        <v>Unidade</v>
      </c>
      <c r="Q432" s="134">
        <v>4</v>
      </c>
      <c r="R432" s="124">
        <f t="shared" ca="1" si="483"/>
        <v>180</v>
      </c>
      <c r="S432" s="136" t="s">
        <v>62</v>
      </c>
      <c r="T432" s="123">
        <f t="shared" ca="1" si="484"/>
        <v>225</v>
      </c>
      <c r="U432" s="126">
        <f t="shared" ca="1" si="485"/>
        <v>900</v>
      </c>
      <c r="V432" s="1"/>
      <c r="W432" s="39" t="str">
        <f ca="1">IF(OR($A432=0,$A432="S",$A432&gt;CFF!$A$9),"",MAX(W$11:OFFSET(W432,-1,0))+1)</f>
        <v/>
      </c>
      <c r="X432" s="4" t="str">
        <f t="shared" si="486"/>
        <v>Rec. Materiais-002</v>
      </c>
      <c r="Y432" s="39">
        <f t="shared" ca="1" si="487"/>
        <v>11</v>
      </c>
      <c r="Z432" s="1"/>
      <c r="AA432" s="133">
        <f>IF($J432=$G$2,ROUND(IF(ISNUMBER(S432),S432,IF(LEFT(S432,2)="DI",HLOOKUP(S432,DADOS!$T$29:$X$30,2,FALSE),0)),4),"")</f>
        <v>0.25</v>
      </c>
      <c r="AB432" s="2"/>
    </row>
    <row r="433" spans="1:28">
      <c r="A433" t="str">
        <f t="shared" si="472"/>
        <v>S</v>
      </c>
      <c r="B433">
        <f t="shared" si="473"/>
        <v>0</v>
      </c>
      <c r="C433">
        <f t="shared" ca="1" si="474"/>
        <v>6</v>
      </c>
      <c r="D433">
        <f t="shared" ca="1" si="475"/>
        <v>1</v>
      </c>
      <c r="E433">
        <f t="shared" ca="1" si="476"/>
        <v>0</v>
      </c>
      <c r="F433">
        <f t="shared" ca="1" si="477"/>
        <v>0</v>
      </c>
      <c r="G433">
        <f t="shared" ca="1" si="478"/>
        <v>23</v>
      </c>
      <c r="H433">
        <f ca="1">IF(OR($A433="S",$A433=0),0,MATCH(0,OFFSET($B433,1,$A433,ROW($A$1504)-ROW($A433)),0))</f>
        <v>0</v>
      </c>
      <c r="I433">
        <f ca="1">IF(OR($A433="S",$A433=0),0,MATCH(OFFSET($B433,0,$A433)+1,OFFSET($B433,1,$A433,ROW($A$1504)-ROW($A433)),0))</f>
        <v>0</v>
      </c>
      <c r="J433" s="132" t="s">
        <v>29</v>
      </c>
      <c r="K433" s="121" t="str">
        <f t="shared" ca="1" si="479"/>
        <v>6.1.23.</v>
      </c>
      <c r="L433" s="137" t="str">
        <f t="shared" ca="1" si="480"/>
        <v>Cotação</v>
      </c>
      <c r="M433" s="122" t="s">
        <v>79</v>
      </c>
      <c r="N433" s="139" t="s">
        <v>164</v>
      </c>
      <c r="O433" s="137" t="str">
        <f t="shared" ca="1" si="481"/>
        <v>Copos descartáveis (2500 unidades)</v>
      </c>
      <c r="P433" s="138" t="str">
        <f t="shared" ca="1" si="482"/>
        <v>Caixa</v>
      </c>
      <c r="Q433" s="134">
        <v>1</v>
      </c>
      <c r="R433" s="124">
        <f t="shared" ca="1" si="483"/>
        <v>77.400000000000006</v>
      </c>
      <c r="S433" s="136" t="s">
        <v>62</v>
      </c>
      <c r="T433" s="123">
        <f t="shared" ca="1" si="484"/>
        <v>96.75</v>
      </c>
      <c r="U433" s="126">
        <f t="shared" ca="1" si="485"/>
        <v>96.75</v>
      </c>
      <c r="V433" s="1"/>
      <c r="W433" s="39" t="str">
        <f ca="1">IF(OR($A433=0,$A433="S",$A433&gt;CFF!$A$9),"",MAX(W$11:OFFSET(W433,-1,0))+1)</f>
        <v/>
      </c>
      <c r="X433" s="4" t="str">
        <f t="shared" si="486"/>
        <v>Rec. Materiais-019</v>
      </c>
      <c r="Y433" s="39">
        <f t="shared" ca="1" si="487"/>
        <v>28</v>
      </c>
      <c r="Z433" s="1"/>
      <c r="AA433" s="133">
        <f>IF($J433=$G$2,ROUND(IF(ISNUMBER(S433),S433,IF(LEFT(S433,2)="DI",HLOOKUP(S433,DADOS!$T$29:$X$30,2,FALSE),0)),4),"")</f>
        <v>0.25</v>
      </c>
      <c r="AB433" s="2"/>
    </row>
    <row r="434" spans="1:28">
      <c r="A434" t="str">
        <f t="shared" si="472"/>
        <v>S</v>
      </c>
      <c r="B434">
        <f t="shared" si="473"/>
        <v>0</v>
      </c>
      <c r="C434">
        <f t="shared" ca="1" si="474"/>
        <v>6</v>
      </c>
      <c r="D434">
        <f t="shared" ca="1" si="475"/>
        <v>1</v>
      </c>
      <c r="E434">
        <f t="shared" ca="1" si="476"/>
        <v>0</v>
      </c>
      <c r="F434">
        <f t="shared" ca="1" si="477"/>
        <v>0</v>
      </c>
      <c r="G434">
        <f t="shared" ca="1" si="478"/>
        <v>24</v>
      </c>
      <c r="H434">
        <f ca="1">IF(OR($A434="S",$A434=0),0,MATCH(0,OFFSET($B434,1,$A434,ROW($A$1504)-ROW($A434)),0))</f>
        <v>0</v>
      </c>
      <c r="I434">
        <f ca="1">IF(OR($A434="S",$A434=0),0,MATCH(OFFSET($B434,0,$A434)+1,OFFSET($B434,1,$A434,ROW($A$1504)-ROW($A434)),0))</f>
        <v>0</v>
      </c>
      <c r="J434" s="132" t="s">
        <v>29</v>
      </c>
      <c r="K434" s="121" t="str">
        <f t="shared" ca="1" si="479"/>
        <v>6.1.24.</v>
      </c>
      <c r="L434" s="137" t="str">
        <f t="shared" ca="1" si="480"/>
        <v>CREAMT</v>
      </c>
      <c r="M434" s="122" t="s">
        <v>80</v>
      </c>
      <c r="N434" s="139" t="s">
        <v>223</v>
      </c>
      <c r="O434" s="137" t="str">
        <f t="shared" ca="1" si="481"/>
        <v>Engenheiro Agrônomo</v>
      </c>
      <c r="P434" s="138" t="str">
        <f t="shared" ca="1" si="482"/>
        <v>Horas</v>
      </c>
      <c r="Q434" s="134">
        <v>3</v>
      </c>
      <c r="R434" s="124">
        <f t="shared" ca="1" si="483"/>
        <v>197</v>
      </c>
      <c r="S434" s="136" t="s">
        <v>62</v>
      </c>
      <c r="T434" s="123">
        <f t="shared" ca="1" si="484"/>
        <v>246.25</v>
      </c>
      <c r="U434" s="126">
        <f t="shared" ca="1" si="485"/>
        <v>738.75</v>
      </c>
      <c r="V434" s="1"/>
      <c r="W434" s="39" t="str">
        <f ca="1">IF(OR($A434=0,$A434="S",$A434&gt;CFF!$A$9),"",MAX(W$11:OFFSET(W434,-1,0))+1)</f>
        <v/>
      </c>
      <c r="X434" s="4" t="str">
        <f t="shared" si="486"/>
        <v>Serv. Terc.-066</v>
      </c>
      <c r="Y434" s="39">
        <f t="shared" ca="1" si="487"/>
        <v>146</v>
      </c>
      <c r="Z434" s="1"/>
      <c r="AA434" s="133">
        <f>IF($J434=$G$2,ROUND(IF(ISNUMBER(S434),S434,IF(LEFT(S434,2)="DI",HLOOKUP(S434,DADOS!$T$29:$X$30,2,FALSE),0)),4),"")</f>
        <v>0.25</v>
      </c>
      <c r="AB434" s="2"/>
    </row>
    <row r="435" spans="1:28" ht="25.5">
      <c r="A435" t="str">
        <f>CHOOSE(1+LOG(1+2*(J435=$C$2)+4*(J435=$D$2)+8*(J435=$E$2)+16*(J435=$F$2)+32*(J435=$G$2),2),0,1,2,3,4,"S")</f>
        <v>S</v>
      </c>
      <c r="B435">
        <f>IF(OR(A435="S",A435=0),0,IF(ISERROR(I435),H435,SMALL(H435:I435,1)))</f>
        <v>0</v>
      </c>
      <c r="C435">
        <f ca="1">IF($A435=1,OFFSET(C435,-1,0)+1,OFFSET(C435,-1,0))</f>
        <v>6</v>
      </c>
      <c r="D435">
        <f ca="1">IF($A435=1,0,IF($A435=2,OFFSET(D435,-1,0)+1,OFFSET(D435,-1,0)))</f>
        <v>1</v>
      </c>
      <c r="E435">
        <f ca="1">IF(AND($A435&lt;=2,$A435&lt;&gt;0),0,IF($A435=3,OFFSET(E435,-1,0)+1,OFFSET(E435,-1,0)))</f>
        <v>0</v>
      </c>
      <c r="F435">
        <f ca="1">IF(AND($A435&lt;=3,$A435&lt;&gt;0),0,IF($A435=4,OFFSET(F435,-1,0)+1,OFFSET(F435,-1,0)))</f>
        <v>0</v>
      </c>
      <c r="G435">
        <f ca="1">IF(AND($A435&lt;=4,$A435&lt;&gt;0),0,IF($A435="S",OFFSET(G435,-1,0)+1,OFFSET(G435,-1,0)))</f>
        <v>25</v>
      </c>
      <c r="H435">
        <f ca="1">IF(OR($A435="S",$A435=0),0,MATCH(0,OFFSET($B435,1,$A435,ROW($A$1504)-ROW($A435)),0))</f>
        <v>0</v>
      </c>
      <c r="I435">
        <f ca="1">IF(OR($A435="S",$A435=0),0,MATCH(OFFSET($B435,0,$A435)+1,OFFSET($B435,1,$A435,ROW($A$1504)-ROW($A435)),0))</f>
        <v>0</v>
      </c>
      <c r="J435" s="132" t="s">
        <v>29</v>
      </c>
      <c r="K435" s="121" t="str">
        <f ca="1">IF($A435=0,"-",CONCATENATE(C435&amp;".",IF(AND($A$5&gt;=2,$A435&gt;=2),D435&amp;".",""),IF(AND($A$5&gt;=3,$A435&gt;=3),E435&amp;".",""),IF(AND($A$5&gt;=4,$A435&gt;=4),F435&amp;".",""),IF($A435="S",G435&amp;".","")))</f>
        <v>6.1.25.</v>
      </c>
      <c r="L435" s="137" t="str">
        <f ca="1">IF(NOT(ISERROR($Y435)),IF($Y435&lt;&gt;FALSE,INDEX(Banco,$Y435,4),""),"")</f>
        <v>Cotação</v>
      </c>
      <c r="M435" s="122" t="s">
        <v>79</v>
      </c>
      <c r="N435" s="139" t="s">
        <v>245</v>
      </c>
      <c r="O435" s="137" t="str">
        <f ca="1">IF(NOT(ISERROR($Y435)),IF($Y435&lt;&gt;FALSE,INDEX(Banco,$Y435,5),""),"")</f>
        <v>KIT 01 - Oficina de como manter vasos e canteiros de plantas medicinais. Materias dos alunos ( floreira, sementes, mudas ornamentais e medicinais)</v>
      </c>
      <c r="P435" s="138" t="str">
        <f ca="1">IF(NOT(ISERROR($Y435)),IF($Y435&lt;&gt;FALSE,INDEX(Banco,$Y435,6),""),"")</f>
        <v>KITS</v>
      </c>
      <c r="Q435" s="134">
        <v>46</v>
      </c>
      <c r="R435" s="124">
        <f ca="1">IF(NOT(ISERROR($Y435)),IF($Y435&lt;&gt;FALSE,INDEX(Banco,$Y435,7),0),0)</f>
        <v>29.48</v>
      </c>
      <c r="S435" s="136" t="s">
        <v>62</v>
      </c>
      <c r="T435" s="123">
        <f ca="1">IF($J435=$G$2,ROUND(ROUND($R435,2)*IF($R$9="Preço Unitário (R$)",1,1+$AA435),2),0)</f>
        <v>36.85</v>
      </c>
      <c r="U435" s="126">
        <f ca="1">IF($A435="S",VTOTAL1,IF($A435=0,0,ROUND(SomaAgrup,2)))</f>
        <v>1695.1</v>
      </c>
      <c r="V435" s="1"/>
      <c r="W435" s="39" t="str">
        <f ca="1">IF(OR($A435=0,$A435="S",$A435&gt;CFF!$A$9),"",MAX(W$11:OFFSET(W435,-1,0))+1)</f>
        <v/>
      </c>
      <c r="X435" s="4" t="str">
        <f>IF(AND($J435=$G$2,$N435&lt;&gt;"",$M435&lt;&gt;""),CONCATENATE($M435,"-",$N435))</f>
        <v>Rec. Materiais-044</v>
      </c>
      <c r="Y435" s="39">
        <f ca="1">IF(X435&lt;&gt;FALSE,MATCH(X435,OFFSET(Banco,0,0,,1),0))</f>
        <v>53</v>
      </c>
      <c r="Z435" s="1"/>
      <c r="AA435" s="133">
        <f>IF($J435=$G$2,ROUND(IF(ISNUMBER(S435),S435,IF(LEFT(S435,2)="DI",HLOOKUP(S435,DADOS!$T$29:$X$30,2,FALSE),0)),4),"")</f>
        <v>0.25</v>
      </c>
      <c r="AB435" s="2"/>
    </row>
    <row r="436" spans="1:28" ht="26.25" customHeight="1">
      <c r="A436" t="str">
        <f>CHOOSE(1+LOG(1+2*(J436=$C$2)+4*(J436=$D$2)+8*(J436=$E$2)+16*(J436=$F$2)+32*(J436=$G$2),2),0,1,2,3,4,"S")</f>
        <v>S</v>
      </c>
      <c r="B436">
        <f>IF(OR(A436="S",A436=0),0,IF(ISERROR(I436),H436,SMALL(H436:I436,1)))</f>
        <v>0</v>
      </c>
      <c r="C436">
        <f ca="1">IF($A436=1,OFFSET(C436,-1,0)+1,OFFSET(C436,-1,0))</f>
        <v>6</v>
      </c>
      <c r="D436">
        <f ca="1">IF($A436=1,0,IF($A436=2,OFFSET(D436,-1,0)+1,OFFSET(D436,-1,0)))</f>
        <v>1</v>
      </c>
      <c r="E436">
        <f ca="1">IF(AND($A436&lt;=2,$A436&lt;&gt;0),0,IF($A436=3,OFFSET(E436,-1,0)+1,OFFSET(E436,-1,0)))</f>
        <v>0</v>
      </c>
      <c r="F436">
        <f ca="1">IF(AND($A436&lt;=3,$A436&lt;&gt;0),0,IF($A436=4,OFFSET(F436,-1,0)+1,OFFSET(F436,-1,0)))</f>
        <v>0</v>
      </c>
      <c r="G436">
        <f ca="1">IF(AND($A436&lt;=4,$A436&lt;&gt;0),0,IF($A436="S",OFFSET(G436,-1,0)+1,OFFSET(G436,-1,0)))</f>
        <v>26</v>
      </c>
      <c r="H436">
        <f ca="1">IF(OR($A436="S",$A436=0),0,MATCH(0,OFFSET($B436,1,$A436,ROW($A$1504)-ROW($A436)),0))</f>
        <v>0</v>
      </c>
      <c r="I436">
        <f ca="1">IF(OR($A436="S",$A436=0),0,MATCH(OFFSET($B436,0,$A436)+1,OFFSET($B436,1,$A436,ROW($A$1504)-ROW($A436)),0))</f>
        <v>0</v>
      </c>
      <c r="J436" s="132" t="s">
        <v>29</v>
      </c>
      <c r="K436" s="121" t="str">
        <f ca="1">IF($A436=0,"-",CONCATENATE(C436&amp;".",IF(AND($A$5&gt;=2,$A436&gt;=2),D436&amp;".",""),IF(AND($A$5&gt;=3,$A436&gt;=3),E436&amp;".",""),IF(AND($A$5&gt;=4,$A436&gt;=4),F436&amp;".",""),IF($A436="S",G436&amp;".","")))</f>
        <v>6.1.26.</v>
      </c>
      <c r="L436" s="137" t="str">
        <f ca="1">IF(NOT(ISERROR($Y436)),IF($Y436&lt;&gt;FALSE,INDEX(Banco,$Y436,4),""),"")</f>
        <v>Cotação</v>
      </c>
      <c r="M436" s="122" t="s">
        <v>79</v>
      </c>
      <c r="N436" s="139" t="s">
        <v>222</v>
      </c>
      <c r="O436" s="137" t="str">
        <f ca="1">IF(NOT(ISERROR($Y436)),IF($Y436&lt;&gt;FALSE,INDEX(Banco,$Y436,5),""),"")</f>
        <v>KIT 02 - Oficina de como manter vasos e canteiros de plantas medicinais. Material de uso coletivo (brita, adulbos, umus e terra preta)</v>
      </c>
      <c r="P436" s="138" t="str">
        <f ca="1">IF(NOT(ISERROR($Y436)),IF($Y436&lt;&gt;FALSE,INDEX(Banco,$Y436,6),""),"")</f>
        <v>Unidade</v>
      </c>
      <c r="Q436" s="134">
        <v>1</v>
      </c>
      <c r="R436" s="124">
        <f ca="1">IF(NOT(ISERROR($Y436)),IF($Y436&lt;&gt;FALSE,INDEX(Banco,$Y436,7),0),0)</f>
        <v>170</v>
      </c>
      <c r="S436" s="136" t="s">
        <v>62</v>
      </c>
      <c r="T436" s="123">
        <f ca="1">IF($J436=$G$2,ROUND(ROUND($R436,2)*IF($R$9="Preço Unitário (R$)",1,1+$AA436),2),0)</f>
        <v>212.5</v>
      </c>
      <c r="U436" s="126">
        <f ca="1">IF($A436="S",VTOTAL1,IF($A436=0,0,ROUND(SomaAgrup,2)))</f>
        <v>212.5</v>
      </c>
      <c r="V436" s="1"/>
      <c r="W436" s="39" t="str">
        <f ca="1">IF(OR($A436=0,$A436="S",$A436&gt;CFF!$A$9),"",MAX(W$11:OFFSET(W436,-1,0))+1)</f>
        <v/>
      </c>
      <c r="X436" s="4" t="str">
        <f>IF(AND($J436=$G$2,$N436&lt;&gt;"",$M436&lt;&gt;""),CONCATENATE($M436,"-",$N436))</f>
        <v>Rec. Materiais-043</v>
      </c>
      <c r="Y436" s="39">
        <f ca="1">IF(X436&lt;&gt;FALSE,MATCH(X436,OFFSET(Banco,0,0,,1),0))</f>
        <v>52</v>
      </c>
      <c r="Z436" s="1"/>
      <c r="AA436" s="133">
        <f>IF($J436=$G$2,ROUND(IF(ISNUMBER(S436),S436,IF(LEFT(S436,2)="DI",HLOOKUP(S436,DADOS!$T$29:$X$30,2,FALSE),0)),4),"")</f>
        <v>0.25</v>
      </c>
      <c r="AB436" s="2"/>
    </row>
    <row r="437" spans="1:28">
      <c r="A437">
        <f>CHOOSE(1+LOG(1+2*(J437=$C$2)+4*(J437=$D$2)+8*(J437=$E$2)+16*(J437=$F$2)+32*(J437=$G$2),2),0,1,2,3,4,"S")</f>
        <v>2</v>
      </c>
      <c r="B437">
        <f ca="1">IF(OR(A437="S",A437=0),0,IF(ISERROR(I437),H437,SMALL(H437:I437,1)))</f>
        <v>3</v>
      </c>
      <c r="C437">
        <f ca="1">IF($A437=1,OFFSET(C437,-1,0)+1,OFFSET(C437,-1,0))</f>
        <v>6</v>
      </c>
      <c r="D437">
        <f ca="1">IF($A437=1,0,IF($A437=2,OFFSET(D437,-1,0)+1,OFFSET(D437,-1,0)))</f>
        <v>2</v>
      </c>
      <c r="E437">
        <f ca="1">IF(AND($A437&lt;=2,$A437&lt;&gt;0),0,IF($A437=3,OFFSET(E437,-1,0)+1,OFFSET(E437,-1,0)))</f>
        <v>0</v>
      </c>
      <c r="F437">
        <f ca="1">IF(AND($A437&lt;=3,$A437&lt;&gt;0),0,IF($A437=4,OFFSET(F437,-1,0)+1,OFFSET(F437,-1,0)))</f>
        <v>0</v>
      </c>
      <c r="G437">
        <f ca="1">IF(AND($A437&lt;=4,$A437&lt;&gt;0),0,IF($A437="S",OFFSET(G437,-1,0)+1,OFFSET(G437,-1,0)))</f>
        <v>0</v>
      </c>
      <c r="H437">
        <f ca="1">IF(OR($A437="S",$A437=0),0,MATCH(0,OFFSET($B437,1,$A437,ROW($A$1504)-ROW($A437)),0))</f>
        <v>54</v>
      </c>
      <c r="I437">
        <f ca="1">IF(OR($A437="S",$A437=0),0,MATCH(OFFSET($B437,0,$A437)+1,OFFSET($B437,1,$A437,ROW($A$1504)-ROW($A437)),0))</f>
        <v>3</v>
      </c>
      <c r="J437" s="132" t="s">
        <v>68</v>
      </c>
      <c r="K437" s="121" t="str">
        <f ca="1">IF($A437=0,"-",CONCATENATE(C437&amp;".",IF(AND($A$5&gt;=2,$A437&gt;=2),D437&amp;".",""),IF(AND($A$5&gt;=3,$A437&gt;=3),E437&amp;".",""),IF(AND($A$5&gt;=4,$A437&gt;=4),F437&amp;".",""),IF($A437="S",G437&amp;".","")))</f>
        <v>6.2.</v>
      </c>
      <c r="L437" s="137" t="str">
        <f ca="1">IF(NOT(ISERROR($Y437)),IF($Y437&lt;&gt;FALSE,INDEX(Banco,$Y437,4),""),"")</f>
        <v/>
      </c>
      <c r="M437" s="122"/>
      <c r="N437" s="139"/>
      <c r="O437" s="137" t="s">
        <v>376</v>
      </c>
      <c r="P437" s="138" t="str">
        <f ca="1">IF(NOT(ISERROR($Y437)),IF($Y437&lt;&gt;FALSE,INDEX(Banco,$Y437,6),""),"")</f>
        <v/>
      </c>
      <c r="Q437" s="134"/>
      <c r="R437" s="124">
        <f ca="1">IF(NOT(ISERROR($Y437)),IF($Y437&lt;&gt;FALSE,INDEX(Banco,$Y437,7),0),0)</f>
        <v>0</v>
      </c>
      <c r="S437" s="136" t="s">
        <v>62</v>
      </c>
      <c r="T437" s="123">
        <f>IF($J437=$G$2,ROUND(ROUND($R437,2)*IF($R$9="Preço Unitário (R$)",1,1+$AA437),2),0)</f>
        <v>0</v>
      </c>
      <c r="U437" s="126">
        <f ca="1">IF($A437="S",VTOTAL1,IF($A437=0,0,ROUND(SomaAgrup,2)))</f>
        <v>1713.78</v>
      </c>
      <c r="V437" s="1"/>
      <c r="W437" s="39">
        <f ca="1">IF(OR($A437=0,$A437="S",$A437&gt;CFF!$A$9),"",MAX(W$11:OFFSET(W437,-1,0))+1)</f>
        <v>35</v>
      </c>
      <c r="X437" s="4" t="b">
        <f>IF(AND($J437=$G$2,$N437&lt;&gt;"",$M437&lt;&gt;""),CONCATENATE($M437,"-",$N437))</f>
        <v>0</v>
      </c>
      <c r="Y437" s="39" t="b">
        <f ca="1">IF(X437&lt;&gt;FALSE,MATCH(X437,OFFSET(Banco,0,0,,1),0))</f>
        <v>0</v>
      </c>
      <c r="Z437" s="1"/>
      <c r="AA437" s="133" t="str">
        <f>IF($J437=$G$2,ROUND(IF(ISNUMBER(S437),S437,IF(LEFT(S437,2)="DI",HLOOKUP(S437,DADOS!$T$29:$X$30,2,FALSE),0)),4),"")</f>
        <v/>
      </c>
      <c r="AB437" s="2"/>
    </row>
    <row r="438" spans="1:28">
      <c r="A438" t="str">
        <f t="shared" ref="A438:A439" si="488">CHOOSE(1+LOG(1+2*(J438=$C$2)+4*(J438=$D$2)+8*(J438=$E$2)+16*(J438=$F$2)+32*(J438=$G$2),2),0,1,2,3,4,"S")</f>
        <v>S</v>
      </c>
      <c r="B438">
        <f t="shared" ref="B438:B439" si="489">IF(OR(A438="S",A438=0),0,IF(ISERROR(I438),H438,SMALL(H438:I438,1)))</f>
        <v>0</v>
      </c>
      <c r="C438">
        <f t="shared" ref="C438:C439" ca="1" si="490">IF($A438=1,OFFSET(C438,-1,0)+1,OFFSET(C438,-1,0))</f>
        <v>6</v>
      </c>
      <c r="D438">
        <f t="shared" ref="D438:D439" ca="1" si="491">IF($A438=1,0,IF($A438=2,OFFSET(D438,-1,0)+1,OFFSET(D438,-1,0)))</f>
        <v>2</v>
      </c>
      <c r="E438">
        <f t="shared" ref="E438:E439" ca="1" si="492">IF(AND($A438&lt;=2,$A438&lt;&gt;0),0,IF($A438=3,OFFSET(E438,-1,0)+1,OFFSET(E438,-1,0)))</f>
        <v>0</v>
      </c>
      <c r="F438">
        <f t="shared" ref="F438:F439" ca="1" si="493">IF(AND($A438&lt;=3,$A438&lt;&gt;0),0,IF($A438=4,OFFSET(F438,-1,0)+1,OFFSET(F438,-1,0)))</f>
        <v>0</v>
      </c>
      <c r="G438">
        <f t="shared" ref="G438:G439" ca="1" si="494">IF(AND($A438&lt;=4,$A438&lt;&gt;0),0,IF($A438="S",OFFSET(G438,-1,0)+1,OFFSET(G438,-1,0)))</f>
        <v>1</v>
      </c>
      <c r="H438">
        <f ca="1">IF(OR($A438="S",$A438=0),0,MATCH(0,OFFSET($B438,1,$A438,ROW($A$1504)-ROW($A438)),0))</f>
        <v>0</v>
      </c>
      <c r="I438">
        <f ca="1">IF(OR($A438="S",$A438=0),0,MATCH(OFFSET($B438,0,$A438)+1,OFFSET($B438,1,$A438,ROW($A$1504)-ROW($A438)),0))</f>
        <v>0</v>
      </c>
      <c r="J438" s="132" t="s">
        <v>29</v>
      </c>
      <c r="K438" s="121" t="str">
        <f t="shared" ref="K438:K439" ca="1" si="495">IF($A438=0,"-",CONCATENATE(C438&amp;".",IF(AND($A$5&gt;=2,$A438&gt;=2),D438&amp;".",""),IF(AND($A$5&gt;=3,$A438&gt;=3),E438&amp;".",""),IF(AND($A$5&gt;=4,$A438&gt;=4),F438&amp;".",""),IF($A438="S",G438&amp;".","")))</f>
        <v>6.2.1.</v>
      </c>
      <c r="L438" s="137" t="str">
        <f t="shared" ref="L438:L439" ca="1" si="496">IF(NOT(ISERROR($Y438)),IF($Y438&lt;&gt;FALSE,INDEX(Banco,$Y438,4),""),"")</f>
        <v>CRESS</v>
      </c>
      <c r="M438" s="122" t="s">
        <v>78</v>
      </c>
      <c r="N438" s="139" t="s">
        <v>149</v>
      </c>
      <c r="O438" s="137" t="str">
        <f ca="1">IF(NOT(ISERROR($Y438)),IF($Y438&lt;&gt;FALSE,INDEX(Banco,$Y438,5),""),"")</f>
        <v>Responsável Técnica</v>
      </c>
      <c r="P438" s="138" t="str">
        <f t="shared" ref="P438:P439" ca="1" si="497">IF(NOT(ISERROR($Y438)),IF($Y438&lt;&gt;FALSE,INDEX(Banco,$Y438,6),""),"")</f>
        <v>Horas</v>
      </c>
      <c r="Q438" s="134">
        <v>2</v>
      </c>
      <c r="R438" s="124">
        <f t="shared" ref="R438:R439" ca="1" si="498">IF(NOT(ISERROR($Y438)),IF($Y438&lt;&gt;FALSE,INDEX(Banco,$Y438,7),0),0)</f>
        <v>150.28</v>
      </c>
      <c r="S438" s="136" t="s">
        <v>62</v>
      </c>
      <c r="T438" s="123">
        <f t="shared" ref="T438:T439" ca="1" si="499">IF($J438=$G$2,ROUND(ROUND($R438,2)*IF($R$9="Preço Unitário (R$)",1,1+$AA438),2),0)</f>
        <v>187.85</v>
      </c>
      <c r="U438" s="126">
        <f t="shared" ref="U438:U439" ca="1" si="500">IF($A438="S",VTOTAL1,IF($A438=0,0,ROUND(SomaAgrup,2)))</f>
        <v>375.7</v>
      </c>
      <c r="V438" s="1"/>
      <c r="W438" s="39" t="str">
        <f ca="1">IF(OR($A438=0,$A438="S",$A438&gt;CFF!$A$9),"",MAX(W$11:OFFSET(W438,-1,0))+1)</f>
        <v/>
      </c>
      <c r="X438" s="4" t="str">
        <f t="shared" ref="X438:X439" si="501">IF(AND($J438=$G$2,$N438&lt;&gt;"",$M438&lt;&gt;""),CONCATENATE($M438,"-",$N438))</f>
        <v>Rec. Humanos-001</v>
      </c>
      <c r="Y438" s="39">
        <f t="shared" ref="Y438:Y439" ca="1" si="502">IF(X438&lt;&gt;FALSE,MATCH(X438,OFFSET(Banco,0,0,,1),0))</f>
        <v>3</v>
      </c>
      <c r="Z438" s="1"/>
      <c r="AA438" s="133">
        <f>IF($J438=$G$2,ROUND(IF(ISNUMBER(S438),S438,IF(LEFT(S438,2)="DI",HLOOKUP(S438,DADOS!$T$29:$X$30,2,FALSE),0)),4),"")</f>
        <v>0.25</v>
      </c>
      <c r="AB438" s="2"/>
    </row>
    <row r="439" spans="1:28">
      <c r="A439" t="str">
        <f t="shared" si="488"/>
        <v>S</v>
      </c>
      <c r="B439">
        <f t="shared" si="489"/>
        <v>0</v>
      </c>
      <c r="C439">
        <f t="shared" ca="1" si="490"/>
        <v>6</v>
      </c>
      <c r="D439">
        <f t="shared" ca="1" si="491"/>
        <v>2</v>
      </c>
      <c r="E439">
        <f t="shared" ca="1" si="492"/>
        <v>0</v>
      </c>
      <c r="F439">
        <f t="shared" ca="1" si="493"/>
        <v>0</v>
      </c>
      <c r="G439">
        <f t="shared" ca="1" si="494"/>
        <v>2</v>
      </c>
      <c r="H439">
        <f ca="1">IF(OR($A439="S",$A439=0),0,MATCH(0,OFFSET($B439,1,$A439,ROW($A$1504)-ROW($A439)),0))</f>
        <v>0</v>
      </c>
      <c r="I439">
        <f ca="1">IF(OR($A439="S",$A439=0),0,MATCH(OFFSET($B439,0,$A439)+1,OFFSET($B439,1,$A439,ROW($A$1504)-ROW($A439)),0))</f>
        <v>0</v>
      </c>
      <c r="J439" s="132" t="s">
        <v>29</v>
      </c>
      <c r="K439" s="121" t="str">
        <f t="shared" ca="1" si="495"/>
        <v>6.2.2.</v>
      </c>
      <c r="L439" s="137" t="str">
        <f t="shared" ca="1" si="496"/>
        <v>CRESS</v>
      </c>
      <c r="M439" s="122" t="s">
        <v>78</v>
      </c>
      <c r="N439" s="139" t="s">
        <v>152</v>
      </c>
      <c r="O439" s="137" t="str">
        <f ca="1">IF(NOT(ISERROR($Y439)),IF($Y439&lt;&gt;FALSE,INDEX(Banco,$Y439,5),""),"")</f>
        <v>Assistente Social</v>
      </c>
      <c r="P439" s="138" t="str">
        <f t="shared" ca="1" si="497"/>
        <v>Horas</v>
      </c>
      <c r="Q439" s="134">
        <v>8</v>
      </c>
      <c r="R439" s="124">
        <f t="shared" ca="1" si="498"/>
        <v>133.81</v>
      </c>
      <c r="S439" s="136" t="s">
        <v>62</v>
      </c>
      <c r="T439" s="123">
        <f t="shared" ca="1" si="499"/>
        <v>167.26</v>
      </c>
      <c r="U439" s="126">
        <f t="shared" ca="1" si="500"/>
        <v>1338.08</v>
      </c>
      <c r="V439" s="1"/>
      <c r="W439" s="39" t="str">
        <f ca="1">IF(OR($A439=0,$A439="S",$A439&gt;CFF!$A$9),"",MAX(W$11:OFFSET(W439,-1,0))+1)</f>
        <v/>
      </c>
      <c r="X439" s="4" t="str">
        <f t="shared" si="501"/>
        <v>Rec. Humanos-002</v>
      </c>
      <c r="Y439" s="39">
        <f t="shared" ca="1" si="502"/>
        <v>4</v>
      </c>
      <c r="Z439" s="1"/>
      <c r="AA439" s="133">
        <f>IF($J439=$G$2,ROUND(IF(ISNUMBER(S439),S439,IF(LEFT(S439,2)="DI",HLOOKUP(S439,DADOS!$T$29:$X$30,2,FALSE),0)),4),"")</f>
        <v>0.25</v>
      </c>
      <c r="AB439" s="2"/>
    </row>
    <row r="440" spans="1:28">
      <c r="A440">
        <f>CHOOSE(1+LOG(1+2*(J440=$C$2)+4*(J440=$D$2)+8*(J440=$E$2)+16*(J440=$F$2)+32*(J440=$G$2),2),0,1,2,3,4,"S")</f>
        <v>2</v>
      </c>
      <c r="B440">
        <f ca="1">IF(OR(A440="S",A440=0),0,IF(ISERROR(I440),H440,SMALL(H440:I440,1)))</f>
        <v>4</v>
      </c>
      <c r="C440">
        <f ca="1">IF($A440=1,OFFSET(C440,-1,0)+1,OFFSET(C440,-1,0))</f>
        <v>6</v>
      </c>
      <c r="D440">
        <f ca="1">IF($A440=1,0,IF($A440=2,OFFSET(D440,-1,0)+1,OFFSET(D440,-1,0)))</f>
        <v>3</v>
      </c>
      <c r="E440">
        <f ca="1">IF(AND($A440&lt;=2,$A440&lt;&gt;0),0,IF($A440=3,OFFSET(E440,-1,0)+1,OFFSET(E440,-1,0)))</f>
        <v>0</v>
      </c>
      <c r="F440">
        <f ca="1">IF(AND($A440&lt;=3,$A440&lt;&gt;0),0,IF($A440=4,OFFSET(F440,-1,0)+1,OFFSET(F440,-1,0)))</f>
        <v>0</v>
      </c>
      <c r="G440">
        <f ca="1">IF(AND($A440&lt;=4,$A440&lt;&gt;0),0,IF($A440="S",OFFSET(G440,-1,0)+1,OFFSET(G440,-1,0)))</f>
        <v>0</v>
      </c>
      <c r="H440">
        <f ca="1">IF(OR($A440="S",$A440=0),0,MATCH(0,OFFSET($B440,1,$A440,ROW($A$1504)-ROW($A440)),0))</f>
        <v>51</v>
      </c>
      <c r="I440">
        <f ca="1">IF(OR($A440="S",$A440=0),0,MATCH(OFFSET($B440,0,$A440)+1,OFFSET($B440,1,$A440,ROW($A$1504)-ROW($A440)),0))</f>
        <v>4</v>
      </c>
      <c r="J440" s="132" t="s">
        <v>68</v>
      </c>
      <c r="K440" s="121" t="str">
        <f ca="1">IF($A440=0,"-",CONCATENATE(C440&amp;".",IF(AND($A$5&gt;=2,$A440&gt;=2),D440&amp;".",""),IF(AND($A$5&gt;=3,$A440&gt;=3),E440&amp;".",""),IF(AND($A$5&gt;=4,$A440&gt;=4),F440&amp;".",""),IF($A440="S",G440&amp;".","")))</f>
        <v>6.3.</v>
      </c>
      <c r="L440" s="137" t="str">
        <f ca="1">IF(NOT(ISERROR($Y440)),IF($Y440&lt;&gt;FALSE,INDEX(Banco,$Y440,4),""),"")</f>
        <v/>
      </c>
      <c r="M440" s="122"/>
      <c r="N440" s="139"/>
      <c r="O440" s="137" t="s">
        <v>377</v>
      </c>
      <c r="P440" s="138" t="str">
        <f ca="1">IF(NOT(ISERROR($Y440)),IF($Y440&lt;&gt;FALSE,INDEX(Banco,$Y440,6),""),"")</f>
        <v/>
      </c>
      <c r="Q440" s="134"/>
      <c r="R440" s="124">
        <f ca="1">IF(NOT(ISERROR($Y440)),IF($Y440&lt;&gt;FALSE,INDEX(Banco,$Y440,7),0),0)</f>
        <v>0</v>
      </c>
      <c r="S440" s="136" t="s">
        <v>62</v>
      </c>
      <c r="T440" s="123">
        <f>IF($J440=$G$2,ROUND(ROUND($R440,2)*IF($R$9="Preço Unitário (R$)",1,1+$AA440),2),0)</f>
        <v>0</v>
      </c>
      <c r="U440" s="126">
        <f ca="1">IF($A440="S",VTOTAL1,IF($A440=0,0,ROUND(SomaAgrup,2)))</f>
        <v>1075.33</v>
      </c>
      <c r="V440" s="1"/>
      <c r="W440" s="39">
        <f ca="1">IF(OR($A440=0,$A440="S",$A440&gt;CFF!$A$9),"",MAX(W$11:OFFSET(W440,-1,0))+1)</f>
        <v>36</v>
      </c>
      <c r="X440" s="4" t="b">
        <f>IF(AND($J440=$G$2,$N440&lt;&gt;"",$M440&lt;&gt;""),CONCATENATE($M440,"-",$N440))</f>
        <v>0</v>
      </c>
      <c r="Y440" s="39" t="b">
        <f ca="1">IF(X440&lt;&gt;FALSE,MATCH(X440,OFFSET(Banco,0,0,,1),0))</f>
        <v>0</v>
      </c>
      <c r="Z440" s="1"/>
      <c r="AA440" s="133" t="str">
        <f>IF($J440=$G$2,ROUND(IF(ISNUMBER(S440),S440,IF(LEFT(S440,2)="DI",HLOOKUP(S440,DADOS!$T$29:$X$30,2,FALSE),0)),4),"")</f>
        <v/>
      </c>
      <c r="AB440" s="2"/>
    </row>
    <row r="441" spans="1:28">
      <c r="A441" t="str">
        <f>CHOOSE(1+LOG(1+2*(J441=$C$2)+4*(J441=$D$2)+8*(J441=$E$2)+16*(J441=$F$2)+32*(J441=$G$2),2),0,1,2,3,4,"S")</f>
        <v>S</v>
      </c>
      <c r="B441">
        <f>IF(OR(A441="S",A441=0),0,IF(ISERROR(I441),H441,SMALL(H441:I441,1)))</f>
        <v>0</v>
      </c>
      <c r="C441">
        <f ca="1">IF($A441=1,OFFSET(C441,-1,0)+1,OFFSET(C441,-1,0))</f>
        <v>6</v>
      </c>
      <c r="D441">
        <f ca="1">IF($A441=1,0,IF($A441=2,OFFSET(D441,-1,0)+1,OFFSET(D441,-1,0)))</f>
        <v>3</v>
      </c>
      <c r="E441">
        <f ca="1">IF(AND($A441&lt;=2,$A441&lt;&gt;0),0,IF($A441=3,OFFSET(E441,-1,0)+1,OFFSET(E441,-1,0)))</f>
        <v>0</v>
      </c>
      <c r="F441">
        <f ca="1">IF(AND($A441&lt;=3,$A441&lt;&gt;0),0,IF($A441=4,OFFSET(F441,-1,0)+1,OFFSET(F441,-1,0)))</f>
        <v>0</v>
      </c>
      <c r="G441">
        <f ca="1">IF(AND($A441&lt;=4,$A441&lt;&gt;0),0,IF($A441="S",OFFSET(G441,-1,0)+1,OFFSET(G441,-1,0)))</f>
        <v>1</v>
      </c>
      <c r="H441">
        <f ca="1">IF(OR($A441="S",$A441=0),0,MATCH(0,OFFSET($B441,1,$A441,ROW($A$1504)-ROW($A441)),0))</f>
        <v>0</v>
      </c>
      <c r="I441">
        <f ca="1">IF(OR($A441="S",$A441=0),0,MATCH(OFFSET($B441,0,$A441)+1,OFFSET($B441,1,$A441,ROW($A$1504)-ROW($A441)),0))</f>
        <v>0</v>
      </c>
      <c r="J441" s="132" t="s">
        <v>29</v>
      </c>
      <c r="K441" s="121" t="str">
        <f ca="1">IF($A441=0,"-",CONCATENATE(C441&amp;".",IF(AND($A$5&gt;=2,$A441&gt;=2),D441&amp;".",""),IF(AND($A$5&gt;=3,$A441&gt;=3),E441&amp;".",""),IF(AND($A$5&gt;=4,$A441&gt;=4),F441&amp;".",""),IF($A441="S",G441&amp;".","")))</f>
        <v>6.3.1.</v>
      </c>
      <c r="L441" s="137" t="str">
        <f ca="1">IF(NOT(ISERROR($Y441)),IF($Y441&lt;&gt;FALSE,INDEX(Banco,$Y441,4),""),"")</f>
        <v>CRESS</v>
      </c>
      <c r="M441" s="122" t="s">
        <v>78</v>
      </c>
      <c r="N441" s="139" t="s">
        <v>149</v>
      </c>
      <c r="O441" s="137" t="str">
        <f ca="1">IF(NOT(ISERROR($Y441)),IF($Y441&lt;&gt;FALSE,INDEX(Banco,$Y441,5),""),"")</f>
        <v>Responsável Técnica</v>
      </c>
      <c r="P441" s="138" t="str">
        <f ca="1">IF(NOT(ISERROR($Y441)),IF($Y441&lt;&gt;FALSE,INDEX(Banco,$Y441,6),""),"")</f>
        <v>Horas</v>
      </c>
      <c r="Q441" s="134">
        <v>3</v>
      </c>
      <c r="R441" s="124">
        <f ca="1">IF(NOT(ISERROR($Y441)),IF($Y441&lt;&gt;FALSE,INDEX(Banco,$Y441,7),0),0)</f>
        <v>150.28</v>
      </c>
      <c r="S441" s="136" t="s">
        <v>62</v>
      </c>
      <c r="T441" s="123">
        <f ca="1">IF($J441=$G$2,ROUND(ROUND($R441,2)*IF($R$9="Preço Unitário (R$)",1,1+$AA441),2),0)</f>
        <v>187.85</v>
      </c>
      <c r="U441" s="126">
        <f ca="1">IF($A441="S",VTOTAL1,IF($A441=0,0,ROUND(SomaAgrup,2)))</f>
        <v>563.54999999999995</v>
      </c>
      <c r="V441" s="1"/>
      <c r="W441" s="39" t="str">
        <f ca="1">IF(OR($A441=0,$A441="S",$A441&gt;CFF!$A$9),"",MAX(W$11:OFFSET(W441,-1,0))+1)</f>
        <v/>
      </c>
      <c r="X441" s="4" t="str">
        <f>IF(AND($J441=$G$2,$N441&lt;&gt;"",$M441&lt;&gt;""),CONCATENATE($M441,"-",$N441))</f>
        <v>Rec. Humanos-001</v>
      </c>
      <c r="Y441" s="39">
        <f ca="1">IF(X441&lt;&gt;FALSE,MATCH(X441,OFFSET(Banco,0,0,,1),0))</f>
        <v>3</v>
      </c>
      <c r="Z441" s="1"/>
      <c r="AA441" s="133">
        <f>IF($J441=$G$2,ROUND(IF(ISNUMBER(S441),S441,IF(LEFT(S441,2)="DI",HLOOKUP(S441,DADOS!$T$29:$X$30,2,FALSE),0)),4),"")</f>
        <v>0.25</v>
      </c>
      <c r="AB441" s="2"/>
    </row>
    <row r="442" spans="1:28">
      <c r="A442" t="str">
        <f>CHOOSE(1+LOG(1+2*(J442=$C$2)+4*(J442=$D$2)+8*(J442=$E$2)+16*(J442=$F$2)+32*(J442=$G$2),2),0,1,2,3,4,"S")</f>
        <v>S</v>
      </c>
      <c r="B442">
        <f>IF(OR(A442="S",A442=0),0,IF(ISERROR(I442),H442,SMALL(H442:I442,1)))</f>
        <v>0</v>
      </c>
      <c r="C442">
        <f ca="1">IF($A442=1,OFFSET(C442,-1,0)+1,OFFSET(C442,-1,0))</f>
        <v>6</v>
      </c>
      <c r="D442">
        <f ca="1">IF($A442=1,0,IF($A442=2,OFFSET(D442,-1,0)+1,OFFSET(D442,-1,0)))</f>
        <v>3</v>
      </c>
      <c r="E442">
        <f ca="1">IF(AND($A442&lt;=2,$A442&lt;&gt;0),0,IF($A442=3,OFFSET(E442,-1,0)+1,OFFSET(E442,-1,0)))</f>
        <v>0</v>
      </c>
      <c r="F442">
        <f ca="1">IF(AND($A442&lt;=3,$A442&lt;&gt;0),0,IF($A442=4,OFFSET(F442,-1,0)+1,OFFSET(F442,-1,0)))</f>
        <v>0</v>
      </c>
      <c r="G442">
        <f ca="1">IF(AND($A442&lt;=4,$A442&lt;&gt;0),0,IF($A442="S",OFFSET(G442,-1,0)+1,OFFSET(G442,-1,0)))</f>
        <v>2</v>
      </c>
      <c r="H442">
        <f ca="1">IF(OR($A442="S",$A442=0),0,MATCH(0,OFFSET($B442,1,$A442,ROW($A$1504)-ROW($A442)),0))</f>
        <v>0</v>
      </c>
      <c r="I442">
        <f ca="1">IF(OR($A442="S",$A442=0),0,MATCH(OFFSET($B442,0,$A442)+1,OFFSET($B442,1,$A442,ROW($A$1504)-ROW($A442)),0))</f>
        <v>0</v>
      </c>
      <c r="J442" s="132" t="s">
        <v>29</v>
      </c>
      <c r="K442" s="121" t="str">
        <f ca="1">IF($A442=0,"-",CONCATENATE(C442&amp;".",IF(AND($A$5&gt;=2,$A442&gt;=2),D442&amp;".",""),IF(AND($A$5&gt;=3,$A442&gt;=3),E442&amp;".",""),IF(AND($A$5&gt;=4,$A442&gt;=4),F442&amp;".",""),IF($A442="S",G442&amp;".","")))</f>
        <v>6.3.2.</v>
      </c>
      <c r="L442" s="137" t="str">
        <f ca="1">IF(NOT(ISERROR($Y442)),IF($Y442&lt;&gt;FALSE,INDEX(Banco,$Y442,4),""),"")</f>
        <v>CRESS</v>
      </c>
      <c r="M442" s="122" t="s">
        <v>78</v>
      </c>
      <c r="N442" s="139" t="s">
        <v>152</v>
      </c>
      <c r="O442" s="137" t="str">
        <f ca="1">IF(NOT(ISERROR($Y442)),IF($Y442&lt;&gt;FALSE,INDEX(Banco,$Y442,5),""),"")</f>
        <v>Assistente Social</v>
      </c>
      <c r="P442" s="138" t="str">
        <f ca="1">IF(NOT(ISERROR($Y442)),IF($Y442&lt;&gt;FALSE,INDEX(Banco,$Y442,6),""),"")</f>
        <v>Horas</v>
      </c>
      <c r="Q442" s="134">
        <v>3</v>
      </c>
      <c r="R442" s="124">
        <f ca="1">IF(NOT(ISERROR($Y442)),IF($Y442&lt;&gt;FALSE,INDEX(Banco,$Y442,7),0),0)</f>
        <v>133.81</v>
      </c>
      <c r="S442" s="136" t="s">
        <v>62</v>
      </c>
      <c r="T442" s="123">
        <f ca="1">IF($J442=$G$2,ROUND(ROUND($R442,2)*IF($R$9="Preço Unitário (R$)",1,1+$AA442),2),0)</f>
        <v>167.26</v>
      </c>
      <c r="U442" s="126">
        <f ca="1">IF($A442="S",VTOTAL1,IF($A442=0,0,ROUND(SomaAgrup,2)))</f>
        <v>501.78</v>
      </c>
      <c r="V442" s="1"/>
      <c r="W442" s="39" t="str">
        <f ca="1">IF(OR($A442=0,$A442="S",$A442&gt;CFF!$A$9),"",MAX(W$11:OFFSET(W442,-1,0))+1)</f>
        <v/>
      </c>
      <c r="X442" s="4" t="str">
        <f>IF(AND($J442=$G$2,$N442&lt;&gt;"",$M442&lt;&gt;""),CONCATENATE($M442,"-",$N442))</f>
        <v>Rec. Humanos-002</v>
      </c>
      <c r="Y442" s="39">
        <f ca="1">IF(X442&lt;&gt;FALSE,MATCH(X442,OFFSET(Banco,0,0,,1),0))</f>
        <v>4</v>
      </c>
      <c r="Z442" s="1"/>
      <c r="AA442" s="133">
        <f>IF($J442=$G$2,ROUND(IF(ISNUMBER(S442),S442,IF(LEFT(S442,2)="DI",HLOOKUP(S442,DADOS!$T$29:$X$30,2,FALSE),0)),4),"")</f>
        <v>0.25</v>
      </c>
      <c r="AB442" s="2"/>
    </row>
    <row r="443" spans="1:28">
      <c r="A443" t="str">
        <f>CHOOSE(1+LOG(1+2*(J443=$C$2)+4*(J443=$D$2)+8*(J443=$E$2)+16*(J443=$F$2)+32*(J443=$G$2),2),0,1,2,3,4,"S")</f>
        <v>S</v>
      </c>
      <c r="B443">
        <f>IF(OR(A443="S",A443=0),0,IF(ISERROR(I443),H443,SMALL(H443:I443,1)))</f>
        <v>0</v>
      </c>
      <c r="C443">
        <f ca="1">IF($A443=1,OFFSET(C443,-1,0)+1,OFFSET(C443,-1,0))</f>
        <v>6</v>
      </c>
      <c r="D443">
        <f ca="1">IF($A443=1,0,IF($A443=2,OFFSET(D443,-1,0)+1,OFFSET(D443,-1,0)))</f>
        <v>3</v>
      </c>
      <c r="E443">
        <f ca="1">IF(AND($A443&lt;=2,$A443&lt;&gt;0),0,IF($A443=3,OFFSET(E443,-1,0)+1,OFFSET(E443,-1,0)))</f>
        <v>0</v>
      </c>
      <c r="F443">
        <f ca="1">IF(AND($A443&lt;=3,$A443&lt;&gt;0),0,IF($A443=4,OFFSET(F443,-1,0)+1,OFFSET(F443,-1,0)))</f>
        <v>0</v>
      </c>
      <c r="G443">
        <f ca="1">IF(AND($A443&lt;=4,$A443&lt;&gt;0),0,IF($A443="S",OFFSET(G443,-1,0)+1,OFFSET(G443,-1,0)))</f>
        <v>3</v>
      </c>
      <c r="H443">
        <f ca="1">IF(OR($A443="S",$A443=0),0,MATCH(0,OFFSET($B443,1,$A443,ROW($A$1504)-ROW($A443)),0))</f>
        <v>0</v>
      </c>
      <c r="I443">
        <f ca="1">IF(OR($A443="S",$A443=0),0,MATCH(OFFSET($B443,0,$A443)+1,OFFSET($B443,1,$A443,ROW($A$1504)-ROW($A443)),0))</f>
        <v>0</v>
      </c>
      <c r="J443" s="132" t="s">
        <v>29</v>
      </c>
      <c r="K443" s="121" t="str">
        <f ca="1">IF($A443=0,"-",CONCATENATE(C443&amp;".",IF(AND($A$5&gt;=2,$A443&gt;=2),D443&amp;".",""),IF(AND($A$5&gt;=3,$A443&gt;=3),E443&amp;".",""),IF(AND($A$5&gt;=4,$A443&gt;=4),F443&amp;".",""),IF($A443="S",G443&amp;".","")))</f>
        <v>6.3.3.</v>
      </c>
      <c r="L443" s="137" t="str">
        <f ca="1">IF(NOT(ISERROR($Y443)),IF($Y443&lt;&gt;FALSE,INDEX(Banco,$Y443,4),""),"")</f>
        <v>Cotação</v>
      </c>
      <c r="M443" s="122" t="s">
        <v>80</v>
      </c>
      <c r="N443" s="139" t="s">
        <v>158</v>
      </c>
      <c r="O443" s="137" t="str">
        <f ca="1">IF(NOT(ISERROR($Y443)),IF($Y443&lt;&gt;FALSE,INDEX(Banco,$Y443,5),""),"")</f>
        <v>Água (garrafa de 1,5 litros)</v>
      </c>
      <c r="P443" s="138" t="str">
        <f ca="1">IF(NOT(ISERROR($Y443)),IF($Y443&lt;&gt;FALSE,INDEX(Banco,$Y443,6),""),"")</f>
        <v>Unidade</v>
      </c>
      <c r="Q443" s="134">
        <v>2</v>
      </c>
      <c r="R443" s="124">
        <f ca="1">IF(NOT(ISERROR($Y443)),IF($Y443&lt;&gt;FALSE,INDEX(Banco,$Y443,7),0),0)</f>
        <v>4</v>
      </c>
      <c r="S443" s="136" t="s">
        <v>62</v>
      </c>
      <c r="T443" s="123">
        <f ca="1">IF($J443=$G$2,ROUND(ROUND($R443,2)*IF($R$9="Preço Unitário (R$)",1,1+$AA443),2),0)</f>
        <v>5</v>
      </c>
      <c r="U443" s="126">
        <f ca="1">IF($A443="S",VTOTAL1,IF($A443=0,0,ROUND(SomaAgrup,2)))</f>
        <v>10</v>
      </c>
      <c r="V443" s="1"/>
      <c r="W443" s="39" t="str">
        <f ca="1">IF(OR($A443=0,$A443="S",$A443&gt;CFF!$A$9),"",MAX(W$11:OFFSET(W443,-1,0))+1)</f>
        <v/>
      </c>
      <c r="X443" s="4" t="str">
        <f>IF(AND($J443=$G$2,$N443&lt;&gt;"",$M443&lt;&gt;""),CONCATENATE($M443,"-",$N443))</f>
        <v>Serv. Terc.-009</v>
      </c>
      <c r="Y443" s="39">
        <f ca="1">IF(X443&lt;&gt;FALSE,MATCH(X443,OFFSET(Banco,0,0,,1),0))</f>
        <v>89</v>
      </c>
      <c r="Z443" s="1"/>
      <c r="AA443" s="133">
        <f>IF($J443=$G$2,ROUND(IF(ISNUMBER(S443),S443,IF(LEFT(S443,2)="DI",HLOOKUP(S443,DADOS!$T$29:$X$30,2,FALSE),0)),4),"")</f>
        <v>0.25</v>
      </c>
      <c r="AB443" s="2"/>
    </row>
    <row r="444" spans="1:28" ht="25.5">
      <c r="A444">
        <f>CHOOSE(1+LOG(1+2*(J444=$C$2)+4*(J444=$D$2)+8*(J444=$E$2)+16*(J444=$F$2)+32*(J444=$G$2),2),0,1,2,3,4,"S")</f>
        <v>2</v>
      </c>
      <c r="B444">
        <f ca="1">IF(OR(A444="S",A444=0),0,IF(ISERROR(I444),H444,SMALL(H444:I444,1)))</f>
        <v>20</v>
      </c>
      <c r="C444">
        <f ca="1">IF($A444=1,OFFSET(C444,-1,0)+1,OFFSET(C444,-1,0))</f>
        <v>6</v>
      </c>
      <c r="D444">
        <f ca="1">IF($A444=1,0,IF($A444=2,OFFSET(D444,-1,0)+1,OFFSET(D444,-1,0)))</f>
        <v>4</v>
      </c>
      <c r="E444">
        <f ca="1">IF(AND($A444&lt;=2,$A444&lt;&gt;0),0,IF($A444=3,OFFSET(E444,-1,0)+1,OFFSET(E444,-1,0)))</f>
        <v>0</v>
      </c>
      <c r="F444">
        <f ca="1">IF(AND($A444&lt;=3,$A444&lt;&gt;0),0,IF($A444=4,OFFSET(F444,-1,0)+1,OFFSET(F444,-1,0)))</f>
        <v>0</v>
      </c>
      <c r="G444">
        <f ca="1">IF(AND($A444&lt;=4,$A444&lt;&gt;0),0,IF($A444="S",OFFSET(G444,-1,0)+1,OFFSET(G444,-1,0)))</f>
        <v>0</v>
      </c>
      <c r="H444">
        <f ca="1">IF(OR($A444="S",$A444=0),0,MATCH(0,OFFSET($B444,1,$A444,ROW($A$1504)-ROW($A444)),0))</f>
        <v>47</v>
      </c>
      <c r="I444">
        <f ca="1">IF(OR($A444="S",$A444=0),0,MATCH(OFFSET($B444,0,$A444)+1,OFFSET($B444,1,$A444,ROW($A$1504)-ROW($A444)),0))</f>
        <v>20</v>
      </c>
      <c r="J444" s="132" t="s">
        <v>68</v>
      </c>
      <c r="K444" s="121" t="str">
        <f ca="1">IF($A444=0,"-",CONCATENATE(C444&amp;".",IF(AND($A$5&gt;=2,$A444&gt;=2),D444&amp;".",""),IF(AND($A$5&gt;=3,$A444&gt;=3),E444&amp;".",""),IF(AND($A$5&gt;=4,$A444&gt;=4),F444&amp;".",""),IF($A444="S",G444&amp;".","")))</f>
        <v>6.4.</v>
      </c>
      <c r="L444" s="137" t="str">
        <f ca="1">IF(NOT(ISERROR($Y444)),IF($Y444&lt;&gt;FALSE,INDEX(Banco,$Y444,4),""),"")</f>
        <v/>
      </c>
      <c r="M444" s="122"/>
      <c r="N444" s="139"/>
      <c r="O444" s="137" t="s">
        <v>378</v>
      </c>
      <c r="P444" s="138" t="str">
        <f ca="1">IF(NOT(ISERROR($Y444)),IF($Y444&lt;&gt;FALSE,INDEX(Banco,$Y444,6),""),"")</f>
        <v/>
      </c>
      <c r="Q444" s="134"/>
      <c r="R444" s="124">
        <f ca="1">IF(NOT(ISERROR($Y444)),IF($Y444&lt;&gt;FALSE,INDEX(Banco,$Y444,7),0),0)</f>
        <v>0</v>
      </c>
      <c r="S444" s="136" t="s">
        <v>62</v>
      </c>
      <c r="T444" s="123">
        <f>IF($J444=$G$2,ROUND(ROUND($R444,2)*IF($R$9="Preço Unitário (R$)",1,1+$AA444),2),0)</f>
        <v>0</v>
      </c>
      <c r="U444" s="126">
        <f ca="1">IF($A444="S",VTOTAL1,IF($A444=0,0,ROUND(SomaAgrup,2)))</f>
        <v>7735.87</v>
      </c>
      <c r="V444" s="1"/>
      <c r="W444" s="39">
        <f ca="1">IF(OR($A444=0,$A444="S",$A444&gt;CFF!$A$9),"",MAX(W$11:OFFSET(W444,-1,0))+1)</f>
        <v>37</v>
      </c>
      <c r="X444" s="4" t="b">
        <f>IF(AND($J444=$G$2,$N444&lt;&gt;"",$M444&lt;&gt;""),CONCATENATE($M444,"-",$N444))</f>
        <v>0</v>
      </c>
      <c r="Y444" s="39" t="b">
        <f ca="1">IF(X444&lt;&gt;FALSE,MATCH(X444,OFFSET(Banco,0,0,,1),0))</f>
        <v>0</v>
      </c>
      <c r="Z444" s="1"/>
      <c r="AA444" s="133" t="str">
        <f>IF($J444=$G$2,ROUND(IF(ISNUMBER(S444),S444,IF(LEFT(S444,2)="DI",HLOOKUP(S444,DADOS!$T$29:$X$30,2,FALSE),0)),4),"")</f>
        <v/>
      </c>
      <c r="AB444" s="2"/>
    </row>
    <row r="445" spans="1:28">
      <c r="A445" t="str">
        <f t="shared" ref="A445:A450" si="503">CHOOSE(1+LOG(1+2*(J445=$C$2)+4*(J445=$D$2)+8*(J445=$E$2)+16*(J445=$F$2)+32*(J445=$G$2),2),0,1,2,3,4,"S")</f>
        <v>S</v>
      </c>
      <c r="B445">
        <f t="shared" ref="B445:B450" si="504">IF(OR(A445="S",A445=0),0,IF(ISERROR(I445),H445,SMALL(H445:I445,1)))</f>
        <v>0</v>
      </c>
      <c r="C445">
        <f t="shared" ref="C445:C461" ca="1" si="505">IF($A445=1,OFFSET(C445,-1,0)+1,OFFSET(C445,-1,0))</f>
        <v>6</v>
      </c>
      <c r="D445">
        <f t="shared" ref="D445:D461" ca="1" si="506">IF($A445=1,0,IF($A445=2,OFFSET(D445,-1,0)+1,OFFSET(D445,-1,0)))</f>
        <v>4</v>
      </c>
      <c r="E445">
        <f t="shared" ref="E445:E461" ca="1" si="507">IF(AND($A445&lt;=2,$A445&lt;&gt;0),0,IF($A445=3,OFFSET(E445,-1,0)+1,OFFSET(E445,-1,0)))</f>
        <v>0</v>
      </c>
      <c r="F445">
        <f t="shared" ref="F445:F461" ca="1" si="508">IF(AND($A445&lt;=3,$A445&lt;&gt;0),0,IF($A445=4,OFFSET(F445,-1,0)+1,OFFSET(F445,-1,0)))</f>
        <v>0</v>
      </c>
      <c r="G445">
        <f t="shared" ref="G445:G461" ca="1" si="509">IF(AND($A445&lt;=4,$A445&lt;&gt;0),0,IF($A445="S",OFFSET(G445,-1,0)+1,OFFSET(G445,-1,0)))</f>
        <v>1</v>
      </c>
      <c r="H445">
        <f ca="1">IF(OR($A445="S",$A445=0),0,MATCH(0,OFFSET($B445,1,$A445,ROW($A$1504)-ROW($A445)),0))</f>
        <v>0</v>
      </c>
      <c r="I445">
        <f ca="1">IF(OR($A445="S",$A445=0),0,MATCH(OFFSET($B445,0,$A445)+1,OFFSET($B445,1,$A445,ROW($A$1504)-ROW($A445)),0))</f>
        <v>0</v>
      </c>
      <c r="J445" s="132" t="s">
        <v>29</v>
      </c>
      <c r="K445" s="121" t="str">
        <f t="shared" ref="K445:K450" ca="1" si="510">IF($A445=0,"-",CONCATENATE(C445&amp;".",IF(AND($A$5&gt;=2,$A445&gt;=2),D445&amp;".",""),IF(AND($A$5&gt;=3,$A445&gt;=3),E445&amp;".",""),IF(AND($A$5&gt;=4,$A445&gt;=4),F445&amp;".",""),IF($A445="S",G445&amp;".","")))</f>
        <v>6.4.1.</v>
      </c>
      <c r="L445" s="137" t="str">
        <f t="shared" ref="L445:L461" ca="1" si="511">IF(NOT(ISERROR($Y445)),IF($Y445&lt;&gt;FALSE,INDEX(Banco,$Y445,4),""),"")</f>
        <v>CRESS</v>
      </c>
      <c r="M445" s="122" t="s">
        <v>78</v>
      </c>
      <c r="N445" s="139" t="s">
        <v>149</v>
      </c>
      <c r="O445" s="137" t="str">
        <f ca="1">IF(NOT(ISERROR($Y445)),IF($Y445&lt;&gt;FALSE,INDEX(Banco,$Y445,5),""),"")</f>
        <v>Responsável Técnica</v>
      </c>
      <c r="P445" s="138" t="str">
        <f t="shared" ref="P445:P461" ca="1" si="512">IF(NOT(ISERROR($Y445)),IF($Y445&lt;&gt;FALSE,INDEX(Banco,$Y445,6),""),"")</f>
        <v>Horas</v>
      </c>
      <c r="Q445" s="134">
        <v>6</v>
      </c>
      <c r="R445" s="124">
        <f t="shared" ref="R445:R461" ca="1" si="513">IF(NOT(ISERROR($Y445)),IF($Y445&lt;&gt;FALSE,INDEX(Banco,$Y445,7),0),0)</f>
        <v>150.28</v>
      </c>
      <c r="S445" s="136" t="s">
        <v>62</v>
      </c>
      <c r="T445" s="123">
        <f t="shared" ref="T445:T461" ca="1" si="514">IF($J445=$G$2,ROUND(ROUND($R445,2)*IF($R$9="Preço Unitário (R$)",1,1+$AA445),2),0)</f>
        <v>187.85</v>
      </c>
      <c r="U445" s="126">
        <f t="shared" ref="U445:U461" ca="1" si="515">IF($A445="S",VTOTAL1,IF($A445=0,0,ROUND(SomaAgrup,2)))</f>
        <v>1127.0999999999999</v>
      </c>
      <c r="V445" s="1"/>
      <c r="W445" s="39" t="str">
        <f ca="1">IF(OR($A445=0,$A445="S",$A445&gt;CFF!$A$9),"",MAX(W$11:OFFSET(W445,-1,0))+1)</f>
        <v/>
      </c>
      <c r="X445" s="4" t="str">
        <f t="shared" ref="X445:X461" si="516">IF(AND($J445=$G$2,$N445&lt;&gt;"",$M445&lt;&gt;""),CONCATENATE($M445,"-",$N445))</f>
        <v>Rec. Humanos-001</v>
      </c>
      <c r="Y445" s="39">
        <f t="shared" ref="Y445:Y450" ca="1" si="517">IF(X445&lt;&gt;FALSE,MATCH(X445,OFFSET(Banco,0,0,,1),0))</f>
        <v>3</v>
      </c>
      <c r="Z445" s="1"/>
      <c r="AA445" s="133">
        <f>IF($J445=$G$2,ROUND(IF(ISNUMBER(S445),S445,IF(LEFT(S445,2)="DI",HLOOKUP(S445,DADOS!$T$29:$X$30,2,FALSE),0)),4),"")</f>
        <v>0.25</v>
      </c>
      <c r="AB445" s="2"/>
    </row>
    <row r="446" spans="1:28">
      <c r="A446" t="str">
        <f t="shared" si="503"/>
        <v>S</v>
      </c>
      <c r="B446">
        <f t="shared" si="504"/>
        <v>0</v>
      </c>
      <c r="C446">
        <f t="shared" ca="1" si="505"/>
        <v>6</v>
      </c>
      <c r="D446">
        <f t="shared" ca="1" si="506"/>
        <v>4</v>
      </c>
      <c r="E446">
        <f t="shared" ca="1" si="507"/>
        <v>0</v>
      </c>
      <c r="F446">
        <f t="shared" ca="1" si="508"/>
        <v>0</v>
      </c>
      <c r="G446">
        <f t="shared" ca="1" si="509"/>
        <v>2</v>
      </c>
      <c r="H446">
        <f ca="1">IF(OR($A446="S",$A446=0),0,MATCH(0,OFFSET($B446,1,$A446,ROW($A$1504)-ROW($A446)),0))</f>
        <v>0</v>
      </c>
      <c r="I446">
        <f ca="1">IF(OR($A446="S",$A446=0),0,MATCH(OFFSET($B446,0,$A446)+1,OFFSET($B446,1,$A446,ROW($A$1504)-ROW($A446)),0))</f>
        <v>0</v>
      </c>
      <c r="J446" s="132" t="s">
        <v>29</v>
      </c>
      <c r="K446" s="121" t="str">
        <f t="shared" ca="1" si="510"/>
        <v>6.4.2.</v>
      </c>
      <c r="L446" s="137" t="str">
        <f t="shared" ca="1" si="511"/>
        <v>CRESS</v>
      </c>
      <c r="M446" s="122" t="s">
        <v>78</v>
      </c>
      <c r="N446" s="139" t="s">
        <v>152</v>
      </c>
      <c r="O446" s="137" t="str">
        <f ca="1">IF(NOT(ISERROR($Y446)),IF($Y446&lt;&gt;FALSE,INDEX(Banco,$Y446,5),""),"")</f>
        <v>Assistente Social</v>
      </c>
      <c r="P446" s="138" t="str">
        <f t="shared" ca="1" si="512"/>
        <v>Horas</v>
      </c>
      <c r="Q446" s="134">
        <v>4</v>
      </c>
      <c r="R446" s="124">
        <f t="shared" ca="1" si="513"/>
        <v>133.81</v>
      </c>
      <c r="S446" s="136" t="s">
        <v>62</v>
      </c>
      <c r="T446" s="123">
        <f t="shared" ca="1" si="514"/>
        <v>167.26</v>
      </c>
      <c r="U446" s="126">
        <f t="shared" ca="1" si="515"/>
        <v>669.04</v>
      </c>
      <c r="V446" s="1"/>
      <c r="W446" s="39" t="str">
        <f ca="1">IF(OR($A446=0,$A446="S",$A446&gt;CFF!$A$9),"",MAX(W$11:OFFSET(W446,-1,0))+1)</f>
        <v/>
      </c>
      <c r="X446" s="4" t="str">
        <f t="shared" si="516"/>
        <v>Rec. Humanos-002</v>
      </c>
      <c r="Y446" s="39">
        <f t="shared" ca="1" si="517"/>
        <v>4</v>
      </c>
      <c r="Z446" s="1"/>
      <c r="AA446" s="133">
        <f>IF($J446=$G$2,ROUND(IF(ISNUMBER(S446),S446,IF(LEFT(S446,2)="DI",HLOOKUP(S446,DADOS!$T$29:$X$30,2,FALSE),0)),4),"")</f>
        <v>0.25</v>
      </c>
      <c r="AB446" s="2"/>
    </row>
    <row r="447" spans="1:28">
      <c r="A447" t="str">
        <f t="shared" si="503"/>
        <v>S</v>
      </c>
      <c r="B447">
        <f t="shared" si="504"/>
        <v>0</v>
      </c>
      <c r="C447">
        <f t="shared" ca="1" si="505"/>
        <v>6</v>
      </c>
      <c r="D447">
        <f t="shared" ca="1" si="506"/>
        <v>4</v>
      </c>
      <c r="E447">
        <f t="shared" ca="1" si="507"/>
        <v>0</v>
      </c>
      <c r="F447">
        <f t="shared" ca="1" si="508"/>
        <v>0</v>
      </c>
      <c r="G447">
        <f t="shared" ca="1" si="509"/>
        <v>3</v>
      </c>
      <c r="H447">
        <f ca="1">IF(OR($A447="S",$A447=0),0,MATCH(0,OFFSET($B447,1,$A447,ROW($A$1504)-ROW($A447)),0))</f>
        <v>0</v>
      </c>
      <c r="I447">
        <f ca="1">IF(OR($A447="S",$A447=0),0,MATCH(OFFSET($B447,0,$A447)+1,OFFSET($B447,1,$A447,ROW($A$1504)-ROW($A447)),0))</f>
        <v>0</v>
      </c>
      <c r="J447" s="132" t="s">
        <v>29</v>
      </c>
      <c r="K447" s="121" t="str">
        <f t="shared" ca="1" si="510"/>
        <v>6.4.3.</v>
      </c>
      <c r="L447" s="137" t="str">
        <f t="shared" ca="1" si="511"/>
        <v>Cotação</v>
      </c>
      <c r="M447" s="122" t="s">
        <v>78</v>
      </c>
      <c r="N447" s="139" t="s">
        <v>151</v>
      </c>
      <c r="O447" s="137" t="str">
        <f ca="1">IF(NOT(ISERROR($Y447)),IF($Y447&lt;&gt;FALSE,INDEX(Banco,$Y447,5),""),"")</f>
        <v xml:space="preserve">Administrador (Técnico de Apoio) </v>
      </c>
      <c r="P447" s="138" t="str">
        <f t="shared" ca="1" si="512"/>
        <v>Horas</v>
      </c>
      <c r="Q447" s="134">
        <v>4</v>
      </c>
      <c r="R447" s="124">
        <f t="shared" ca="1" si="513"/>
        <v>103.65</v>
      </c>
      <c r="S447" s="136" t="s">
        <v>62</v>
      </c>
      <c r="T447" s="123">
        <f t="shared" ca="1" si="514"/>
        <v>129.56</v>
      </c>
      <c r="U447" s="126">
        <f t="shared" ca="1" si="515"/>
        <v>518.24</v>
      </c>
      <c r="V447" s="1"/>
      <c r="W447" s="39" t="str">
        <f ca="1">IF(OR($A447=0,$A447="S",$A447&gt;CFF!$A$9),"",MAX(W$11:OFFSET(W447,-1,0))+1)</f>
        <v/>
      </c>
      <c r="X447" s="4" t="str">
        <f t="shared" si="516"/>
        <v>Rec. Humanos-003</v>
      </c>
      <c r="Y447" s="39">
        <f t="shared" ca="1" si="517"/>
        <v>5</v>
      </c>
      <c r="Z447" s="1"/>
      <c r="AA447" s="133">
        <f>IF($J447=$G$2,ROUND(IF(ISNUMBER(S447),S447,IF(LEFT(S447,2)="DI",HLOOKUP(S447,DADOS!$T$29:$X$30,2,FALSE),0)),4),"")</f>
        <v>0.25</v>
      </c>
      <c r="AB447" s="2"/>
    </row>
    <row r="448" spans="1:28">
      <c r="A448" t="str">
        <f t="shared" si="503"/>
        <v>S</v>
      </c>
      <c r="B448">
        <f t="shared" si="504"/>
        <v>0</v>
      </c>
      <c r="C448">
        <f t="shared" ca="1" si="505"/>
        <v>6</v>
      </c>
      <c r="D448">
        <f t="shared" ca="1" si="506"/>
        <v>4</v>
      </c>
      <c r="E448">
        <f t="shared" ca="1" si="507"/>
        <v>0</v>
      </c>
      <c r="F448">
        <f t="shared" ca="1" si="508"/>
        <v>0</v>
      </c>
      <c r="G448">
        <f t="shared" ca="1" si="509"/>
        <v>4</v>
      </c>
      <c r="H448">
        <f ca="1">IF(OR($A448="S",$A448=0),0,MATCH(0,OFFSET($B448,1,$A448,ROW($A$1504)-ROW($A448)),0))</f>
        <v>0</v>
      </c>
      <c r="I448">
        <f ca="1">IF(OR($A448="S",$A448=0),0,MATCH(OFFSET($B448,0,$A448)+1,OFFSET($B448,1,$A448,ROW($A$1504)-ROW($A448)),0))</f>
        <v>0</v>
      </c>
      <c r="J448" s="132" t="s">
        <v>29</v>
      </c>
      <c r="K448" s="121" t="str">
        <f t="shared" ca="1" si="510"/>
        <v>6.4.4.</v>
      </c>
      <c r="L448" s="137" t="str">
        <f t="shared" ca="1" si="511"/>
        <v>SINE</v>
      </c>
      <c r="M448" s="122" t="s">
        <v>78</v>
      </c>
      <c r="N448" s="139" t="s">
        <v>153</v>
      </c>
      <c r="O448" s="137" t="str">
        <f ca="1">IF(NOT(ISERROR($Y448)),IF($Y448&lt;&gt;FALSE,INDEX(Banco,$Y448,5),""),"")</f>
        <v>Estagiários</v>
      </c>
      <c r="P448" s="138" t="str">
        <f t="shared" ca="1" si="512"/>
        <v>Horas</v>
      </c>
      <c r="Q448" s="134">
        <v>10</v>
      </c>
      <c r="R448" s="124">
        <f t="shared" ca="1" si="513"/>
        <v>9.7899999999999991</v>
      </c>
      <c r="S448" s="136" t="s">
        <v>62</v>
      </c>
      <c r="T448" s="123">
        <f t="shared" ca="1" si="514"/>
        <v>12.24</v>
      </c>
      <c r="U448" s="126">
        <f t="shared" ca="1" si="515"/>
        <v>122.4</v>
      </c>
      <c r="V448" s="1"/>
      <c r="W448" s="39" t="str">
        <f ca="1">IF(OR($A448=0,$A448="S",$A448&gt;CFF!$A$9),"",MAX(W$11:OFFSET(W448,-1,0))+1)</f>
        <v/>
      </c>
      <c r="X448" s="4" t="str">
        <f t="shared" si="516"/>
        <v>Rec. Humanos-004</v>
      </c>
      <c r="Y448" s="39">
        <f t="shared" ca="1" si="517"/>
        <v>6</v>
      </c>
      <c r="Z448" s="1"/>
      <c r="AA448" s="133">
        <f>IF($J448=$G$2,ROUND(IF(ISNUMBER(S448),S448,IF(LEFT(S448,2)="DI",HLOOKUP(S448,DADOS!$T$29:$X$30,2,FALSE),0)),4),"")</f>
        <v>0.25</v>
      </c>
      <c r="AB448" s="2"/>
    </row>
    <row r="449" spans="1:28">
      <c r="A449" t="str">
        <f>CHOOSE(1+LOG(1+2*(J449=$C$2)+4*(J449=$D$2)+8*(J449=$E$2)+16*(J449=$F$2)+32*(J449=$G$2),2),0,1,2,3,4,"S")</f>
        <v>S</v>
      </c>
      <c r="B449">
        <f>IF(OR(A449="S",A449=0),0,IF(ISERROR(I449),H449,SMALL(H449:I449,1)))</f>
        <v>0</v>
      </c>
      <c r="C449">
        <f ca="1">IF($A449=1,OFFSET(C449,-1,0)+1,OFFSET(C449,-1,0))</f>
        <v>6</v>
      </c>
      <c r="D449">
        <f ca="1">IF($A449=1,0,IF($A449=2,OFFSET(D449,-1,0)+1,OFFSET(D449,-1,0)))</f>
        <v>4</v>
      </c>
      <c r="E449">
        <f ca="1">IF(AND($A449&lt;=2,$A449&lt;&gt;0),0,IF($A449=3,OFFSET(E449,-1,0)+1,OFFSET(E449,-1,0)))</f>
        <v>0</v>
      </c>
      <c r="F449">
        <f ca="1">IF(AND($A449&lt;=3,$A449&lt;&gt;0),0,IF($A449=4,OFFSET(F449,-1,0)+1,OFFSET(F449,-1,0)))</f>
        <v>0</v>
      </c>
      <c r="G449">
        <f ca="1">IF(AND($A449&lt;=4,$A449&lt;&gt;0),0,IF($A449="S",OFFSET(G449,-1,0)+1,OFFSET(G449,-1,0)))</f>
        <v>5</v>
      </c>
      <c r="H449">
        <f ca="1">IF(OR($A449="S",$A449=0),0,MATCH(0,OFFSET($B449,1,$A449,ROW($A$1504)-ROW($A449)),0))</f>
        <v>0</v>
      </c>
      <c r="I449">
        <f ca="1">IF(OR($A449="S",$A449=0),0,MATCH(OFFSET($B449,0,$A449)+1,OFFSET($B449,1,$A449,ROW($A$1504)-ROW($A449)),0))</f>
        <v>0</v>
      </c>
      <c r="J449" s="132" t="s">
        <v>29</v>
      </c>
      <c r="K449" s="121" t="str">
        <f ca="1">IF($A449=0,"-",CONCATENATE(C449&amp;".",IF(AND($A$5&gt;=2,$A449&gt;=2),D449&amp;".",""),IF(AND($A$5&gt;=3,$A449&gt;=3),E449&amp;".",""),IF(AND($A$5&gt;=4,$A449&gt;=4),F449&amp;".",""),IF($A449="S",G449&amp;".","")))</f>
        <v>6.4.5.</v>
      </c>
      <c r="L449" s="137" t="str">
        <f ca="1">IF(NOT(ISERROR($Y449)),IF($Y449&lt;&gt;FALSE,INDEX(Banco,$Y449,4),""),"")</f>
        <v>CREAMT</v>
      </c>
      <c r="M449" s="122" t="s">
        <v>80</v>
      </c>
      <c r="N449" s="139" t="s">
        <v>223</v>
      </c>
      <c r="O449" s="137" t="str">
        <f ca="1">IF(NOT(ISERROR($Y449)),IF($Y449&lt;&gt;FALSE,INDEX(Banco,$Y449,5),""),"")</f>
        <v>Engenheiro Agrônomo</v>
      </c>
      <c r="P449" s="138" t="str">
        <f ca="1">IF(NOT(ISERROR($Y449)),IF($Y449&lt;&gt;FALSE,INDEX(Banco,$Y449,6),""),"")</f>
        <v>Horas</v>
      </c>
      <c r="Q449" s="134">
        <v>3</v>
      </c>
      <c r="R449" s="124">
        <f ca="1">IF(NOT(ISERROR($Y449)),IF($Y449&lt;&gt;FALSE,INDEX(Banco,$Y449,7),0),0)</f>
        <v>197</v>
      </c>
      <c r="S449" s="136" t="s">
        <v>62</v>
      </c>
      <c r="T449" s="123">
        <f ca="1">IF($J449=$G$2,ROUND(ROUND($R449,2)*IF($R$9="Preço Unitário (R$)",1,1+$AA449),2),0)</f>
        <v>246.25</v>
      </c>
      <c r="U449" s="126">
        <f ca="1">IF($A449="S",VTOTAL1,IF($A449=0,0,ROUND(SomaAgrup,2)))</f>
        <v>738.75</v>
      </c>
      <c r="V449" s="1"/>
      <c r="W449" s="39" t="str">
        <f ca="1">IF(OR($A449=0,$A449="S",$A449&gt;CFF!$A$9),"",MAX(W$11:OFFSET(W449,-1,0))+1)</f>
        <v/>
      </c>
      <c r="X449" s="4" t="str">
        <f>IF(AND($J449=$G$2,$N449&lt;&gt;"",$M449&lt;&gt;""),CONCATENATE($M449,"-",$N449))</f>
        <v>Serv. Terc.-066</v>
      </c>
      <c r="Y449" s="39">
        <f ca="1">IF(X449&lt;&gt;FALSE,MATCH(X449,OFFSET(Banco,0,0,,1),0))</f>
        <v>146</v>
      </c>
      <c r="Z449" s="1"/>
      <c r="AA449" s="133">
        <f>IF($J449=$G$2,ROUND(IF(ISNUMBER(S449),S449,IF(LEFT(S449,2)="DI",HLOOKUP(S449,DADOS!$T$29:$X$30,2,FALSE),0)),4),"")</f>
        <v>0.25</v>
      </c>
      <c r="AB449" s="2"/>
    </row>
    <row r="450" spans="1:28">
      <c r="A450" t="str">
        <f t="shared" si="503"/>
        <v>S</v>
      </c>
      <c r="B450">
        <f t="shared" si="504"/>
        <v>0</v>
      </c>
      <c r="C450">
        <f t="shared" ca="1" si="505"/>
        <v>6</v>
      </c>
      <c r="D450">
        <f t="shared" ca="1" si="506"/>
        <v>4</v>
      </c>
      <c r="E450">
        <f t="shared" ca="1" si="507"/>
        <v>0</v>
      </c>
      <c r="F450">
        <f t="shared" ca="1" si="508"/>
        <v>0</v>
      </c>
      <c r="G450">
        <f t="shared" ca="1" si="509"/>
        <v>6</v>
      </c>
      <c r="H450">
        <f ca="1">IF(OR($A450="S",$A450=0),0,MATCH(0,OFFSET($B450,1,$A450,ROW($A$1504)-ROW($A450)),0))</f>
        <v>0</v>
      </c>
      <c r="I450">
        <f ca="1">IF(OR($A450="S",$A450=0),0,MATCH(OFFSET($B450,0,$A450)+1,OFFSET($B450,1,$A450,ROW($A$1504)-ROW($A450)),0))</f>
        <v>0</v>
      </c>
      <c r="J450" s="132" t="s">
        <v>29</v>
      </c>
      <c r="K450" s="121" t="str">
        <f t="shared" ca="1" si="510"/>
        <v>6.4.6.</v>
      </c>
      <c r="L450" s="137" t="str">
        <f t="shared" ca="1" si="511"/>
        <v>Cotação</v>
      </c>
      <c r="M450" s="122" t="s">
        <v>80</v>
      </c>
      <c r="N450" s="139" t="s">
        <v>149</v>
      </c>
      <c r="O450" s="137" t="str">
        <f t="shared" ref="O450:O461" ca="1" si="518">IF(NOT(ISERROR($Y450)),IF($Y450&lt;&gt;FALSE,INDEX(Banco,$Y450,5),""),"")</f>
        <v>Fotocópias</v>
      </c>
      <c r="P450" s="138" t="str">
        <f t="shared" ca="1" si="512"/>
        <v>Unidade</v>
      </c>
      <c r="Q450" s="134">
        <v>100</v>
      </c>
      <c r="R450" s="124">
        <f t="shared" ca="1" si="513"/>
        <v>0.3</v>
      </c>
      <c r="S450" s="136" t="s">
        <v>62</v>
      </c>
      <c r="T450" s="123">
        <f t="shared" ca="1" si="514"/>
        <v>0.38</v>
      </c>
      <c r="U450" s="126">
        <f t="shared" ca="1" si="515"/>
        <v>38</v>
      </c>
      <c r="V450" s="1"/>
      <c r="W450" s="39" t="str">
        <f ca="1">IF(OR($A450=0,$A450="S",$A450&gt;CFF!$A$9),"",MAX(W$11:OFFSET(W450,-1,0))+1)</f>
        <v/>
      </c>
      <c r="X450" s="4" t="str">
        <f t="shared" si="516"/>
        <v>Serv. Terc.-001</v>
      </c>
      <c r="Y450" s="39">
        <f t="shared" ca="1" si="517"/>
        <v>81</v>
      </c>
      <c r="Z450" s="1"/>
      <c r="AA450" s="133">
        <f>IF($J450=$G$2,ROUND(IF(ISNUMBER(S450),S450,IF(LEFT(S450,2)="DI",HLOOKUP(S450,DADOS!$T$29:$X$30,2,FALSE),0)),4),"")</f>
        <v>0.25</v>
      </c>
      <c r="AB450" s="2"/>
    </row>
    <row r="451" spans="1:28">
      <c r="A451" t="str">
        <f t="shared" ref="A451:A456" si="519">CHOOSE(1+LOG(1+2*(J451=$C$2)+4*(J451=$D$2)+8*(J451=$E$2)+16*(J451=$F$2)+32*(J451=$G$2),2),0,1,2,3,4,"S")</f>
        <v>S</v>
      </c>
      <c r="B451">
        <f t="shared" ref="B451:B456" si="520">IF(OR(A451="S",A451=0),0,IF(ISERROR(I451),H451,SMALL(H451:I451,1)))</f>
        <v>0</v>
      </c>
      <c r="C451">
        <f ca="1">IF($A451=1,OFFSET(C451,-1,0)+1,OFFSET(C451,-1,0))</f>
        <v>6</v>
      </c>
      <c r="D451">
        <f ca="1">IF($A451=1,0,IF($A451=2,OFFSET(D451,-1,0)+1,OFFSET(D451,-1,0)))</f>
        <v>4</v>
      </c>
      <c r="E451">
        <f ca="1">IF(AND($A451&lt;=2,$A451&lt;&gt;0),0,IF($A451=3,OFFSET(E451,-1,0)+1,OFFSET(E451,-1,0)))</f>
        <v>0</v>
      </c>
      <c r="F451">
        <f ca="1">IF(AND($A451&lt;=3,$A451&lt;&gt;0),0,IF($A451=4,OFFSET(F451,-1,0)+1,OFFSET(F451,-1,0)))</f>
        <v>0</v>
      </c>
      <c r="G451">
        <f ca="1">IF(AND($A451&lt;=4,$A451&lt;&gt;0),0,IF($A451="S",OFFSET(G451,-1,0)+1,OFFSET(G451,-1,0)))</f>
        <v>7</v>
      </c>
      <c r="H451">
        <f ca="1">IF(OR($A451="S",$A451=0),0,MATCH(0,OFFSET($B451,1,$A451,ROW($A$1504)-ROW($A451)),0))</f>
        <v>0</v>
      </c>
      <c r="I451">
        <f ca="1">IF(OR($A451="S",$A451=0),0,MATCH(OFFSET($B451,0,$A451)+1,OFFSET($B451,1,$A451,ROW($A$1504)-ROW($A451)),0))</f>
        <v>0</v>
      </c>
      <c r="J451" s="132" t="s">
        <v>29</v>
      </c>
      <c r="K451" s="121" t="str">
        <f t="shared" ref="K451:K456" ca="1" si="521">IF($A451=0,"-",CONCATENATE(C451&amp;".",IF(AND($A$5&gt;=2,$A451&gt;=2),D451&amp;".",""),IF(AND($A$5&gt;=3,$A451&gt;=3),E451&amp;".",""),IF(AND($A$5&gt;=4,$A451&gt;=4),F451&amp;".",""),IF($A451="S",G451&amp;".","")))</f>
        <v>6.4.7.</v>
      </c>
      <c r="L451" s="137" t="str">
        <f ca="1">IF(NOT(ISERROR($Y451)),IF($Y451&lt;&gt;FALSE,INDEX(Banco,$Y451,4),""),"")</f>
        <v>Cotação</v>
      </c>
      <c r="M451" s="122" t="s">
        <v>80</v>
      </c>
      <c r="N451" s="139" t="s">
        <v>256</v>
      </c>
      <c r="O451" s="137" t="str">
        <f ca="1">IF(NOT(ISERROR($Y451)),IF($Y451&lt;&gt;FALSE,INDEX(Banco,$Y451,5),""),"")</f>
        <v>Instrutor/Monitor (Educação Fisíca)</v>
      </c>
      <c r="P451" s="138" t="str">
        <f ca="1">IF(NOT(ISERROR($Y451)),IF($Y451&lt;&gt;FALSE,INDEX(Banco,$Y451,6),""),"")</f>
        <v>Horas</v>
      </c>
      <c r="Q451" s="134">
        <v>3</v>
      </c>
      <c r="R451" s="124">
        <f ca="1">IF(NOT(ISERROR($Y451)),IF($Y451&lt;&gt;FALSE,INDEX(Banco,$Y451,7),0),0)</f>
        <v>100</v>
      </c>
      <c r="S451" s="136" t="s">
        <v>62</v>
      </c>
      <c r="T451" s="123">
        <f ca="1">IF($J451=$G$2,ROUND(ROUND($R451,2)*IF($R$9="Preço Unitário (R$)",1,1+$AA451),2),0)</f>
        <v>125</v>
      </c>
      <c r="U451" s="126">
        <f ca="1">IF($A451="S",VTOTAL1,IF($A451=0,0,ROUND(SomaAgrup,2)))</f>
        <v>375</v>
      </c>
      <c r="V451" s="1"/>
      <c r="W451" s="39" t="str">
        <f ca="1">IF(OR($A451=0,$A451="S",$A451&gt;CFF!$A$9),"",MAX(W$11:OFFSET(W451,-1,0))+1)</f>
        <v/>
      </c>
      <c r="X451" s="4" t="str">
        <f>IF(AND($J451=$G$2,$N451&lt;&gt;"",$M451&lt;&gt;""),CONCATENATE($M451,"-",$N451))</f>
        <v>Serv. Terc.-017</v>
      </c>
      <c r="Y451" s="39">
        <f t="shared" ref="Y451:Y456" ca="1" si="522">IF(X451&lt;&gt;FALSE,MATCH(X451,OFFSET(Banco,0,0,,1),0))</f>
        <v>97</v>
      </c>
      <c r="Z451" s="1"/>
      <c r="AA451" s="133">
        <f>IF($J451=$G$2,ROUND(IF(ISNUMBER(S451),S451,IF(LEFT(S451,2)="DI",HLOOKUP(S451,DADOS!$T$29:$X$30,2,FALSE),0)),4),"")</f>
        <v>0.25</v>
      </c>
      <c r="AB451" s="2"/>
    </row>
    <row r="452" spans="1:28">
      <c r="A452" t="str">
        <f t="shared" si="519"/>
        <v>S</v>
      </c>
      <c r="B452">
        <f t="shared" si="520"/>
        <v>0</v>
      </c>
      <c r="C452">
        <f t="shared" ca="1" si="505"/>
        <v>6</v>
      </c>
      <c r="D452">
        <f t="shared" ca="1" si="506"/>
        <v>4</v>
      </c>
      <c r="E452">
        <f t="shared" ca="1" si="507"/>
        <v>0</v>
      </c>
      <c r="F452">
        <f t="shared" ca="1" si="508"/>
        <v>0</v>
      </c>
      <c r="G452">
        <f t="shared" ca="1" si="509"/>
        <v>8</v>
      </c>
      <c r="H452">
        <f ca="1">IF(OR($A452="S",$A452=0),0,MATCH(0,OFFSET($B452,1,$A452,ROW($A$1504)-ROW($A452)),0))</f>
        <v>0</v>
      </c>
      <c r="I452">
        <f ca="1">IF(OR($A452="S",$A452=0),0,MATCH(OFFSET($B452,0,$A452)+1,OFFSET($B452,1,$A452,ROW($A$1504)-ROW($A452)),0))</f>
        <v>0</v>
      </c>
      <c r="J452" s="132" t="s">
        <v>29</v>
      </c>
      <c r="K452" s="121" t="str">
        <f t="shared" ca="1" si="521"/>
        <v>6.4.8.</v>
      </c>
      <c r="L452" s="137" t="str">
        <f t="shared" ca="1" si="511"/>
        <v>Cotação</v>
      </c>
      <c r="M452" s="122" t="s">
        <v>80</v>
      </c>
      <c r="N452" s="139" t="s">
        <v>152</v>
      </c>
      <c r="O452" s="137" t="str">
        <f t="shared" ca="1" si="518"/>
        <v>Carro de som com gravação de vinheta</v>
      </c>
      <c r="P452" s="138" t="str">
        <f t="shared" ca="1" si="512"/>
        <v>Horas</v>
      </c>
      <c r="Q452" s="134">
        <v>3</v>
      </c>
      <c r="R452" s="124">
        <f t="shared" ca="1" si="513"/>
        <v>200</v>
      </c>
      <c r="S452" s="136" t="s">
        <v>62</v>
      </c>
      <c r="T452" s="123">
        <f t="shared" ca="1" si="514"/>
        <v>250</v>
      </c>
      <c r="U452" s="126">
        <f t="shared" ca="1" si="515"/>
        <v>750</v>
      </c>
      <c r="V452" s="1"/>
      <c r="W452" s="39" t="str">
        <f ca="1">IF(OR($A452=0,$A452="S",$A452&gt;CFF!$A$9),"",MAX(W$11:OFFSET(W452,-1,0))+1)</f>
        <v/>
      </c>
      <c r="X452" s="4" t="str">
        <f t="shared" si="516"/>
        <v>Serv. Terc.-002</v>
      </c>
      <c r="Y452" s="39">
        <f t="shared" ca="1" si="522"/>
        <v>82</v>
      </c>
      <c r="Z452" s="1"/>
      <c r="AA452" s="133">
        <f>IF($J452=$G$2,ROUND(IF(ISNUMBER(S452),S452,IF(LEFT(S452,2)="DI",HLOOKUP(S452,DADOS!$T$29:$X$30,2,FALSE),0)),4),"")</f>
        <v>0.25</v>
      </c>
      <c r="AB452" s="2"/>
    </row>
    <row r="453" spans="1:28">
      <c r="A453" t="str">
        <f t="shared" si="519"/>
        <v>S</v>
      </c>
      <c r="B453">
        <f t="shared" si="520"/>
        <v>0</v>
      </c>
      <c r="C453">
        <f t="shared" ca="1" si="505"/>
        <v>6</v>
      </c>
      <c r="D453">
        <f t="shared" ca="1" si="506"/>
        <v>4</v>
      </c>
      <c r="E453">
        <f t="shared" ca="1" si="507"/>
        <v>0</v>
      </c>
      <c r="F453">
        <f t="shared" ca="1" si="508"/>
        <v>0</v>
      </c>
      <c r="G453">
        <f t="shared" ca="1" si="509"/>
        <v>9</v>
      </c>
      <c r="H453">
        <f ca="1">IF(OR($A453="S",$A453=0),0,MATCH(0,OFFSET($B453,1,$A453,ROW($A$1504)-ROW($A453)),0))</f>
        <v>0</v>
      </c>
      <c r="I453">
        <f ca="1">IF(OR($A453="S",$A453=0),0,MATCH(OFFSET($B453,0,$A453)+1,OFFSET($B453,1,$A453,ROW($A$1504)-ROW($A453)),0))</f>
        <v>0</v>
      </c>
      <c r="J453" s="132" t="s">
        <v>29</v>
      </c>
      <c r="K453" s="121" t="str">
        <f t="shared" ca="1" si="521"/>
        <v>6.4.9.</v>
      </c>
      <c r="L453" s="137" t="str">
        <f t="shared" ca="1" si="511"/>
        <v>Cotação</v>
      </c>
      <c r="M453" s="122" t="s">
        <v>80</v>
      </c>
      <c r="N453" s="139" t="s">
        <v>154</v>
      </c>
      <c r="O453" s="137" t="str">
        <f t="shared" ca="1" si="518"/>
        <v>Locação de caixa térmica</v>
      </c>
      <c r="P453" s="138" t="str">
        <f t="shared" ca="1" si="512"/>
        <v>Unidade</v>
      </c>
      <c r="Q453" s="134">
        <v>2</v>
      </c>
      <c r="R453" s="124">
        <f t="shared" ca="1" si="513"/>
        <v>40</v>
      </c>
      <c r="S453" s="136" t="s">
        <v>62</v>
      </c>
      <c r="T453" s="123">
        <f t="shared" ca="1" si="514"/>
        <v>50</v>
      </c>
      <c r="U453" s="126">
        <f t="shared" ca="1" si="515"/>
        <v>100</v>
      </c>
      <c r="V453" s="1"/>
      <c r="W453" s="39" t="str">
        <f ca="1">IF(OR($A453=0,$A453="S",$A453&gt;CFF!$A$9),"",MAX(W$11:OFFSET(W453,-1,0))+1)</f>
        <v/>
      </c>
      <c r="X453" s="4" t="str">
        <f t="shared" si="516"/>
        <v>Serv. Terc.-005</v>
      </c>
      <c r="Y453" s="39">
        <f t="shared" ca="1" si="522"/>
        <v>85</v>
      </c>
      <c r="Z453" s="1"/>
      <c r="AA453" s="133">
        <f>IF($J453=$G$2,ROUND(IF(ISNUMBER(S453),S453,IF(LEFT(S453,2)="DI",HLOOKUP(S453,DADOS!$T$29:$X$30,2,FALSE),0)),4),"")</f>
        <v>0.25</v>
      </c>
      <c r="AB453" s="2"/>
    </row>
    <row r="454" spans="1:28">
      <c r="A454" t="str">
        <f t="shared" si="519"/>
        <v>S</v>
      </c>
      <c r="B454">
        <f t="shared" si="520"/>
        <v>0</v>
      </c>
      <c r="C454">
        <f t="shared" ca="1" si="505"/>
        <v>6</v>
      </c>
      <c r="D454">
        <f t="shared" ca="1" si="506"/>
        <v>4</v>
      </c>
      <c r="E454">
        <f t="shared" ca="1" si="507"/>
        <v>0</v>
      </c>
      <c r="F454">
        <f t="shared" ca="1" si="508"/>
        <v>0</v>
      </c>
      <c r="G454">
        <f t="shared" ca="1" si="509"/>
        <v>10</v>
      </c>
      <c r="H454">
        <f ca="1">IF(OR($A454="S",$A454=0),0,MATCH(0,OFFSET($B454,1,$A454,ROW($A$1504)-ROW($A454)),0))</f>
        <v>0</v>
      </c>
      <c r="I454">
        <f ca="1">IF(OR($A454="S",$A454=0),0,MATCH(OFFSET($B454,0,$A454)+1,OFFSET($B454,1,$A454,ROW($A$1504)-ROW($A454)),0))</f>
        <v>0</v>
      </c>
      <c r="J454" s="132" t="s">
        <v>29</v>
      </c>
      <c r="K454" s="121" t="str">
        <f t="shared" ca="1" si="521"/>
        <v>6.4.10.</v>
      </c>
      <c r="L454" s="137" t="str">
        <f t="shared" ca="1" si="511"/>
        <v xml:space="preserve">Cotação </v>
      </c>
      <c r="M454" s="122" t="s">
        <v>80</v>
      </c>
      <c r="N454" s="139" t="s">
        <v>160</v>
      </c>
      <c r="O454" s="137" t="str">
        <f t="shared" ca="1" si="518"/>
        <v>Barra de gelo</v>
      </c>
      <c r="P454" s="138" t="str">
        <f t="shared" ca="1" si="512"/>
        <v>Unidade</v>
      </c>
      <c r="Q454" s="134">
        <v>4</v>
      </c>
      <c r="R454" s="124">
        <f t="shared" ca="1" si="513"/>
        <v>12</v>
      </c>
      <c r="S454" s="136" t="s">
        <v>62</v>
      </c>
      <c r="T454" s="123">
        <f t="shared" ca="1" si="514"/>
        <v>15</v>
      </c>
      <c r="U454" s="126">
        <f t="shared" ca="1" si="515"/>
        <v>60</v>
      </c>
      <c r="V454" s="1"/>
      <c r="W454" s="39" t="str">
        <f ca="1">IF(OR($A454=0,$A454="S",$A454&gt;CFF!$A$9),"",MAX(W$11:OFFSET(W454,-1,0))+1)</f>
        <v/>
      </c>
      <c r="X454" s="4" t="str">
        <f t="shared" si="516"/>
        <v>Serv. Terc.-011</v>
      </c>
      <c r="Y454" s="39">
        <f t="shared" ca="1" si="522"/>
        <v>91</v>
      </c>
      <c r="Z454" s="1"/>
      <c r="AA454" s="133">
        <f>IF($J454=$G$2,ROUND(IF(ISNUMBER(S454),S454,IF(LEFT(S454,2)="DI",HLOOKUP(S454,DADOS!$T$29:$X$30,2,FALSE),0)),4),"")</f>
        <v>0.25</v>
      </c>
      <c r="AB454" s="2"/>
    </row>
    <row r="455" spans="1:28">
      <c r="A455" t="str">
        <f t="shared" si="519"/>
        <v>S</v>
      </c>
      <c r="B455">
        <f t="shared" si="520"/>
        <v>0</v>
      </c>
      <c r="C455">
        <f t="shared" ca="1" si="505"/>
        <v>6</v>
      </c>
      <c r="D455">
        <f t="shared" ca="1" si="506"/>
        <v>4</v>
      </c>
      <c r="E455">
        <f t="shared" ca="1" si="507"/>
        <v>0</v>
      </c>
      <c r="F455">
        <f t="shared" ca="1" si="508"/>
        <v>0</v>
      </c>
      <c r="G455">
        <f t="shared" ca="1" si="509"/>
        <v>11</v>
      </c>
      <c r="H455">
        <f ca="1">IF(OR($A455="S",$A455=0),0,MATCH(0,OFFSET($B455,1,$A455,ROW($A$1504)-ROW($A455)),0))</f>
        <v>0</v>
      </c>
      <c r="I455">
        <f ca="1">IF(OR($A455="S",$A455=0),0,MATCH(OFFSET($B455,0,$A455)+1,OFFSET($B455,1,$A455,ROW($A$1504)-ROW($A455)),0))</f>
        <v>0</v>
      </c>
      <c r="J455" s="132" t="s">
        <v>29</v>
      </c>
      <c r="K455" s="121" t="str">
        <f t="shared" ca="1" si="521"/>
        <v>6.4.11.</v>
      </c>
      <c r="L455" s="137" t="str">
        <f t="shared" ca="1" si="511"/>
        <v>Cotação</v>
      </c>
      <c r="M455" s="122" t="s">
        <v>80</v>
      </c>
      <c r="N455" s="139" t="s">
        <v>150</v>
      </c>
      <c r="O455" s="137" t="str">
        <f t="shared" ca="1" si="518"/>
        <v>Sucos</v>
      </c>
      <c r="P455" s="138" t="str">
        <f t="shared" ca="1" si="512"/>
        <v>Unidade</v>
      </c>
      <c r="Q455" s="134">
        <v>12</v>
      </c>
      <c r="R455" s="124">
        <f t="shared" ca="1" si="513"/>
        <v>6.4</v>
      </c>
      <c r="S455" s="136" t="s">
        <v>62</v>
      </c>
      <c r="T455" s="123">
        <f t="shared" ca="1" si="514"/>
        <v>8</v>
      </c>
      <c r="U455" s="126">
        <f t="shared" ca="1" si="515"/>
        <v>96</v>
      </c>
      <c r="V455" s="1"/>
      <c r="W455" s="39" t="str">
        <f ca="1">IF(OR($A455=0,$A455="S",$A455&gt;CFF!$A$9),"",MAX(W$11:OFFSET(W455,-1,0))+1)</f>
        <v/>
      </c>
      <c r="X455" s="4" t="str">
        <f t="shared" si="516"/>
        <v>Serv. Terc.-013</v>
      </c>
      <c r="Y455" s="39">
        <f t="shared" ca="1" si="522"/>
        <v>93</v>
      </c>
      <c r="Z455" s="1"/>
      <c r="AA455" s="133">
        <f>IF($J455=$G$2,ROUND(IF(ISNUMBER(S455),S455,IF(LEFT(S455,2)="DI",HLOOKUP(S455,DADOS!$T$29:$X$30,2,FALSE),0)),4),"")</f>
        <v>0.25</v>
      </c>
      <c r="AB455" s="2"/>
    </row>
    <row r="456" spans="1:28">
      <c r="A456" t="str">
        <f t="shared" si="519"/>
        <v>S</v>
      </c>
      <c r="B456">
        <f t="shared" si="520"/>
        <v>0</v>
      </c>
      <c r="C456">
        <f ca="1">IF($A456=1,OFFSET(C456,-1,0)+1,OFFSET(C456,-1,0))</f>
        <v>6</v>
      </c>
      <c r="D456">
        <f ca="1">IF($A456=1,0,IF($A456=2,OFFSET(D456,-1,0)+1,OFFSET(D456,-1,0)))</f>
        <v>4</v>
      </c>
      <c r="E456">
        <f ca="1">IF(AND($A456&lt;=2,$A456&lt;&gt;0),0,IF($A456=3,OFFSET(E456,-1,0)+1,OFFSET(E456,-1,0)))</f>
        <v>0</v>
      </c>
      <c r="F456">
        <f ca="1">IF(AND($A456&lt;=3,$A456&lt;&gt;0),0,IF($A456=4,OFFSET(F456,-1,0)+1,OFFSET(F456,-1,0)))</f>
        <v>0</v>
      </c>
      <c r="G456">
        <f ca="1">IF(AND($A456&lt;=4,$A456&lt;&gt;0),0,IF($A456="S",OFFSET(G456,-1,0)+1,OFFSET(G456,-1,0)))</f>
        <v>12</v>
      </c>
      <c r="H456">
        <f ca="1">IF(OR($A456="S",$A456=0),0,MATCH(0,OFFSET($B456,1,$A456,ROW($A$1504)-ROW($A456)),0))</f>
        <v>0</v>
      </c>
      <c r="I456">
        <f ca="1">IF(OR($A456="S",$A456=0),0,MATCH(OFFSET($B456,0,$A456)+1,OFFSET($B456,1,$A456,ROW($A$1504)-ROW($A456)),0))</f>
        <v>0</v>
      </c>
      <c r="J456" s="132" t="s">
        <v>29</v>
      </c>
      <c r="K456" s="121" t="str">
        <f t="shared" ca="1" si="521"/>
        <v>6.4.12.</v>
      </c>
      <c r="L456" s="137" t="str">
        <f ca="1">IF(NOT(ISERROR($Y456)),IF($Y456&lt;&gt;FALSE,INDEX(Banco,$Y456,4),""),"")</f>
        <v>Cotação</v>
      </c>
      <c r="M456" s="122" t="s">
        <v>80</v>
      </c>
      <c r="N456" s="139" t="s">
        <v>171</v>
      </c>
      <c r="O456" s="137" t="str">
        <f ca="1">IF(NOT(ISERROR($Y456)),IF($Y456&lt;&gt;FALSE,INDEX(Banco,$Y456,5),""),"")</f>
        <v xml:space="preserve">Refrigerantes (02 litros) </v>
      </c>
      <c r="P456" s="138" t="str">
        <f ca="1">IF(NOT(ISERROR($Y456)),IF($Y456&lt;&gt;FALSE,INDEX(Banco,$Y456,6),""),"")</f>
        <v>Unidade</v>
      </c>
      <c r="Q456" s="134">
        <v>20</v>
      </c>
      <c r="R456" s="124">
        <f ca="1">IF(NOT(ISERROR($Y456)),IF($Y456&lt;&gt;FALSE,INDEX(Banco,$Y456,7),0),0)</f>
        <v>6</v>
      </c>
      <c r="S456" s="136" t="s">
        <v>62</v>
      </c>
      <c r="T456" s="123">
        <f ca="1">IF($J456=$G$2,ROUND(ROUND($R456,2)*IF($R$9="Preço Unitário (R$)",1,1+$AA456),2),0)</f>
        <v>7.5</v>
      </c>
      <c r="U456" s="126">
        <f ca="1">IF($A456="S",VTOTAL1,IF($A456=0,0,ROUND(SomaAgrup,2)))</f>
        <v>150</v>
      </c>
      <c r="V456" s="1"/>
      <c r="W456" s="39" t="str">
        <f ca="1">IF(OR($A456=0,$A456="S",$A456&gt;CFF!$A$9),"",MAX(W$11:OFFSET(W456,-1,0))+1)</f>
        <v/>
      </c>
      <c r="X456" s="4" t="str">
        <f>IF(AND($J456=$G$2,$N456&lt;&gt;"",$M456&lt;&gt;""),CONCATENATE($M456,"-",$N456))</f>
        <v>Serv. Terc.-027</v>
      </c>
      <c r="Y456" s="39">
        <f t="shared" ca="1" si="522"/>
        <v>107</v>
      </c>
      <c r="Z456" s="1"/>
      <c r="AA456" s="133">
        <f>IF($J456=$G$2,ROUND(IF(ISNUMBER(S456),S456,IF(LEFT(S456,2)="DI",HLOOKUP(S456,DADOS!$T$29:$X$30,2,FALSE),0)),4),"")</f>
        <v>0.25</v>
      </c>
      <c r="AB456" s="2"/>
    </row>
    <row r="457" spans="1:28">
      <c r="A457" t="str">
        <f t="shared" ref="A457:A463" si="523">CHOOSE(1+LOG(1+2*(J457=$C$2)+4*(J457=$D$2)+8*(J457=$E$2)+16*(J457=$F$2)+32*(J457=$G$2),2),0,1,2,3,4,"S")</f>
        <v>S</v>
      </c>
      <c r="B457">
        <f t="shared" ref="B457:B463" si="524">IF(OR(A457="S",A457=0),0,IF(ISERROR(I457),H457,SMALL(H457:I457,1)))</f>
        <v>0</v>
      </c>
      <c r="C457">
        <f ca="1">IF($A457=1,OFFSET(C457,-1,0)+1,OFFSET(C457,-1,0))</f>
        <v>6</v>
      </c>
      <c r="D457">
        <f ca="1">IF($A457=1,0,IF($A457=2,OFFSET(D457,-1,0)+1,OFFSET(D457,-1,0)))</f>
        <v>4</v>
      </c>
      <c r="E457">
        <f ca="1">IF(AND($A457&lt;=2,$A457&lt;&gt;0),0,IF($A457=3,OFFSET(E457,-1,0)+1,OFFSET(E457,-1,0)))</f>
        <v>0</v>
      </c>
      <c r="F457">
        <f ca="1">IF(AND($A457&lt;=3,$A457&lt;&gt;0),0,IF($A457=4,OFFSET(F457,-1,0)+1,OFFSET(F457,-1,0)))</f>
        <v>0</v>
      </c>
      <c r="G457">
        <f ca="1">IF(AND($A457&lt;=4,$A457&lt;&gt;0),0,IF($A457="S",OFFSET(G457,-1,0)+1,OFFSET(G457,-1,0)))</f>
        <v>13</v>
      </c>
      <c r="H457">
        <f ca="1">IF(OR($A457="S",$A457=0),0,MATCH(0,OFFSET($B457,1,$A457,ROW($A$1504)-ROW($A457)),0))</f>
        <v>0</v>
      </c>
      <c r="I457">
        <f ca="1">IF(OR($A457="S",$A457=0),0,MATCH(OFFSET($B457,0,$A457)+1,OFFSET($B457,1,$A457,ROW($A$1504)-ROW($A457)),0))</f>
        <v>0</v>
      </c>
      <c r="J457" s="132" t="s">
        <v>29</v>
      </c>
      <c r="K457" s="121" t="str">
        <f t="shared" ref="K457:K463" ca="1" si="525">IF($A457=0,"-",CONCATENATE(C457&amp;".",IF(AND($A$5&gt;=2,$A457&gt;=2),D457&amp;".",""),IF(AND($A$5&gt;=3,$A457&gt;=3),E457&amp;".",""),IF(AND($A$5&gt;=4,$A457&gt;=4),F457&amp;".",""),IF($A457="S",G457&amp;".","")))</f>
        <v>6.4.13.</v>
      </c>
      <c r="L457" s="137" t="str">
        <f ca="1">IF(NOT(ISERROR($Y457)),IF($Y457&lt;&gt;FALSE,INDEX(Banco,$Y457,4),""),"")</f>
        <v xml:space="preserve">Cotação </v>
      </c>
      <c r="M457" s="122" t="s">
        <v>80</v>
      </c>
      <c r="N457" s="139" t="s">
        <v>159</v>
      </c>
      <c r="O457" s="137" t="str">
        <f ca="1">IF(NOT(ISERROR($Y457)),IF($Y457&lt;&gt;FALSE,INDEX(Banco,$Y457,5),""),"")</f>
        <v>Brindes ( descrição nos orçamentos e PTS)</v>
      </c>
      <c r="P457" s="138" t="str">
        <f ca="1">IF(NOT(ISERROR($Y457)),IF($Y457&lt;&gt;FALSE,INDEX(Banco,$Y457,6),""),"")</f>
        <v>Unidade</v>
      </c>
      <c r="Q457" s="134">
        <v>4</v>
      </c>
      <c r="R457" s="124">
        <f ca="1">IF(NOT(ISERROR($Y457)),IF($Y457&lt;&gt;FALSE,INDEX(Banco,$Y457,7),0),0)</f>
        <v>120</v>
      </c>
      <c r="S457" s="136" t="s">
        <v>62</v>
      </c>
      <c r="T457" s="123">
        <f ca="1">IF($J457=$G$2,ROUND(ROUND($R457,2)*IF($R$9="Preço Unitário (R$)",1,1+$AA457),2),0)</f>
        <v>150</v>
      </c>
      <c r="U457" s="126">
        <f ca="1">IF($A457="S",VTOTAL1,IF($A457=0,0,ROUND(SomaAgrup,2)))</f>
        <v>600</v>
      </c>
      <c r="V457" s="1"/>
      <c r="W457" s="39" t="str">
        <f ca="1">IF(OR($A457=0,$A457="S",$A457&gt;CFF!$A$9),"",MAX(W$11:OFFSET(W457,-1,0))+1)</f>
        <v/>
      </c>
      <c r="X457" s="4" t="str">
        <f>IF(AND($J457=$G$2,$N457&lt;&gt;"",$M457&lt;&gt;""),CONCATENATE($M457,"-",$N457))</f>
        <v>Serv. Terc.-010</v>
      </c>
      <c r="Y457" s="39">
        <f t="shared" ref="Y457:Y463" ca="1" si="526">IF(X457&lt;&gt;FALSE,MATCH(X457,OFFSET(Banco,0,0,,1),0))</f>
        <v>90</v>
      </c>
      <c r="Z457" s="1"/>
      <c r="AA457" s="133">
        <f>IF($J457=$G$2,ROUND(IF(ISNUMBER(S457),S457,IF(LEFT(S457,2)="DI",HLOOKUP(S457,DADOS!$T$29:$X$30,2,FALSE),0)),4),"")</f>
        <v>0.25</v>
      </c>
      <c r="AB457" s="2"/>
    </row>
    <row r="458" spans="1:28">
      <c r="A458" t="str">
        <f t="shared" si="523"/>
        <v>S</v>
      </c>
      <c r="B458">
        <f t="shared" si="524"/>
        <v>0</v>
      </c>
      <c r="C458">
        <f t="shared" ca="1" si="505"/>
        <v>6</v>
      </c>
      <c r="D458">
        <f t="shared" ca="1" si="506"/>
        <v>4</v>
      </c>
      <c r="E458">
        <f t="shared" ca="1" si="507"/>
        <v>0</v>
      </c>
      <c r="F458">
        <f t="shared" ca="1" si="508"/>
        <v>0</v>
      </c>
      <c r="G458">
        <f t="shared" ca="1" si="509"/>
        <v>14</v>
      </c>
      <c r="H458">
        <f ca="1">IF(OR($A458="S",$A458=0),0,MATCH(0,OFFSET($B458,1,$A458,ROW($A$1504)-ROW($A458)),0))</f>
        <v>0</v>
      </c>
      <c r="I458">
        <f ca="1">IF(OR($A458="S",$A458=0),0,MATCH(OFFSET($B458,0,$A458)+1,OFFSET($B458,1,$A458,ROW($A$1504)-ROW($A458)),0))</f>
        <v>0</v>
      </c>
      <c r="J458" s="132" t="s">
        <v>29</v>
      </c>
      <c r="K458" s="121" t="str">
        <f t="shared" ca="1" si="525"/>
        <v>6.4.14.</v>
      </c>
      <c r="L458" s="137" t="str">
        <f t="shared" ca="1" si="511"/>
        <v>Cotação</v>
      </c>
      <c r="M458" s="122" t="s">
        <v>80</v>
      </c>
      <c r="N458" s="139" t="s">
        <v>162</v>
      </c>
      <c r="O458" s="137" t="str">
        <f t="shared" ca="1" si="518"/>
        <v>Coffee break (salgados)</v>
      </c>
      <c r="P458" s="138" t="str">
        <f t="shared" ca="1" si="512"/>
        <v>Centro</v>
      </c>
      <c r="Q458" s="134">
        <v>15</v>
      </c>
      <c r="R458" s="124">
        <f t="shared" ca="1" si="513"/>
        <v>65</v>
      </c>
      <c r="S458" s="136" t="s">
        <v>62</v>
      </c>
      <c r="T458" s="123">
        <f t="shared" ca="1" si="514"/>
        <v>81.25</v>
      </c>
      <c r="U458" s="126">
        <f t="shared" ca="1" si="515"/>
        <v>1218.75</v>
      </c>
      <c r="V458" s="1"/>
      <c r="W458" s="39" t="str">
        <f ca="1">IF(OR($A458=0,$A458="S",$A458&gt;CFF!$A$9),"",MAX(W$11:OFFSET(W458,-1,0))+1)</f>
        <v/>
      </c>
      <c r="X458" s="4" t="str">
        <f t="shared" si="516"/>
        <v>Serv. Terc.-015</v>
      </c>
      <c r="Y458" s="39">
        <f t="shared" ca="1" si="526"/>
        <v>95</v>
      </c>
      <c r="Z458" s="1"/>
      <c r="AA458" s="133">
        <f>IF($J458=$G$2,ROUND(IF(ISNUMBER(S458),S458,IF(LEFT(S458,2)="DI",HLOOKUP(S458,DADOS!$T$29:$X$30,2,FALSE),0)),4),"")</f>
        <v>0.25</v>
      </c>
      <c r="AB458" s="2"/>
    </row>
    <row r="459" spans="1:28">
      <c r="A459" t="str">
        <f t="shared" si="523"/>
        <v>S</v>
      </c>
      <c r="B459">
        <f t="shared" si="524"/>
        <v>0</v>
      </c>
      <c r="C459">
        <f t="shared" ca="1" si="505"/>
        <v>6</v>
      </c>
      <c r="D459">
        <f t="shared" ca="1" si="506"/>
        <v>4</v>
      </c>
      <c r="E459">
        <f t="shared" ca="1" si="507"/>
        <v>0</v>
      </c>
      <c r="F459">
        <f t="shared" ca="1" si="508"/>
        <v>0</v>
      </c>
      <c r="G459">
        <f t="shared" ca="1" si="509"/>
        <v>15</v>
      </c>
      <c r="H459">
        <f ca="1">IF(OR($A459="S",$A459=0),0,MATCH(0,OFFSET($B459,1,$A459,ROW($A$1504)-ROW($A459)),0))</f>
        <v>0</v>
      </c>
      <c r="I459">
        <f ca="1">IF(OR($A459="S",$A459=0),0,MATCH(OFFSET($B459,0,$A459)+1,OFFSET($B459,1,$A459,ROW($A$1504)-ROW($A459)),0))</f>
        <v>0</v>
      </c>
      <c r="J459" s="132" t="s">
        <v>29</v>
      </c>
      <c r="K459" s="121" t="str">
        <f t="shared" ca="1" si="525"/>
        <v>6.4.15.</v>
      </c>
      <c r="L459" s="137" t="str">
        <f t="shared" ca="1" si="511"/>
        <v>Cotação</v>
      </c>
      <c r="M459" s="122" t="s">
        <v>79</v>
      </c>
      <c r="N459" s="139" t="s">
        <v>163</v>
      </c>
      <c r="O459" s="137" t="str">
        <f t="shared" ca="1" si="518"/>
        <v>Guloseimas (balas e pirulito)</v>
      </c>
      <c r="P459" s="138" t="str">
        <f t="shared" ca="1" si="512"/>
        <v>Pacote</v>
      </c>
      <c r="Q459" s="134">
        <v>4</v>
      </c>
      <c r="R459" s="124">
        <f t="shared" ca="1" si="513"/>
        <v>12</v>
      </c>
      <c r="S459" s="136" t="s">
        <v>62</v>
      </c>
      <c r="T459" s="123">
        <f t="shared" ca="1" si="514"/>
        <v>15</v>
      </c>
      <c r="U459" s="126">
        <f t="shared" ca="1" si="515"/>
        <v>60</v>
      </c>
      <c r="V459" s="1"/>
      <c r="W459" s="39" t="str">
        <f ca="1">IF(OR($A459=0,$A459="S",$A459&gt;CFF!$A$9),"",MAX(W$11:OFFSET(W459,-1,0))+1)</f>
        <v/>
      </c>
      <c r="X459" s="4" t="str">
        <f t="shared" si="516"/>
        <v>Rec. Materiais-020</v>
      </c>
      <c r="Y459" s="39">
        <f t="shared" ca="1" si="526"/>
        <v>29</v>
      </c>
      <c r="Z459" s="1"/>
      <c r="AA459" s="133">
        <f>IF($J459=$G$2,ROUND(IF(ISNUMBER(S459),S459,IF(LEFT(S459,2)="DI",HLOOKUP(S459,DADOS!$T$29:$X$30,2,FALSE),0)),4),"")</f>
        <v>0.25</v>
      </c>
      <c r="AB459" s="2"/>
    </row>
    <row r="460" spans="1:28">
      <c r="A460" t="str">
        <f t="shared" si="523"/>
        <v>S</v>
      </c>
      <c r="B460">
        <f t="shared" si="524"/>
        <v>0</v>
      </c>
      <c r="C460">
        <f t="shared" ca="1" si="505"/>
        <v>6</v>
      </c>
      <c r="D460">
        <f t="shared" ca="1" si="506"/>
        <v>4</v>
      </c>
      <c r="E460">
        <f t="shared" ca="1" si="507"/>
        <v>0</v>
      </c>
      <c r="F460">
        <f t="shared" ca="1" si="508"/>
        <v>0</v>
      </c>
      <c r="G460">
        <f t="shared" ca="1" si="509"/>
        <v>16</v>
      </c>
      <c r="H460">
        <f ca="1">IF(OR($A460="S",$A460=0),0,MATCH(0,OFFSET($B460,1,$A460,ROW($A$1504)-ROW($A460)),0))</f>
        <v>0</v>
      </c>
      <c r="I460">
        <f ca="1">IF(OR($A460="S",$A460=0),0,MATCH(OFFSET($B460,0,$A460)+1,OFFSET($B460,1,$A460,ROW($A$1504)-ROW($A460)),0))</f>
        <v>0</v>
      </c>
      <c r="J460" s="132" t="s">
        <v>29</v>
      </c>
      <c r="K460" s="121" t="str">
        <f t="shared" ca="1" si="525"/>
        <v>6.4.16.</v>
      </c>
      <c r="L460" s="137" t="str">
        <f t="shared" ca="1" si="511"/>
        <v>Cotação</v>
      </c>
      <c r="M460" s="122" t="s">
        <v>79</v>
      </c>
      <c r="N460" s="139" t="s">
        <v>165</v>
      </c>
      <c r="O460" s="137" t="str">
        <f t="shared" ca="1" si="518"/>
        <v>Papel de presente</v>
      </c>
      <c r="P460" s="138" t="str">
        <f t="shared" ca="1" si="512"/>
        <v>Folhas</v>
      </c>
      <c r="Q460" s="134">
        <v>8</v>
      </c>
      <c r="R460" s="124">
        <f t="shared" ca="1" si="513"/>
        <v>1.5</v>
      </c>
      <c r="S460" s="136" t="s">
        <v>62</v>
      </c>
      <c r="T460" s="123">
        <f t="shared" ca="1" si="514"/>
        <v>1.88</v>
      </c>
      <c r="U460" s="126">
        <f t="shared" ca="1" si="515"/>
        <v>15.04</v>
      </c>
      <c r="V460" s="1"/>
      <c r="W460" s="39" t="str">
        <f ca="1">IF(OR($A460=0,$A460="S",$A460&gt;CFF!$A$9),"",MAX(W$11:OFFSET(W460,-1,0))+1)</f>
        <v/>
      </c>
      <c r="X460" s="4" t="str">
        <f t="shared" si="516"/>
        <v>Rec. Materiais-021</v>
      </c>
      <c r="Y460" s="39">
        <f t="shared" ca="1" si="526"/>
        <v>30</v>
      </c>
      <c r="Z460" s="1"/>
      <c r="AA460" s="133">
        <f>IF($J460=$G$2,ROUND(IF(ISNUMBER(S460),S460,IF(LEFT(S460,2)="DI",HLOOKUP(S460,DADOS!$T$29:$X$30,2,FALSE),0)),4),"")</f>
        <v>0.25</v>
      </c>
      <c r="AB460" s="2"/>
    </row>
    <row r="461" spans="1:28">
      <c r="A461" t="str">
        <f t="shared" si="523"/>
        <v>S</v>
      </c>
      <c r="B461">
        <f t="shared" si="524"/>
        <v>0</v>
      </c>
      <c r="C461">
        <f t="shared" ca="1" si="505"/>
        <v>6</v>
      </c>
      <c r="D461">
        <f t="shared" ca="1" si="506"/>
        <v>4</v>
      </c>
      <c r="E461">
        <f t="shared" ca="1" si="507"/>
        <v>0</v>
      </c>
      <c r="F461">
        <f t="shared" ca="1" si="508"/>
        <v>0</v>
      </c>
      <c r="G461">
        <f t="shared" ca="1" si="509"/>
        <v>17</v>
      </c>
      <c r="H461">
        <f ca="1">IF(OR($A461="S",$A461=0),0,MATCH(0,OFFSET($B461,1,$A461,ROW($A$1504)-ROW($A461)),0))</f>
        <v>0</v>
      </c>
      <c r="I461">
        <f ca="1">IF(OR($A461="S",$A461=0),0,MATCH(OFFSET($B461,0,$A461)+1,OFFSET($B461,1,$A461,ROW($A$1504)-ROW($A461)),0))</f>
        <v>0</v>
      </c>
      <c r="J461" s="132" t="s">
        <v>29</v>
      </c>
      <c r="K461" s="121" t="str">
        <f t="shared" ca="1" si="525"/>
        <v>6.4.17.</v>
      </c>
      <c r="L461" s="137" t="str">
        <f t="shared" ca="1" si="511"/>
        <v>Cotação</v>
      </c>
      <c r="M461" s="122" t="s">
        <v>79</v>
      </c>
      <c r="N461" s="139" t="s">
        <v>170</v>
      </c>
      <c r="O461" s="137" t="str">
        <f t="shared" ca="1" si="518"/>
        <v>Saco de lixo (100 litros)</v>
      </c>
      <c r="P461" s="138" t="str">
        <f t="shared" ca="1" si="512"/>
        <v>Pacote</v>
      </c>
      <c r="Q461" s="134">
        <v>2</v>
      </c>
      <c r="R461" s="124">
        <f t="shared" ca="1" si="513"/>
        <v>15</v>
      </c>
      <c r="S461" s="136" t="s">
        <v>62</v>
      </c>
      <c r="T461" s="123">
        <f t="shared" ca="1" si="514"/>
        <v>18.75</v>
      </c>
      <c r="U461" s="126">
        <f t="shared" ca="1" si="515"/>
        <v>37.5</v>
      </c>
      <c r="V461" s="1"/>
      <c r="W461" s="39" t="str">
        <f ca="1">IF(OR($A461=0,$A461="S",$A461&gt;CFF!$A$9),"",MAX(W$11:OFFSET(W461,-1,0))+1)</f>
        <v/>
      </c>
      <c r="X461" s="4" t="str">
        <f t="shared" si="516"/>
        <v>Rec. Materiais-026</v>
      </c>
      <c r="Y461" s="39">
        <f t="shared" ca="1" si="526"/>
        <v>35</v>
      </c>
      <c r="Z461" s="1"/>
      <c r="AA461" s="133">
        <f>IF($J461=$G$2,ROUND(IF(ISNUMBER(S461),S461,IF(LEFT(S461,2)="DI",HLOOKUP(S461,DADOS!$T$29:$X$30,2,FALSE),0)),4),"")</f>
        <v>0.25</v>
      </c>
      <c r="AB461" s="2"/>
    </row>
    <row r="462" spans="1:28" ht="25.5">
      <c r="A462" t="str">
        <f t="shared" si="523"/>
        <v>S</v>
      </c>
      <c r="B462">
        <f t="shared" si="524"/>
        <v>0</v>
      </c>
      <c r="C462">
        <f ca="1">IF($A462=1,OFFSET(C462,-1,0)+1,OFFSET(C462,-1,0))</f>
        <v>6</v>
      </c>
      <c r="D462">
        <f ca="1">IF($A462=1,0,IF($A462=2,OFFSET(D462,-1,0)+1,OFFSET(D462,-1,0)))</f>
        <v>4</v>
      </c>
      <c r="E462">
        <f ca="1">IF(AND($A462&lt;=2,$A462&lt;&gt;0),0,IF($A462=3,OFFSET(E462,-1,0)+1,OFFSET(E462,-1,0)))</f>
        <v>0</v>
      </c>
      <c r="F462">
        <f ca="1">IF(AND($A462&lt;=3,$A462&lt;&gt;0),0,IF($A462=4,OFFSET(F462,-1,0)+1,OFFSET(F462,-1,0)))</f>
        <v>0</v>
      </c>
      <c r="G462">
        <f ca="1">IF(AND($A462&lt;=4,$A462&lt;&gt;0),0,IF($A462="S",OFFSET(G462,-1,0)+1,OFFSET(G462,-1,0)))</f>
        <v>18</v>
      </c>
      <c r="H462">
        <f ca="1">IF(OR($A462="S",$A462=0),0,MATCH(0,OFFSET($B462,1,$A462,ROW($A$1504)-ROW($A462)),0))</f>
        <v>0</v>
      </c>
      <c r="I462">
        <f ca="1">IF(OR($A462="S",$A462=0),0,MATCH(OFFSET($B462,0,$A462)+1,OFFSET($B462,1,$A462,ROW($A$1504)-ROW($A462)),0))</f>
        <v>0</v>
      </c>
      <c r="J462" s="132" t="s">
        <v>29</v>
      </c>
      <c r="K462" s="121" t="str">
        <f t="shared" ca="1" si="525"/>
        <v>6.4.18.</v>
      </c>
      <c r="L462" s="137" t="str">
        <f ca="1">IF(NOT(ISERROR($Y462)),IF($Y462&lt;&gt;FALSE,INDEX(Banco,$Y462,4),""),"")</f>
        <v>Cotação</v>
      </c>
      <c r="M462" s="122" t="s">
        <v>79</v>
      </c>
      <c r="N462" s="139" t="s">
        <v>245</v>
      </c>
      <c r="O462" s="137" t="str">
        <f ca="1">IF(NOT(ISERROR($Y462)),IF($Y462&lt;&gt;FALSE,INDEX(Banco,$Y462,5),""),"")</f>
        <v>KIT 01 - Oficina de como manter vasos e canteiros de plantas medicinais. Materias dos alunos ( floreira, sementes, mudas ornamentais e medicinais)</v>
      </c>
      <c r="P462" s="138" t="str">
        <f ca="1">IF(NOT(ISERROR($Y462)),IF($Y462&lt;&gt;FALSE,INDEX(Banco,$Y462,6),""),"")</f>
        <v>KITS</v>
      </c>
      <c r="Q462" s="134">
        <v>23</v>
      </c>
      <c r="R462" s="124">
        <f ca="1">IF(NOT(ISERROR($Y462)),IF($Y462&lt;&gt;FALSE,INDEX(Banco,$Y462,7),0),0)</f>
        <v>29.48</v>
      </c>
      <c r="S462" s="136" t="s">
        <v>62</v>
      </c>
      <c r="T462" s="123">
        <f ca="1">IF($J462=$G$2,ROUND(ROUND($R462,2)*IF($R$9="Preço Unitário (R$)",1,1+$AA462),2),0)</f>
        <v>36.85</v>
      </c>
      <c r="U462" s="126">
        <f ca="1">IF($A462="S",VTOTAL1,IF($A462=0,0,ROUND(SomaAgrup,2)))</f>
        <v>847.55</v>
      </c>
      <c r="V462" s="1"/>
      <c r="W462" s="39" t="str">
        <f ca="1">IF(OR($A462=0,$A462="S",$A462&gt;CFF!$A$9),"",MAX(W$11:OFFSET(W462,-1,0))+1)</f>
        <v/>
      </c>
      <c r="X462" s="4" t="str">
        <f>IF(AND($J462=$G$2,$N462&lt;&gt;"",$M462&lt;&gt;""),CONCATENATE($M462,"-",$N462))</f>
        <v>Rec. Materiais-044</v>
      </c>
      <c r="Y462" s="39">
        <f t="shared" ca="1" si="526"/>
        <v>53</v>
      </c>
      <c r="Z462" s="1"/>
      <c r="AA462" s="133">
        <f>IF($J462=$G$2,ROUND(IF(ISNUMBER(S462),S462,IF(LEFT(S462,2)="DI",HLOOKUP(S462,DADOS!$T$29:$X$30,2,FALSE),0)),4),"")</f>
        <v>0.25</v>
      </c>
      <c r="AB462" s="2"/>
    </row>
    <row r="463" spans="1:28" ht="25.5">
      <c r="A463" t="str">
        <f t="shared" si="523"/>
        <v>S</v>
      </c>
      <c r="B463">
        <f t="shared" si="524"/>
        <v>0</v>
      </c>
      <c r="C463">
        <f ca="1">IF($A463=1,OFFSET(C463,-1,0)+1,OFFSET(C463,-1,0))</f>
        <v>6</v>
      </c>
      <c r="D463">
        <f ca="1">IF($A463=1,0,IF($A463=2,OFFSET(D463,-1,0)+1,OFFSET(D463,-1,0)))</f>
        <v>4</v>
      </c>
      <c r="E463">
        <f ca="1">IF(AND($A463&lt;=2,$A463&lt;&gt;0),0,IF($A463=3,OFFSET(E463,-1,0)+1,OFFSET(E463,-1,0)))</f>
        <v>0</v>
      </c>
      <c r="F463">
        <f ca="1">IF(AND($A463&lt;=3,$A463&lt;&gt;0),0,IF($A463=4,OFFSET(F463,-1,0)+1,OFFSET(F463,-1,0)))</f>
        <v>0</v>
      </c>
      <c r="G463">
        <f ca="1">IF(AND($A463&lt;=4,$A463&lt;&gt;0),0,IF($A463="S",OFFSET(G463,-1,0)+1,OFFSET(G463,-1,0)))</f>
        <v>19</v>
      </c>
      <c r="H463">
        <f ca="1">IF(OR($A463="S",$A463=0),0,MATCH(0,OFFSET($B463,1,$A463,ROW($A$1504)-ROW($A463)),0))</f>
        <v>0</v>
      </c>
      <c r="I463">
        <f ca="1">IF(OR($A463="S",$A463=0),0,MATCH(OFFSET($B463,0,$A463)+1,OFFSET($B463,1,$A463,ROW($A$1504)-ROW($A463)),0))</f>
        <v>0</v>
      </c>
      <c r="J463" s="132" t="s">
        <v>29</v>
      </c>
      <c r="K463" s="121" t="str">
        <f t="shared" ca="1" si="525"/>
        <v>6.4.19.</v>
      </c>
      <c r="L463" s="137" t="str">
        <f ca="1">IF(NOT(ISERROR($Y463)),IF($Y463&lt;&gt;FALSE,INDEX(Banco,$Y463,4),""),"")</f>
        <v>Cotação</v>
      </c>
      <c r="M463" s="122" t="s">
        <v>79</v>
      </c>
      <c r="N463" s="139" t="s">
        <v>222</v>
      </c>
      <c r="O463" s="137" t="str">
        <f ca="1">IF(NOT(ISERROR($Y463)),IF($Y463&lt;&gt;FALSE,INDEX(Banco,$Y463,5),""),"")</f>
        <v>KIT 02 - Oficina de como manter vasos e canteiros de plantas medicinais. Material de uso coletivo (brita, adulbos, umus e terra preta)</v>
      </c>
      <c r="P463" s="138" t="str">
        <f ca="1">IF(NOT(ISERROR($Y463)),IF($Y463&lt;&gt;FALSE,INDEX(Banco,$Y463,6),""),"")</f>
        <v>Unidade</v>
      </c>
      <c r="Q463" s="134">
        <v>1</v>
      </c>
      <c r="R463" s="124">
        <f ca="1">IF(NOT(ISERROR($Y463)),IF($Y463&lt;&gt;FALSE,INDEX(Banco,$Y463,7),0),0)</f>
        <v>170</v>
      </c>
      <c r="S463" s="136" t="s">
        <v>62</v>
      </c>
      <c r="T463" s="123">
        <f ca="1">IF($J463=$G$2,ROUND(ROUND($R463,2)*IF($R$9="Preço Unitário (R$)",1,1+$AA463),2),0)</f>
        <v>212.5</v>
      </c>
      <c r="U463" s="126">
        <f ca="1">IF($A463="S",VTOTAL1,IF($A463=0,0,ROUND(SomaAgrup,2)))</f>
        <v>212.5</v>
      </c>
      <c r="V463" s="1"/>
      <c r="W463" s="39" t="str">
        <f ca="1">IF(OR($A463=0,$A463="S",$A463&gt;CFF!$A$9),"",MAX(W$11:OFFSET(W463,-1,0))+1)</f>
        <v/>
      </c>
      <c r="X463" s="4" t="str">
        <f>IF(AND($J463=$G$2,$N463&lt;&gt;"",$M463&lt;&gt;""),CONCATENATE($M463,"-",$N463))</f>
        <v>Rec. Materiais-043</v>
      </c>
      <c r="Y463" s="39">
        <f t="shared" ca="1" si="526"/>
        <v>52</v>
      </c>
      <c r="Z463" s="1"/>
      <c r="AA463" s="133">
        <f>IF($J463=$G$2,ROUND(IF(ISNUMBER(S463),S463,IF(LEFT(S463,2)="DI",HLOOKUP(S463,DADOS!$T$29:$X$30,2,FALSE),0)),4),"")</f>
        <v>0.25</v>
      </c>
      <c r="AB463" s="2"/>
    </row>
    <row r="464" spans="1:28">
      <c r="A464">
        <f>CHOOSE(1+LOG(1+2*(J464=$C$2)+4*(J464=$D$2)+8*(J464=$E$2)+16*(J464=$F$2)+32*(J464=$G$2),2),0,1,2,3,4,"S")</f>
        <v>2</v>
      </c>
      <c r="B464">
        <f ca="1">IF(OR(A464="S",A464=0),0,IF(ISERROR(I464),H464,SMALL(H464:I464,1)))</f>
        <v>3</v>
      </c>
      <c r="C464">
        <f ca="1">IF($A464=1,OFFSET(C464,-1,0)+1,OFFSET(C464,-1,0))</f>
        <v>6</v>
      </c>
      <c r="D464">
        <f ca="1">IF($A464=1,0,IF($A464=2,OFFSET(D464,-1,0)+1,OFFSET(D464,-1,0)))</f>
        <v>5</v>
      </c>
      <c r="E464">
        <f ca="1">IF(AND($A464&lt;=2,$A464&lt;&gt;0),0,IF($A464=3,OFFSET(E464,-1,0)+1,OFFSET(E464,-1,0)))</f>
        <v>0</v>
      </c>
      <c r="F464">
        <f ca="1">IF(AND($A464&lt;=3,$A464&lt;&gt;0),0,IF($A464=4,OFFSET(F464,-1,0)+1,OFFSET(F464,-1,0)))</f>
        <v>0</v>
      </c>
      <c r="G464">
        <f ca="1">IF(AND($A464&lt;=4,$A464&lt;&gt;0),0,IF($A464="S",OFFSET(G464,-1,0)+1,OFFSET(G464,-1,0)))</f>
        <v>0</v>
      </c>
      <c r="H464">
        <f ca="1">IF(OR($A464="S",$A464=0),0,MATCH(0,OFFSET($B464,1,$A464,ROW($A$1504)-ROW($A464)),0))</f>
        <v>27</v>
      </c>
      <c r="I464">
        <f ca="1">IF(OR($A464="S",$A464=0),0,MATCH(OFFSET($B464,0,$A464)+1,OFFSET($B464,1,$A464,ROW($A$1504)-ROW($A464)),0))</f>
        <v>3</v>
      </c>
      <c r="J464" s="132" t="s">
        <v>68</v>
      </c>
      <c r="K464" s="121" t="str">
        <f ca="1">IF($A464=0,"-",CONCATENATE(C464&amp;".",IF(AND($A$5&gt;=2,$A464&gt;=2),D464&amp;".",""),IF(AND($A$5&gt;=3,$A464&gt;=3),E464&amp;".",""),IF(AND($A$5&gt;=4,$A464&gt;=4),F464&amp;".",""),IF($A464="S",G464&amp;".","")))</f>
        <v>6.5.</v>
      </c>
      <c r="L464" s="137" t="str">
        <f ca="1">IF(NOT(ISERROR($Y464)),IF($Y464&lt;&gt;FALSE,INDEX(Banco,$Y464,4),""),"")</f>
        <v/>
      </c>
      <c r="M464" s="122"/>
      <c r="N464" s="139"/>
      <c r="O464" s="137" t="s">
        <v>379</v>
      </c>
      <c r="P464" s="138" t="str">
        <f ca="1">IF(NOT(ISERROR($Y464)),IF($Y464&lt;&gt;FALSE,INDEX(Banco,$Y464,6),""),"")</f>
        <v/>
      </c>
      <c r="Q464" s="134"/>
      <c r="R464" s="124">
        <f ca="1">IF(NOT(ISERROR($Y464)),IF($Y464&lt;&gt;FALSE,INDEX(Banco,$Y464,7),0),0)</f>
        <v>0</v>
      </c>
      <c r="S464" s="136" t="s">
        <v>62</v>
      </c>
      <c r="T464" s="123">
        <f>IF($J464=$G$2,ROUND(ROUND($R464,2)*IF($R$9="Preço Unitário (R$)",1,1+$AA464),2),0)</f>
        <v>0</v>
      </c>
      <c r="U464" s="126">
        <f ca="1">IF($A464="S",VTOTAL1,IF($A464=0,0,ROUND(SomaAgrup,2)))</f>
        <v>1713.78</v>
      </c>
      <c r="V464" s="1"/>
      <c r="W464" s="39">
        <f ca="1">IF(OR($A464=0,$A464="S",$A464&gt;CFF!$A$9),"",MAX(W$11:OFFSET(W464,-1,0))+1)</f>
        <v>38</v>
      </c>
      <c r="X464" s="4" t="b">
        <f>IF(AND($J464=$G$2,$N464&lt;&gt;"",$M464&lt;&gt;""),CONCATENATE($M464,"-",$N464))</f>
        <v>0</v>
      </c>
      <c r="Y464" s="39" t="b">
        <f ca="1">IF(X464&lt;&gt;FALSE,MATCH(X464,OFFSET(Banco,0,0,,1),0))</f>
        <v>0</v>
      </c>
      <c r="Z464" s="1"/>
      <c r="AA464" s="133" t="str">
        <f>IF($J464=$G$2,ROUND(IF(ISNUMBER(S464),S464,IF(LEFT(S464,2)="DI",HLOOKUP(S464,DADOS!$T$29:$X$30,2,FALSE),0)),4),"")</f>
        <v/>
      </c>
      <c r="AB464" s="2"/>
    </row>
    <row r="465" spans="1:28">
      <c r="A465" t="str">
        <f t="shared" ref="A465:A511" si="527">CHOOSE(1+LOG(1+2*(J465=$C$2)+4*(J465=$D$2)+8*(J465=$E$2)+16*(J465=$F$2)+32*(J465=$G$2),2),0,1,2,3,4,"S")</f>
        <v>S</v>
      </c>
      <c r="B465">
        <f t="shared" ref="B465:B511" si="528">IF(OR(A465="S",A465=0),0,IF(ISERROR(I465),H465,SMALL(H465:I465,1)))</f>
        <v>0</v>
      </c>
      <c r="C465">
        <f t="shared" ref="C465:C466" ca="1" si="529">IF($A465=1,OFFSET(C465,-1,0)+1,OFFSET(C465,-1,0))</f>
        <v>6</v>
      </c>
      <c r="D465">
        <f t="shared" ref="D465:D466" ca="1" si="530">IF($A465=1,0,IF($A465=2,OFFSET(D465,-1,0)+1,OFFSET(D465,-1,0)))</f>
        <v>5</v>
      </c>
      <c r="E465">
        <f t="shared" ref="E465:E466" ca="1" si="531">IF(AND($A465&lt;=2,$A465&lt;&gt;0),0,IF($A465=3,OFFSET(E465,-1,0)+1,OFFSET(E465,-1,0)))</f>
        <v>0</v>
      </c>
      <c r="F465">
        <f t="shared" ref="F465:F466" ca="1" si="532">IF(AND($A465&lt;=3,$A465&lt;&gt;0),0,IF($A465=4,OFFSET(F465,-1,0)+1,OFFSET(F465,-1,0)))</f>
        <v>0</v>
      </c>
      <c r="G465">
        <f t="shared" ref="G465:G466" ca="1" si="533">IF(AND($A465&lt;=4,$A465&lt;&gt;0),0,IF($A465="S",OFFSET(G465,-1,0)+1,OFFSET(G465,-1,0)))</f>
        <v>1</v>
      </c>
      <c r="H465">
        <f ca="1">IF(OR($A465="S",$A465=0),0,MATCH(0,OFFSET($B465,1,$A465,ROW($A$1504)-ROW($A465)),0))</f>
        <v>0</v>
      </c>
      <c r="I465">
        <f ca="1">IF(OR($A465="S",$A465=0),0,MATCH(OFFSET($B465,0,$A465)+1,OFFSET($B465,1,$A465,ROW($A$1504)-ROW($A465)),0))</f>
        <v>0</v>
      </c>
      <c r="J465" s="132" t="s">
        <v>29</v>
      </c>
      <c r="K465" s="121" t="str">
        <f t="shared" ref="K465:K511" ca="1" si="534">IF($A465=0,"-",CONCATENATE(C465&amp;".",IF(AND($A$5&gt;=2,$A465&gt;=2),D465&amp;".",""),IF(AND($A$5&gt;=3,$A465&gt;=3),E465&amp;".",""),IF(AND($A$5&gt;=4,$A465&gt;=4),F465&amp;".",""),IF($A465="S",G465&amp;".","")))</f>
        <v>6.5.1.</v>
      </c>
      <c r="L465" s="137" t="str">
        <f t="shared" ref="L465:L466" ca="1" si="535">IF(NOT(ISERROR($Y465)),IF($Y465&lt;&gt;FALSE,INDEX(Banco,$Y465,4),""),"")</f>
        <v>CRESS</v>
      </c>
      <c r="M465" s="122" t="s">
        <v>78</v>
      </c>
      <c r="N465" s="139" t="s">
        <v>149</v>
      </c>
      <c r="O465" s="137" t="str">
        <f ca="1">IF(NOT(ISERROR($Y465)),IF($Y465&lt;&gt;FALSE,INDEX(Banco,$Y465,5),""),"")</f>
        <v>Responsável Técnica</v>
      </c>
      <c r="P465" s="138" t="str">
        <f t="shared" ref="P465:P466" ca="1" si="536">IF(NOT(ISERROR($Y465)),IF($Y465&lt;&gt;FALSE,INDEX(Banco,$Y465,6),""),"")</f>
        <v>Horas</v>
      </c>
      <c r="Q465" s="134">
        <v>2</v>
      </c>
      <c r="R465" s="124">
        <f t="shared" ref="R465:R466" ca="1" si="537">IF(NOT(ISERROR($Y465)),IF($Y465&lt;&gt;FALSE,INDEX(Banco,$Y465,7),0),0)</f>
        <v>150.28</v>
      </c>
      <c r="S465" s="136" t="s">
        <v>62</v>
      </c>
      <c r="T465" s="123">
        <f t="shared" ref="T465:T466" ca="1" si="538">IF($J465=$G$2,ROUND(ROUND($R465,2)*IF($R$9="Preço Unitário (R$)",1,1+$AA465),2),0)</f>
        <v>187.85</v>
      </c>
      <c r="U465" s="126">
        <f t="shared" ref="U465:U466" ca="1" si="539">IF($A465="S",VTOTAL1,IF($A465=0,0,ROUND(SomaAgrup,2)))</f>
        <v>375.7</v>
      </c>
      <c r="V465" s="1"/>
      <c r="W465" s="39" t="str">
        <f ca="1">IF(OR($A465=0,$A465="S",$A465&gt;CFF!$A$9),"",MAX(W$11:OFFSET(W465,-1,0))+1)</f>
        <v/>
      </c>
      <c r="X465" s="4" t="str">
        <f t="shared" ref="X465:X466" si="540">IF(AND($J465=$G$2,$N465&lt;&gt;"",$M465&lt;&gt;""),CONCATENATE($M465,"-",$N465))</f>
        <v>Rec. Humanos-001</v>
      </c>
      <c r="Y465" s="39">
        <f t="shared" ref="Y465:Y511" ca="1" si="541">IF(X465&lt;&gt;FALSE,MATCH(X465,OFFSET(Banco,0,0,,1),0))</f>
        <v>3</v>
      </c>
      <c r="Z465" s="1"/>
      <c r="AA465" s="133">
        <f>IF($J465=$G$2,ROUND(IF(ISNUMBER(S465),S465,IF(LEFT(S465,2)="DI",HLOOKUP(S465,DADOS!$T$29:$X$30,2,FALSE),0)),4),"")</f>
        <v>0.25</v>
      </c>
      <c r="AB465" s="2"/>
    </row>
    <row r="466" spans="1:28">
      <c r="A466" t="str">
        <f t="shared" si="527"/>
        <v>S</v>
      </c>
      <c r="B466">
        <f t="shared" si="528"/>
        <v>0</v>
      </c>
      <c r="C466">
        <f t="shared" ca="1" si="529"/>
        <v>6</v>
      </c>
      <c r="D466">
        <f t="shared" ca="1" si="530"/>
        <v>5</v>
      </c>
      <c r="E466">
        <f t="shared" ca="1" si="531"/>
        <v>0</v>
      </c>
      <c r="F466">
        <f t="shared" ca="1" si="532"/>
        <v>0</v>
      </c>
      <c r="G466">
        <f t="shared" ca="1" si="533"/>
        <v>2</v>
      </c>
      <c r="H466">
        <f ca="1">IF(OR($A466="S",$A466=0),0,MATCH(0,OFFSET($B466,1,$A466,ROW($A$1504)-ROW($A466)),0))</f>
        <v>0</v>
      </c>
      <c r="I466">
        <f ca="1">IF(OR($A466="S",$A466=0),0,MATCH(OFFSET($B466,0,$A466)+1,OFFSET($B466,1,$A466,ROW($A$1504)-ROW($A466)),0))</f>
        <v>0</v>
      </c>
      <c r="J466" s="132" t="s">
        <v>29</v>
      </c>
      <c r="K466" s="121" t="str">
        <f t="shared" ca="1" si="534"/>
        <v>6.5.2.</v>
      </c>
      <c r="L466" s="137" t="str">
        <f t="shared" ca="1" si="535"/>
        <v>CRESS</v>
      </c>
      <c r="M466" s="122" t="s">
        <v>78</v>
      </c>
      <c r="N466" s="139" t="s">
        <v>152</v>
      </c>
      <c r="O466" s="137" t="str">
        <f ca="1">IF(NOT(ISERROR($Y466)),IF($Y466&lt;&gt;FALSE,INDEX(Banco,$Y466,5),""),"")</f>
        <v>Assistente Social</v>
      </c>
      <c r="P466" s="138" t="str">
        <f t="shared" ca="1" si="536"/>
        <v>Horas</v>
      </c>
      <c r="Q466" s="134">
        <v>8</v>
      </c>
      <c r="R466" s="124">
        <f t="shared" ca="1" si="537"/>
        <v>133.81</v>
      </c>
      <c r="S466" s="136" t="s">
        <v>62</v>
      </c>
      <c r="T466" s="123">
        <f t="shared" ca="1" si="538"/>
        <v>167.26</v>
      </c>
      <c r="U466" s="126">
        <f t="shared" ca="1" si="539"/>
        <v>1338.08</v>
      </c>
      <c r="V466" s="1"/>
      <c r="W466" s="39" t="str">
        <f ca="1">IF(OR($A466=0,$A466="S",$A466&gt;CFF!$A$9),"",MAX(W$11:OFFSET(W466,-1,0))+1)</f>
        <v/>
      </c>
      <c r="X466" s="4" t="str">
        <f t="shared" si="540"/>
        <v>Rec. Humanos-002</v>
      </c>
      <c r="Y466" s="39">
        <f t="shared" ca="1" si="541"/>
        <v>4</v>
      </c>
      <c r="Z466" s="1"/>
      <c r="AA466" s="133">
        <f>IF($J466=$G$2,ROUND(IF(ISNUMBER(S466),S466,IF(LEFT(S466,2)="DI",HLOOKUP(S466,DADOS!$T$29:$X$30,2,FALSE),0)),4),"")</f>
        <v>0.25</v>
      </c>
      <c r="AB466" s="2"/>
    </row>
    <row r="467" spans="1:28">
      <c r="A467">
        <f>CHOOSE(1+LOG(1+2*(J467=$C$2)+4*(J467=$D$2)+8*(J467=$E$2)+16*(J467=$F$2)+32*(J467=$G$2),2),0,1,2,3,4,"S")</f>
        <v>2</v>
      </c>
      <c r="B467">
        <f ca="1">IF(OR(A467="S",A467=0),0,IF(ISERROR(I467),H467,SMALL(H467:I467,1)))</f>
        <v>4</v>
      </c>
      <c r="C467">
        <f ca="1">IF($A467=1,OFFSET(C467,-1,0)+1,OFFSET(C467,-1,0))</f>
        <v>6</v>
      </c>
      <c r="D467">
        <f ca="1">IF($A467=1,0,IF($A467=2,OFFSET(D467,-1,0)+1,OFFSET(D467,-1,0)))</f>
        <v>6</v>
      </c>
      <c r="E467">
        <f ca="1">IF(AND($A467&lt;=2,$A467&lt;&gt;0),0,IF($A467=3,OFFSET(E467,-1,0)+1,OFFSET(E467,-1,0)))</f>
        <v>0</v>
      </c>
      <c r="F467">
        <f ca="1">IF(AND($A467&lt;=3,$A467&lt;&gt;0),0,IF($A467=4,OFFSET(F467,-1,0)+1,OFFSET(F467,-1,0)))</f>
        <v>0</v>
      </c>
      <c r="G467">
        <f ca="1">IF(AND($A467&lt;=4,$A467&lt;&gt;0),0,IF($A467="S",OFFSET(G467,-1,0)+1,OFFSET(G467,-1,0)))</f>
        <v>0</v>
      </c>
      <c r="H467">
        <f ca="1">IF(OR($A467="S",$A467=0),0,MATCH(0,OFFSET($B467,1,$A467,ROW($A$1504)-ROW($A467)),0))</f>
        <v>24</v>
      </c>
      <c r="I467">
        <f ca="1">IF(OR($A467="S",$A467=0),0,MATCH(OFFSET($B467,0,$A467)+1,OFFSET($B467,1,$A467,ROW($A$1504)-ROW($A467)),0))</f>
        <v>4</v>
      </c>
      <c r="J467" s="132" t="s">
        <v>68</v>
      </c>
      <c r="K467" s="121" t="str">
        <f ca="1">IF($A467=0,"-",CONCATENATE(C467&amp;".",IF(AND($A$5&gt;=2,$A467&gt;=2),D467&amp;".",""),IF(AND($A$5&gt;=3,$A467&gt;=3),E467&amp;".",""),IF(AND($A$5&gt;=4,$A467&gt;=4),F467&amp;".",""),IF($A467="S",G467&amp;".","")))</f>
        <v>6.6.</v>
      </c>
      <c r="L467" s="137" t="str">
        <f ca="1">IF(NOT(ISERROR($Y467)),IF($Y467&lt;&gt;FALSE,INDEX(Banco,$Y467,4),""),"")</f>
        <v/>
      </c>
      <c r="M467" s="122"/>
      <c r="N467" s="139"/>
      <c r="O467" s="137" t="s">
        <v>380</v>
      </c>
      <c r="P467" s="138" t="str">
        <f ca="1">IF(NOT(ISERROR($Y467)),IF($Y467&lt;&gt;FALSE,INDEX(Banco,$Y467,6),""),"")</f>
        <v/>
      </c>
      <c r="Q467" s="134"/>
      <c r="R467" s="124">
        <f ca="1">IF(NOT(ISERROR($Y467)),IF($Y467&lt;&gt;FALSE,INDEX(Banco,$Y467,7),0),0)</f>
        <v>0</v>
      </c>
      <c r="S467" s="136" t="s">
        <v>62</v>
      </c>
      <c r="T467" s="123">
        <f>IF($J467=$G$2,ROUND(ROUND($R467,2)*IF($R$9="Preço Unitário (R$)",1,1+$AA467),2),0)</f>
        <v>0</v>
      </c>
      <c r="U467" s="126">
        <f ca="1">IF($A467="S",VTOTAL1,IF($A467=0,0,ROUND(SomaAgrup,2)))</f>
        <v>1085.33</v>
      </c>
      <c r="V467" s="1"/>
      <c r="W467" s="39">
        <f ca="1">IF(OR($A467=0,$A467="S",$A467&gt;CFF!$A$9),"",MAX(W$11:OFFSET(W467,-1,0))+1)</f>
        <v>39</v>
      </c>
      <c r="X467" s="4" t="b">
        <f>IF(AND($J467=$G$2,$N467&lt;&gt;"",$M467&lt;&gt;""),CONCATENATE($M467,"-",$N467))</f>
        <v>0</v>
      </c>
      <c r="Y467" s="39" t="b">
        <f ca="1">IF(X467&lt;&gt;FALSE,MATCH(X467,OFFSET(Banco,0,0,,1),0))</f>
        <v>0</v>
      </c>
      <c r="Z467" s="1"/>
      <c r="AA467" s="133" t="str">
        <f>IF($J467=$G$2,ROUND(IF(ISNUMBER(S467),S467,IF(LEFT(S467,2)="DI",HLOOKUP(S467,DADOS!$T$29:$X$30,2,FALSE),0)),4),"")</f>
        <v/>
      </c>
      <c r="AB467" s="2"/>
    </row>
    <row r="468" spans="1:28">
      <c r="A468" t="str">
        <f>CHOOSE(1+LOG(1+2*(J468=$C$2)+4*(J468=$D$2)+8*(J468=$E$2)+16*(J468=$F$2)+32*(J468=$G$2),2),0,1,2,3,4,"S")</f>
        <v>S</v>
      </c>
      <c r="B468">
        <f>IF(OR(A468="S",A468=0),0,IF(ISERROR(I468),H468,SMALL(H468:I468,1)))</f>
        <v>0</v>
      </c>
      <c r="C468">
        <f ca="1">IF($A468=1,OFFSET(C468,-1,0)+1,OFFSET(C468,-1,0))</f>
        <v>6</v>
      </c>
      <c r="D468">
        <f ca="1">IF($A468=1,0,IF($A468=2,OFFSET(D468,-1,0)+1,OFFSET(D468,-1,0)))</f>
        <v>6</v>
      </c>
      <c r="E468">
        <f ca="1">IF(AND($A468&lt;=2,$A468&lt;&gt;0),0,IF($A468=3,OFFSET(E468,-1,0)+1,OFFSET(E468,-1,0)))</f>
        <v>0</v>
      </c>
      <c r="F468">
        <f ca="1">IF(AND($A468&lt;=3,$A468&lt;&gt;0),0,IF($A468=4,OFFSET(F468,-1,0)+1,OFFSET(F468,-1,0)))</f>
        <v>0</v>
      </c>
      <c r="G468">
        <f ca="1">IF(AND($A468&lt;=4,$A468&lt;&gt;0),0,IF($A468="S",OFFSET(G468,-1,0)+1,OFFSET(G468,-1,0)))</f>
        <v>1</v>
      </c>
      <c r="H468">
        <f ca="1">IF(OR($A468="S",$A468=0),0,MATCH(0,OFFSET($B468,1,$A468,ROW($A$1504)-ROW($A468)),0))</f>
        <v>0</v>
      </c>
      <c r="I468">
        <f ca="1">IF(OR($A468="S",$A468=0),0,MATCH(OFFSET($B468,0,$A468)+1,OFFSET($B468,1,$A468,ROW($A$1504)-ROW($A468)),0))</f>
        <v>0</v>
      </c>
      <c r="J468" s="132" t="s">
        <v>29</v>
      </c>
      <c r="K468" s="121" t="str">
        <f ca="1">IF($A468=0,"-",CONCATENATE(C468&amp;".",IF(AND($A$5&gt;=2,$A468&gt;=2),D468&amp;".",""),IF(AND($A$5&gt;=3,$A468&gt;=3),E468&amp;".",""),IF(AND($A$5&gt;=4,$A468&gt;=4),F468&amp;".",""),IF($A468="S",G468&amp;".","")))</f>
        <v>6.6.1.</v>
      </c>
      <c r="L468" s="137" t="str">
        <f ca="1">IF(NOT(ISERROR($Y468)),IF($Y468&lt;&gt;FALSE,INDEX(Banco,$Y468,4),""),"")</f>
        <v>CRESS</v>
      </c>
      <c r="M468" s="122" t="s">
        <v>78</v>
      </c>
      <c r="N468" s="139" t="s">
        <v>152</v>
      </c>
      <c r="O468" s="137" t="str">
        <f ca="1">IF(NOT(ISERROR($Y468)),IF($Y468&lt;&gt;FALSE,INDEX(Banco,$Y468,5),""),"")</f>
        <v>Assistente Social</v>
      </c>
      <c r="P468" s="138" t="str">
        <f ca="1">IF(NOT(ISERROR($Y468)),IF($Y468&lt;&gt;FALSE,INDEX(Banco,$Y468,6),""),"")</f>
        <v>Horas</v>
      </c>
      <c r="Q468" s="134">
        <v>3</v>
      </c>
      <c r="R468" s="124">
        <f ca="1">IF(NOT(ISERROR($Y468)),IF($Y468&lt;&gt;FALSE,INDEX(Banco,$Y468,7),0),0)</f>
        <v>133.81</v>
      </c>
      <c r="S468" s="136" t="s">
        <v>62</v>
      </c>
      <c r="T468" s="123">
        <f ca="1">IF($J468=$G$2,ROUND(ROUND($R468,2)*IF($R$9="Preço Unitário (R$)",1,1+$AA468),2),0)</f>
        <v>167.26</v>
      </c>
      <c r="U468" s="126">
        <f ca="1">IF($A468="S",VTOTAL1,IF($A468=0,0,ROUND(SomaAgrup,2)))</f>
        <v>501.78</v>
      </c>
      <c r="V468" s="1"/>
      <c r="W468" s="39" t="str">
        <f ca="1">IF(OR($A468=0,$A468="S",$A468&gt;CFF!$A$9),"",MAX(W$11:OFFSET(W468,-1,0))+1)</f>
        <v/>
      </c>
      <c r="X468" s="4" t="str">
        <f>IF(AND($J468=$G$2,$N468&lt;&gt;"",$M468&lt;&gt;""),CONCATENATE($M468,"-",$N468))</f>
        <v>Rec. Humanos-002</v>
      </c>
      <c r="Y468" s="39">
        <f ca="1">IF(X468&lt;&gt;FALSE,MATCH(X468,OFFSET(Banco,0,0,,1),0))</f>
        <v>4</v>
      </c>
      <c r="Z468" s="1"/>
      <c r="AA468" s="133">
        <f>IF($J468=$G$2,ROUND(IF(ISNUMBER(S468),S468,IF(LEFT(S468,2)="DI",HLOOKUP(S468,DADOS!$T$29:$X$30,2,FALSE),0)),4),"")</f>
        <v>0.25</v>
      </c>
      <c r="AB468" s="2"/>
    </row>
    <row r="469" spans="1:28">
      <c r="A469" t="str">
        <f>CHOOSE(1+LOG(1+2*(J469=$C$2)+4*(J469=$D$2)+8*(J469=$E$2)+16*(J469=$F$2)+32*(J469=$G$2),2),0,1,2,3,4,"S")</f>
        <v>S</v>
      </c>
      <c r="B469">
        <f>IF(OR(A469="S",A469=0),0,IF(ISERROR(I469),H469,SMALL(H469:I469,1)))</f>
        <v>0</v>
      </c>
      <c r="C469">
        <f ca="1">IF($A469=1,OFFSET(C469,-1,0)+1,OFFSET(C469,-1,0))</f>
        <v>6</v>
      </c>
      <c r="D469">
        <f ca="1">IF($A469=1,0,IF($A469=2,OFFSET(D469,-1,0)+1,OFFSET(D469,-1,0)))</f>
        <v>6</v>
      </c>
      <c r="E469">
        <f ca="1">IF(AND($A469&lt;=2,$A469&lt;&gt;0),0,IF($A469=3,OFFSET(E469,-1,0)+1,OFFSET(E469,-1,0)))</f>
        <v>0</v>
      </c>
      <c r="F469">
        <f ca="1">IF(AND($A469&lt;=3,$A469&lt;&gt;0),0,IF($A469=4,OFFSET(F469,-1,0)+1,OFFSET(F469,-1,0)))</f>
        <v>0</v>
      </c>
      <c r="G469">
        <f ca="1">IF(AND($A469&lt;=4,$A469&lt;&gt;0),0,IF($A469="S",OFFSET(G469,-1,0)+1,OFFSET(G469,-1,0)))</f>
        <v>2</v>
      </c>
      <c r="H469">
        <f ca="1">IF(OR($A469="S",$A469=0),0,MATCH(0,OFFSET($B469,1,$A469,ROW($A$1504)-ROW($A469)),0))</f>
        <v>0</v>
      </c>
      <c r="I469">
        <f ca="1">IF(OR($A469="S",$A469=0),0,MATCH(OFFSET($B469,0,$A469)+1,OFFSET($B469,1,$A469,ROW($A$1504)-ROW($A469)),0))</f>
        <v>0</v>
      </c>
      <c r="J469" s="132" t="s">
        <v>29</v>
      </c>
      <c r="K469" s="121" t="str">
        <f ca="1">IF($A469=0,"-",CONCATENATE(C469&amp;".",IF(AND($A$5&gt;=2,$A469&gt;=2),D469&amp;".",""),IF(AND($A$5&gt;=3,$A469&gt;=3),E469&amp;".",""),IF(AND($A$5&gt;=4,$A469&gt;=4),F469&amp;".",""),IF($A469="S",G469&amp;".","")))</f>
        <v>6.6.2.</v>
      </c>
      <c r="L469" s="137" t="str">
        <f ca="1">IF(NOT(ISERROR($Y469)),IF($Y469&lt;&gt;FALSE,INDEX(Banco,$Y469,4),""),"")</f>
        <v>CRESS</v>
      </c>
      <c r="M469" s="122" t="s">
        <v>78</v>
      </c>
      <c r="N469" s="139" t="s">
        <v>149</v>
      </c>
      <c r="O469" s="137" t="str">
        <f ca="1">IF(NOT(ISERROR($Y469)),IF($Y469&lt;&gt;FALSE,INDEX(Banco,$Y469,5),""),"")</f>
        <v>Responsável Técnica</v>
      </c>
      <c r="P469" s="138" t="str">
        <f ca="1">IF(NOT(ISERROR($Y469)),IF($Y469&lt;&gt;FALSE,INDEX(Banco,$Y469,6),""),"")</f>
        <v>Horas</v>
      </c>
      <c r="Q469" s="134">
        <v>3</v>
      </c>
      <c r="R469" s="124">
        <f ca="1">IF(NOT(ISERROR($Y469)),IF($Y469&lt;&gt;FALSE,INDEX(Banco,$Y469,7),0),0)</f>
        <v>150.28</v>
      </c>
      <c r="S469" s="136" t="s">
        <v>62</v>
      </c>
      <c r="T469" s="123">
        <f ca="1">IF($J469=$G$2,ROUND(ROUND($R469,2)*IF($R$9="Preço Unitário (R$)",1,1+$AA469),2),0)</f>
        <v>187.85</v>
      </c>
      <c r="U469" s="126">
        <f ca="1">IF($A469="S",VTOTAL1,IF($A469=0,0,ROUND(SomaAgrup,2)))</f>
        <v>563.54999999999995</v>
      </c>
      <c r="V469" s="1"/>
      <c r="W469" s="39" t="str">
        <f ca="1">IF(OR($A469=0,$A469="S",$A469&gt;CFF!$A$9),"",MAX(W$11:OFFSET(W469,-1,0))+1)</f>
        <v/>
      </c>
      <c r="X469" s="4" t="str">
        <f>IF(AND($J469=$G$2,$N469&lt;&gt;"",$M469&lt;&gt;""),CONCATENATE($M469,"-",$N469))</f>
        <v>Rec. Humanos-001</v>
      </c>
      <c r="Y469" s="39">
        <f ca="1">IF(X469&lt;&gt;FALSE,MATCH(X469,OFFSET(Banco,0,0,,1),0))</f>
        <v>3</v>
      </c>
      <c r="Z469" s="1"/>
      <c r="AA469" s="133">
        <f>IF($J469=$G$2,ROUND(IF(ISNUMBER(S469),S469,IF(LEFT(S469,2)="DI",HLOOKUP(S469,DADOS!$T$29:$X$30,2,FALSE),0)),4),"")</f>
        <v>0.25</v>
      </c>
      <c r="AB469" s="2"/>
    </row>
    <row r="470" spans="1:28">
      <c r="A470" t="str">
        <f>CHOOSE(1+LOG(1+2*(J470=$C$2)+4*(J470=$D$2)+8*(J470=$E$2)+16*(J470=$F$2)+32*(J470=$G$2),2),0,1,2,3,4,"S")</f>
        <v>S</v>
      </c>
      <c r="B470">
        <f>IF(OR(A470="S",A470=0),0,IF(ISERROR(I470),H470,SMALL(H470:I470,1)))</f>
        <v>0</v>
      </c>
      <c r="C470">
        <f ca="1">IF($A470=1,OFFSET(C470,-1,0)+1,OFFSET(C470,-1,0))</f>
        <v>6</v>
      </c>
      <c r="D470">
        <f ca="1">IF($A470=1,0,IF($A470=2,OFFSET(D470,-1,0)+1,OFFSET(D470,-1,0)))</f>
        <v>6</v>
      </c>
      <c r="E470">
        <f ca="1">IF(AND($A470&lt;=2,$A470&lt;&gt;0),0,IF($A470=3,OFFSET(E470,-1,0)+1,OFFSET(E470,-1,0)))</f>
        <v>0</v>
      </c>
      <c r="F470">
        <f ca="1">IF(AND($A470&lt;=3,$A470&lt;&gt;0),0,IF($A470=4,OFFSET(F470,-1,0)+1,OFFSET(F470,-1,0)))</f>
        <v>0</v>
      </c>
      <c r="G470">
        <f ca="1">IF(AND($A470&lt;=4,$A470&lt;&gt;0),0,IF($A470="S",OFFSET(G470,-1,0)+1,OFFSET(G470,-1,0)))</f>
        <v>3</v>
      </c>
      <c r="H470">
        <f ca="1">IF(OR($A470="S",$A470=0),0,MATCH(0,OFFSET($B470,1,$A470,ROW($A$1504)-ROW($A470)),0))</f>
        <v>0</v>
      </c>
      <c r="I470">
        <f ca="1">IF(OR($A470="S",$A470=0),0,MATCH(OFFSET($B470,0,$A470)+1,OFFSET($B470,1,$A470,ROW($A$1504)-ROW($A470)),0))</f>
        <v>0</v>
      </c>
      <c r="J470" s="132" t="s">
        <v>29</v>
      </c>
      <c r="K470" s="121" t="str">
        <f ca="1">IF($A470=0,"-",CONCATENATE(C470&amp;".",IF(AND($A$5&gt;=2,$A470&gt;=2),D470&amp;".",""),IF(AND($A$5&gt;=3,$A470&gt;=3),E470&amp;".",""),IF(AND($A$5&gt;=4,$A470&gt;=4),F470&amp;".",""),IF($A470="S",G470&amp;".","")))</f>
        <v>6.6.3.</v>
      </c>
      <c r="L470" s="137" t="str">
        <f ca="1">IF(NOT(ISERROR($Y470)),IF($Y470&lt;&gt;FALSE,INDEX(Banco,$Y470,4),""),"")</f>
        <v>Cotação</v>
      </c>
      <c r="M470" s="122" t="s">
        <v>80</v>
      </c>
      <c r="N470" s="139" t="s">
        <v>158</v>
      </c>
      <c r="O470" s="137" t="str">
        <f ca="1">IF(NOT(ISERROR($Y470)),IF($Y470&lt;&gt;FALSE,INDEX(Banco,$Y470,5),""),"")</f>
        <v>Água (garrafa de 1,5 litros)</v>
      </c>
      <c r="P470" s="138" t="str">
        <f ca="1">IF(NOT(ISERROR($Y470)),IF($Y470&lt;&gt;FALSE,INDEX(Banco,$Y470,6),""),"")</f>
        <v>Unidade</v>
      </c>
      <c r="Q470" s="134">
        <v>4</v>
      </c>
      <c r="R470" s="124">
        <f ca="1">IF(NOT(ISERROR($Y470)),IF($Y470&lt;&gt;FALSE,INDEX(Banco,$Y470,7),0),0)</f>
        <v>4</v>
      </c>
      <c r="S470" s="136" t="s">
        <v>62</v>
      </c>
      <c r="T470" s="123">
        <f ca="1">IF($J470=$G$2,ROUND(ROUND($R470,2)*IF($R$9="Preço Unitário (R$)",1,1+$AA470),2),0)</f>
        <v>5</v>
      </c>
      <c r="U470" s="126">
        <f ca="1">IF($A470="S",VTOTAL1,IF($A470=0,0,ROUND(SomaAgrup,2)))</f>
        <v>20</v>
      </c>
      <c r="V470" s="1"/>
      <c r="W470" s="39" t="str">
        <f ca="1">IF(OR($A470=0,$A470="S",$A470&gt;CFF!$A$9),"",MAX(W$11:OFFSET(W470,-1,0))+1)</f>
        <v/>
      </c>
      <c r="X470" s="4" t="str">
        <f>IF(AND($J470=$G$2,$N470&lt;&gt;"",$M470&lt;&gt;""),CONCATENATE($M470,"-",$N470))</f>
        <v>Serv. Terc.-009</v>
      </c>
      <c r="Y470" s="39">
        <f ca="1">IF(X470&lt;&gt;FALSE,MATCH(X470,OFFSET(Banco,0,0,,1),0))</f>
        <v>89</v>
      </c>
      <c r="Z470" s="1"/>
      <c r="AA470" s="133">
        <f>IF($J470=$G$2,ROUND(IF(ISNUMBER(S470),S470,IF(LEFT(S470,2)="DI",HLOOKUP(S470,DADOS!$T$29:$X$30,2,FALSE),0)),4),"")</f>
        <v>0.25</v>
      </c>
      <c r="AB470" s="2"/>
    </row>
    <row r="471" spans="1:28" ht="25.5">
      <c r="A471">
        <f>CHOOSE(1+LOG(1+2*(J471=$C$2)+4*(J471=$D$2)+8*(J471=$E$2)+16*(J471=$F$2)+32*(J471=$G$2),2),0,1,2,3,4,"S")</f>
        <v>2</v>
      </c>
      <c r="B471">
        <f ca="1">IF(OR(A471="S",A471=0),0,IF(ISERROR(I471),H471,SMALL(H471:I471,1)))</f>
        <v>20</v>
      </c>
      <c r="C471">
        <f ca="1">IF($A471=1,OFFSET(C471,-1,0)+1,OFFSET(C471,-1,0))</f>
        <v>6</v>
      </c>
      <c r="D471">
        <f ca="1">IF($A471=1,0,IF($A471=2,OFFSET(D471,-1,0)+1,OFFSET(D471,-1,0)))</f>
        <v>7</v>
      </c>
      <c r="E471">
        <f ca="1">IF(AND($A471&lt;=2,$A471&lt;&gt;0),0,IF($A471=3,OFFSET(E471,-1,0)+1,OFFSET(E471,-1,0)))</f>
        <v>0</v>
      </c>
      <c r="F471">
        <f ca="1">IF(AND($A471&lt;=3,$A471&lt;&gt;0),0,IF($A471=4,OFFSET(F471,-1,0)+1,OFFSET(F471,-1,0)))</f>
        <v>0</v>
      </c>
      <c r="G471">
        <f ca="1">IF(AND($A471&lt;=4,$A471&lt;&gt;0),0,IF($A471="S",OFFSET(G471,-1,0)+1,OFFSET(G471,-1,0)))</f>
        <v>0</v>
      </c>
      <c r="H471">
        <f ca="1">IF(OR($A471="S",$A471=0),0,MATCH(0,OFFSET($B471,1,$A471,ROW($A$1504)-ROW($A471)),0))</f>
        <v>20</v>
      </c>
      <c r="I471">
        <f ca="1">IF(OR($A471="S",$A471=0),0,MATCH(OFFSET($B471,0,$A471)+1,OFFSET($B471,1,$A471,ROW($A$1504)-ROW($A471)),0))</f>
        <v>109</v>
      </c>
      <c r="J471" s="132" t="s">
        <v>68</v>
      </c>
      <c r="K471" s="121" t="str">
        <f ca="1">IF($A471=0,"-",CONCATENATE(C471&amp;".",IF(AND($A$5&gt;=2,$A471&gt;=2),D471&amp;".",""),IF(AND($A$5&gt;=3,$A471&gt;=3),E471&amp;".",""),IF(AND($A$5&gt;=4,$A471&gt;=4),F471&amp;".",""),IF($A471="S",G471&amp;".","")))</f>
        <v>6.7.</v>
      </c>
      <c r="L471" s="137" t="str">
        <f ca="1">IF(NOT(ISERROR($Y471)),IF($Y471&lt;&gt;FALSE,INDEX(Banco,$Y471,4),""),"")</f>
        <v/>
      </c>
      <c r="M471" s="122"/>
      <c r="N471" s="139"/>
      <c r="O471" s="137" t="s">
        <v>381</v>
      </c>
      <c r="P471" s="138" t="str">
        <f ca="1">IF(NOT(ISERROR($Y471)),IF($Y471&lt;&gt;FALSE,INDEX(Banco,$Y471,6),""),"")</f>
        <v/>
      </c>
      <c r="Q471" s="134"/>
      <c r="R471" s="124">
        <f ca="1">IF(NOT(ISERROR($Y471)),IF($Y471&lt;&gt;FALSE,INDEX(Banco,$Y471,7),0),0)</f>
        <v>0</v>
      </c>
      <c r="S471" s="136" t="s">
        <v>62</v>
      </c>
      <c r="T471" s="123">
        <f>IF($J471=$G$2,ROUND(ROUND($R471,2)*IF($R$9="Preço Unitário (R$)",1,1+$AA471),2),0)</f>
        <v>0</v>
      </c>
      <c r="U471" s="126">
        <f ca="1">IF($A471="S",VTOTAL1,IF($A471=0,0,ROUND(SomaAgrup,2)))</f>
        <v>7735.87</v>
      </c>
      <c r="V471" s="1"/>
      <c r="W471" s="39">
        <f ca="1">IF(OR($A471=0,$A471="S",$A471&gt;CFF!$A$9),"",MAX(W$11:OFFSET(W471,-1,0))+1)</f>
        <v>40</v>
      </c>
      <c r="X471" s="4" t="b">
        <f>IF(AND($J471=$G$2,$N471&lt;&gt;"",$M471&lt;&gt;""),CONCATENATE($M471,"-",$N471))</f>
        <v>0</v>
      </c>
      <c r="Y471" s="39" t="b">
        <f ca="1">IF(X471&lt;&gt;FALSE,MATCH(X471,OFFSET(Banco,0,0,,1),0))</f>
        <v>0</v>
      </c>
      <c r="Z471" s="1"/>
      <c r="AA471" s="133" t="str">
        <f>IF($J471=$G$2,ROUND(IF(ISNUMBER(S471),S471,IF(LEFT(S471,2)="DI",HLOOKUP(S471,DADOS!$T$29:$X$30,2,FALSE),0)),4),"")</f>
        <v/>
      </c>
      <c r="AB471" s="2"/>
    </row>
    <row r="472" spans="1:28">
      <c r="A472" t="str">
        <f t="shared" ref="A472:A477" si="542">CHOOSE(1+LOG(1+2*(J472=$C$2)+4*(J472=$D$2)+8*(J472=$E$2)+16*(J472=$F$2)+32*(J472=$G$2),2),0,1,2,3,4,"S")</f>
        <v>S</v>
      </c>
      <c r="B472">
        <f t="shared" ref="B472:B477" si="543">IF(OR(A472="S",A472=0),0,IF(ISERROR(I472),H472,SMALL(H472:I472,1)))</f>
        <v>0</v>
      </c>
      <c r="C472">
        <f t="shared" ref="C472:C488" ca="1" si="544">IF($A472=1,OFFSET(C472,-1,0)+1,OFFSET(C472,-1,0))</f>
        <v>6</v>
      </c>
      <c r="D472">
        <f t="shared" ref="D472:D488" ca="1" si="545">IF($A472=1,0,IF($A472=2,OFFSET(D472,-1,0)+1,OFFSET(D472,-1,0)))</f>
        <v>7</v>
      </c>
      <c r="E472">
        <f t="shared" ref="E472:E488" ca="1" si="546">IF(AND($A472&lt;=2,$A472&lt;&gt;0),0,IF($A472=3,OFFSET(E472,-1,0)+1,OFFSET(E472,-1,0)))</f>
        <v>0</v>
      </c>
      <c r="F472">
        <f t="shared" ref="F472:F488" ca="1" si="547">IF(AND($A472&lt;=3,$A472&lt;&gt;0),0,IF($A472=4,OFFSET(F472,-1,0)+1,OFFSET(F472,-1,0)))</f>
        <v>0</v>
      </c>
      <c r="G472">
        <f t="shared" ref="G472:G488" ca="1" si="548">IF(AND($A472&lt;=4,$A472&lt;&gt;0),0,IF($A472="S",OFFSET(G472,-1,0)+1,OFFSET(G472,-1,0)))</f>
        <v>1</v>
      </c>
      <c r="H472">
        <f ca="1">IF(OR($A472="S",$A472=0),0,MATCH(0,OFFSET($B472,1,$A472,ROW($A$1504)-ROW($A472)),0))</f>
        <v>0</v>
      </c>
      <c r="I472">
        <f ca="1">IF(OR($A472="S",$A472=0),0,MATCH(OFFSET($B472,0,$A472)+1,OFFSET($B472,1,$A472,ROW($A$1504)-ROW($A472)),0))</f>
        <v>0</v>
      </c>
      <c r="J472" s="132" t="s">
        <v>29</v>
      </c>
      <c r="K472" s="121" t="str">
        <f t="shared" ref="K472:K477" ca="1" si="549">IF($A472=0,"-",CONCATENATE(C472&amp;".",IF(AND($A$5&gt;=2,$A472&gt;=2),D472&amp;".",""),IF(AND($A$5&gt;=3,$A472&gt;=3),E472&amp;".",""),IF(AND($A$5&gt;=4,$A472&gt;=4),F472&amp;".",""),IF($A472="S",G472&amp;".","")))</f>
        <v>6.7.1.</v>
      </c>
      <c r="L472" s="137" t="str">
        <f t="shared" ref="L472:L488" ca="1" si="550">IF(NOT(ISERROR($Y472)),IF($Y472&lt;&gt;FALSE,INDEX(Banco,$Y472,4),""),"")</f>
        <v>CRESS</v>
      </c>
      <c r="M472" s="122" t="s">
        <v>78</v>
      </c>
      <c r="N472" s="139" t="s">
        <v>149</v>
      </c>
      <c r="O472" s="137" t="str">
        <f ca="1">IF(NOT(ISERROR($Y472)),IF($Y472&lt;&gt;FALSE,INDEX(Banco,$Y472,5),""),"")</f>
        <v>Responsável Técnica</v>
      </c>
      <c r="P472" s="138" t="str">
        <f t="shared" ref="P472:P488" ca="1" si="551">IF(NOT(ISERROR($Y472)),IF($Y472&lt;&gt;FALSE,INDEX(Banco,$Y472,6),""),"")</f>
        <v>Horas</v>
      </c>
      <c r="Q472" s="134">
        <v>6</v>
      </c>
      <c r="R472" s="124">
        <f t="shared" ref="R472:R488" ca="1" si="552">IF(NOT(ISERROR($Y472)),IF($Y472&lt;&gt;FALSE,INDEX(Banco,$Y472,7),0),0)</f>
        <v>150.28</v>
      </c>
      <c r="S472" s="136" t="s">
        <v>62</v>
      </c>
      <c r="T472" s="123">
        <f t="shared" ref="T472:T488" ca="1" si="553">IF($J472=$G$2,ROUND(ROUND($R472,2)*IF($R$9="Preço Unitário (R$)",1,1+$AA472),2),0)</f>
        <v>187.85</v>
      </c>
      <c r="U472" s="126">
        <f t="shared" ref="U472:U488" ca="1" si="554">IF($A472="S",VTOTAL1,IF($A472=0,0,ROUND(SomaAgrup,2)))</f>
        <v>1127.0999999999999</v>
      </c>
      <c r="V472" s="1"/>
      <c r="W472" s="39" t="str">
        <f ca="1">IF(OR($A472=0,$A472="S",$A472&gt;CFF!$A$9),"",MAX(W$11:OFFSET(W472,-1,0))+1)</f>
        <v/>
      </c>
      <c r="X472" s="4" t="str">
        <f t="shared" ref="X472:X488" si="555">IF(AND($J472=$G$2,$N472&lt;&gt;"",$M472&lt;&gt;""),CONCATENATE($M472,"-",$N472))</f>
        <v>Rec. Humanos-001</v>
      </c>
      <c r="Y472" s="39">
        <f t="shared" ref="Y472:Y477" ca="1" si="556">IF(X472&lt;&gt;FALSE,MATCH(X472,OFFSET(Banco,0,0,,1),0))</f>
        <v>3</v>
      </c>
      <c r="Z472" s="1"/>
      <c r="AA472" s="133">
        <f>IF($J472=$G$2,ROUND(IF(ISNUMBER(S472),S472,IF(LEFT(S472,2)="DI",HLOOKUP(S472,DADOS!$T$29:$X$30,2,FALSE),0)),4),"")</f>
        <v>0.25</v>
      </c>
      <c r="AB472" s="2"/>
    </row>
    <row r="473" spans="1:28">
      <c r="A473" t="str">
        <f t="shared" si="542"/>
        <v>S</v>
      </c>
      <c r="B473">
        <f t="shared" si="543"/>
        <v>0</v>
      </c>
      <c r="C473">
        <f t="shared" ca="1" si="544"/>
        <v>6</v>
      </c>
      <c r="D473">
        <f t="shared" ca="1" si="545"/>
        <v>7</v>
      </c>
      <c r="E473">
        <f t="shared" ca="1" si="546"/>
        <v>0</v>
      </c>
      <c r="F473">
        <f t="shared" ca="1" si="547"/>
        <v>0</v>
      </c>
      <c r="G473">
        <f t="shared" ca="1" si="548"/>
        <v>2</v>
      </c>
      <c r="H473">
        <f ca="1">IF(OR($A473="S",$A473=0),0,MATCH(0,OFFSET($B473,1,$A473,ROW($A$1504)-ROW($A473)),0))</f>
        <v>0</v>
      </c>
      <c r="I473">
        <f ca="1">IF(OR($A473="S",$A473=0),0,MATCH(OFFSET($B473,0,$A473)+1,OFFSET($B473,1,$A473,ROW($A$1504)-ROW($A473)),0))</f>
        <v>0</v>
      </c>
      <c r="J473" s="132" t="s">
        <v>29</v>
      </c>
      <c r="K473" s="121" t="str">
        <f t="shared" ca="1" si="549"/>
        <v>6.7.2.</v>
      </c>
      <c r="L473" s="137" t="str">
        <f t="shared" ca="1" si="550"/>
        <v>CRESS</v>
      </c>
      <c r="M473" s="122" t="s">
        <v>78</v>
      </c>
      <c r="N473" s="139" t="s">
        <v>152</v>
      </c>
      <c r="O473" s="137" t="str">
        <f ca="1">IF(NOT(ISERROR($Y473)),IF($Y473&lt;&gt;FALSE,INDEX(Banco,$Y473,5),""),"")</f>
        <v>Assistente Social</v>
      </c>
      <c r="P473" s="138" t="str">
        <f t="shared" ca="1" si="551"/>
        <v>Horas</v>
      </c>
      <c r="Q473" s="134">
        <v>4</v>
      </c>
      <c r="R473" s="124">
        <f t="shared" ca="1" si="552"/>
        <v>133.81</v>
      </c>
      <c r="S473" s="136" t="s">
        <v>62</v>
      </c>
      <c r="T473" s="123">
        <f t="shared" ca="1" si="553"/>
        <v>167.26</v>
      </c>
      <c r="U473" s="126">
        <f t="shared" ca="1" si="554"/>
        <v>669.04</v>
      </c>
      <c r="V473" s="1"/>
      <c r="W473" s="39" t="str">
        <f ca="1">IF(OR($A473=0,$A473="S",$A473&gt;CFF!$A$9),"",MAX(W$11:OFFSET(W473,-1,0))+1)</f>
        <v/>
      </c>
      <c r="X473" s="4" t="str">
        <f t="shared" si="555"/>
        <v>Rec. Humanos-002</v>
      </c>
      <c r="Y473" s="39">
        <f t="shared" ca="1" si="556"/>
        <v>4</v>
      </c>
      <c r="Z473" s="1"/>
      <c r="AA473" s="133">
        <f>IF($J473=$G$2,ROUND(IF(ISNUMBER(S473),S473,IF(LEFT(S473,2)="DI",HLOOKUP(S473,DADOS!$T$29:$X$30,2,FALSE),0)),4),"")</f>
        <v>0.25</v>
      </c>
      <c r="AB473" s="2"/>
    </row>
    <row r="474" spans="1:28">
      <c r="A474" t="str">
        <f t="shared" si="542"/>
        <v>S</v>
      </c>
      <c r="B474">
        <f t="shared" si="543"/>
        <v>0</v>
      </c>
      <c r="C474">
        <f t="shared" ca="1" si="544"/>
        <v>6</v>
      </c>
      <c r="D474">
        <f t="shared" ca="1" si="545"/>
        <v>7</v>
      </c>
      <c r="E474">
        <f t="shared" ca="1" si="546"/>
        <v>0</v>
      </c>
      <c r="F474">
        <f t="shared" ca="1" si="547"/>
        <v>0</v>
      </c>
      <c r="G474">
        <f t="shared" ca="1" si="548"/>
        <v>3</v>
      </c>
      <c r="H474">
        <f ca="1">IF(OR($A474="S",$A474=0),0,MATCH(0,OFFSET($B474,1,$A474,ROW($A$1504)-ROW($A474)),0))</f>
        <v>0</v>
      </c>
      <c r="I474">
        <f ca="1">IF(OR($A474="S",$A474=0),0,MATCH(OFFSET($B474,0,$A474)+1,OFFSET($B474,1,$A474,ROW($A$1504)-ROW($A474)),0))</f>
        <v>0</v>
      </c>
      <c r="J474" s="132" t="s">
        <v>29</v>
      </c>
      <c r="K474" s="121" t="str">
        <f t="shared" ca="1" si="549"/>
        <v>6.7.3.</v>
      </c>
      <c r="L474" s="137" t="str">
        <f t="shared" ca="1" si="550"/>
        <v>Cotação</v>
      </c>
      <c r="M474" s="122" t="s">
        <v>78</v>
      </c>
      <c r="N474" s="139" t="s">
        <v>151</v>
      </c>
      <c r="O474" s="137" t="str">
        <f ca="1">IF(NOT(ISERROR($Y474)),IF($Y474&lt;&gt;FALSE,INDEX(Banco,$Y474,5),""),"")</f>
        <v xml:space="preserve">Administrador (Técnico de Apoio) </v>
      </c>
      <c r="P474" s="138" t="str">
        <f t="shared" ca="1" si="551"/>
        <v>Horas</v>
      </c>
      <c r="Q474" s="134">
        <v>4</v>
      </c>
      <c r="R474" s="124">
        <f t="shared" ca="1" si="552"/>
        <v>103.65</v>
      </c>
      <c r="S474" s="136" t="s">
        <v>62</v>
      </c>
      <c r="T474" s="123">
        <f t="shared" ca="1" si="553"/>
        <v>129.56</v>
      </c>
      <c r="U474" s="126">
        <f t="shared" ca="1" si="554"/>
        <v>518.24</v>
      </c>
      <c r="V474" s="1"/>
      <c r="W474" s="39" t="str">
        <f ca="1">IF(OR($A474=0,$A474="S",$A474&gt;CFF!$A$9),"",MAX(W$11:OFFSET(W474,-1,0))+1)</f>
        <v/>
      </c>
      <c r="X474" s="4" t="str">
        <f t="shared" si="555"/>
        <v>Rec. Humanos-003</v>
      </c>
      <c r="Y474" s="39">
        <f t="shared" ca="1" si="556"/>
        <v>5</v>
      </c>
      <c r="Z474" s="1"/>
      <c r="AA474" s="133">
        <f>IF($J474=$G$2,ROUND(IF(ISNUMBER(S474),S474,IF(LEFT(S474,2)="DI",HLOOKUP(S474,DADOS!$T$29:$X$30,2,FALSE),0)),4),"")</f>
        <v>0.25</v>
      </c>
      <c r="AB474" s="2"/>
    </row>
    <row r="475" spans="1:28">
      <c r="A475" t="str">
        <f t="shared" si="542"/>
        <v>S</v>
      </c>
      <c r="B475">
        <f t="shared" si="543"/>
        <v>0</v>
      </c>
      <c r="C475">
        <f t="shared" ca="1" si="544"/>
        <v>6</v>
      </c>
      <c r="D475">
        <f t="shared" ca="1" si="545"/>
        <v>7</v>
      </c>
      <c r="E475">
        <f t="shared" ca="1" si="546"/>
        <v>0</v>
      </c>
      <c r="F475">
        <f t="shared" ca="1" si="547"/>
        <v>0</v>
      </c>
      <c r="G475">
        <f t="shared" ca="1" si="548"/>
        <v>4</v>
      </c>
      <c r="H475">
        <f ca="1">IF(OR($A475="S",$A475=0),0,MATCH(0,OFFSET($B475,1,$A475,ROW($A$1504)-ROW($A475)),0))</f>
        <v>0</v>
      </c>
      <c r="I475">
        <f ca="1">IF(OR($A475="S",$A475=0),0,MATCH(OFFSET($B475,0,$A475)+1,OFFSET($B475,1,$A475,ROW($A$1504)-ROW($A475)),0))</f>
        <v>0</v>
      </c>
      <c r="J475" s="132" t="s">
        <v>29</v>
      </c>
      <c r="K475" s="121" t="str">
        <f t="shared" ca="1" si="549"/>
        <v>6.7.4.</v>
      </c>
      <c r="L475" s="137" t="str">
        <f t="shared" ca="1" si="550"/>
        <v>SINE</v>
      </c>
      <c r="M475" s="122" t="s">
        <v>78</v>
      </c>
      <c r="N475" s="139" t="s">
        <v>153</v>
      </c>
      <c r="O475" s="137" t="str">
        <f ca="1">IF(NOT(ISERROR($Y475)),IF($Y475&lt;&gt;FALSE,INDEX(Banco,$Y475,5),""),"")</f>
        <v>Estagiários</v>
      </c>
      <c r="P475" s="138" t="str">
        <f t="shared" ca="1" si="551"/>
        <v>Horas</v>
      </c>
      <c r="Q475" s="134">
        <v>10</v>
      </c>
      <c r="R475" s="124">
        <f t="shared" ca="1" si="552"/>
        <v>9.7899999999999991</v>
      </c>
      <c r="S475" s="136" t="s">
        <v>62</v>
      </c>
      <c r="T475" s="123">
        <f t="shared" ca="1" si="553"/>
        <v>12.24</v>
      </c>
      <c r="U475" s="126">
        <f t="shared" ca="1" si="554"/>
        <v>122.4</v>
      </c>
      <c r="V475" s="1"/>
      <c r="W475" s="39" t="str">
        <f ca="1">IF(OR($A475=0,$A475="S",$A475&gt;CFF!$A$9),"",MAX(W$11:OFFSET(W475,-1,0))+1)</f>
        <v/>
      </c>
      <c r="X475" s="4" t="str">
        <f t="shared" si="555"/>
        <v>Rec. Humanos-004</v>
      </c>
      <c r="Y475" s="39">
        <f t="shared" ca="1" si="556"/>
        <v>6</v>
      </c>
      <c r="Z475" s="1"/>
      <c r="AA475" s="133">
        <f>IF($J475=$G$2,ROUND(IF(ISNUMBER(S475),S475,IF(LEFT(S475,2)="DI",HLOOKUP(S475,DADOS!$T$29:$X$30,2,FALSE),0)),4),"")</f>
        <v>0.25</v>
      </c>
      <c r="AB475" s="2"/>
    </row>
    <row r="476" spans="1:28">
      <c r="A476" t="str">
        <f>CHOOSE(1+LOG(1+2*(J476=$C$2)+4*(J476=$D$2)+8*(J476=$E$2)+16*(J476=$F$2)+32*(J476=$G$2),2),0,1,2,3,4,"S")</f>
        <v>S</v>
      </c>
      <c r="B476">
        <f>IF(OR(A476="S",A476=0),0,IF(ISERROR(I476),H476,SMALL(H476:I476,1)))</f>
        <v>0</v>
      </c>
      <c r="C476">
        <f ca="1">IF($A476=1,OFFSET(C476,-1,0)+1,OFFSET(C476,-1,0))</f>
        <v>6</v>
      </c>
      <c r="D476">
        <f ca="1">IF($A476=1,0,IF($A476=2,OFFSET(D476,-1,0)+1,OFFSET(D476,-1,0)))</f>
        <v>7</v>
      </c>
      <c r="E476">
        <f ca="1">IF(AND($A476&lt;=2,$A476&lt;&gt;0),0,IF($A476=3,OFFSET(E476,-1,0)+1,OFFSET(E476,-1,0)))</f>
        <v>0</v>
      </c>
      <c r="F476">
        <f ca="1">IF(AND($A476&lt;=3,$A476&lt;&gt;0),0,IF($A476=4,OFFSET(F476,-1,0)+1,OFFSET(F476,-1,0)))</f>
        <v>0</v>
      </c>
      <c r="G476">
        <f ca="1">IF(AND($A476&lt;=4,$A476&lt;&gt;0),0,IF($A476="S",OFFSET(G476,-1,0)+1,OFFSET(G476,-1,0)))</f>
        <v>5</v>
      </c>
      <c r="H476">
        <f ca="1">IF(OR($A476="S",$A476=0),0,MATCH(0,OFFSET($B476,1,$A476,ROW($A$1504)-ROW($A476)),0))</f>
        <v>0</v>
      </c>
      <c r="I476">
        <f ca="1">IF(OR($A476="S",$A476=0),0,MATCH(OFFSET($B476,0,$A476)+1,OFFSET($B476,1,$A476,ROW($A$1504)-ROW($A476)),0))</f>
        <v>0</v>
      </c>
      <c r="J476" s="132" t="s">
        <v>29</v>
      </c>
      <c r="K476" s="121" t="str">
        <f ca="1">IF($A476=0,"-",CONCATENATE(C476&amp;".",IF(AND($A$5&gt;=2,$A476&gt;=2),D476&amp;".",""),IF(AND($A$5&gt;=3,$A476&gt;=3),E476&amp;".",""),IF(AND($A$5&gt;=4,$A476&gt;=4),F476&amp;".",""),IF($A476="S",G476&amp;".","")))</f>
        <v>6.7.5.</v>
      </c>
      <c r="L476" s="137" t="str">
        <f ca="1">IF(NOT(ISERROR($Y476)),IF($Y476&lt;&gt;FALSE,INDEX(Banco,$Y476,4),""),"")</f>
        <v>CREAMT</v>
      </c>
      <c r="M476" s="122" t="s">
        <v>80</v>
      </c>
      <c r="N476" s="139" t="s">
        <v>223</v>
      </c>
      <c r="O476" s="137" t="str">
        <f ca="1">IF(NOT(ISERROR($Y476)),IF($Y476&lt;&gt;FALSE,INDEX(Banco,$Y476,5),""),"")</f>
        <v>Engenheiro Agrônomo</v>
      </c>
      <c r="P476" s="138" t="str">
        <f ca="1">IF(NOT(ISERROR($Y476)),IF($Y476&lt;&gt;FALSE,INDEX(Banco,$Y476,6),""),"")</f>
        <v>Horas</v>
      </c>
      <c r="Q476" s="134">
        <v>3</v>
      </c>
      <c r="R476" s="124">
        <f ca="1">IF(NOT(ISERROR($Y476)),IF($Y476&lt;&gt;FALSE,INDEX(Banco,$Y476,7),0),0)</f>
        <v>197</v>
      </c>
      <c r="S476" s="136" t="s">
        <v>62</v>
      </c>
      <c r="T476" s="123">
        <f ca="1">IF($J476=$G$2,ROUND(ROUND($R476,2)*IF($R$9="Preço Unitário (R$)",1,1+$AA476),2),0)</f>
        <v>246.25</v>
      </c>
      <c r="U476" s="126">
        <f ca="1">IF($A476="S",VTOTAL1,IF($A476=0,0,ROUND(SomaAgrup,2)))</f>
        <v>738.75</v>
      </c>
      <c r="V476" s="1"/>
      <c r="W476" s="39" t="str">
        <f ca="1">IF(OR($A476=0,$A476="S",$A476&gt;CFF!$A$9),"",MAX(W$11:OFFSET(W476,-1,0))+1)</f>
        <v/>
      </c>
      <c r="X476" s="4" t="str">
        <f>IF(AND($J476=$G$2,$N476&lt;&gt;"",$M476&lt;&gt;""),CONCATENATE($M476,"-",$N476))</f>
        <v>Serv. Terc.-066</v>
      </c>
      <c r="Y476" s="39">
        <f ca="1">IF(X476&lt;&gt;FALSE,MATCH(X476,OFFSET(Banco,0,0,,1),0))</f>
        <v>146</v>
      </c>
      <c r="Z476" s="1"/>
      <c r="AA476" s="133">
        <f>IF($J476=$G$2,ROUND(IF(ISNUMBER(S476),S476,IF(LEFT(S476,2)="DI",HLOOKUP(S476,DADOS!$T$29:$X$30,2,FALSE),0)),4),"")</f>
        <v>0.25</v>
      </c>
      <c r="AB476" s="2"/>
    </row>
    <row r="477" spans="1:28">
      <c r="A477" t="str">
        <f t="shared" si="542"/>
        <v>S</v>
      </c>
      <c r="B477">
        <f t="shared" si="543"/>
        <v>0</v>
      </c>
      <c r="C477">
        <f t="shared" ca="1" si="544"/>
        <v>6</v>
      </c>
      <c r="D477">
        <f t="shared" ca="1" si="545"/>
        <v>7</v>
      </c>
      <c r="E477">
        <f t="shared" ca="1" si="546"/>
        <v>0</v>
      </c>
      <c r="F477">
        <f t="shared" ca="1" si="547"/>
        <v>0</v>
      </c>
      <c r="G477">
        <f t="shared" ca="1" si="548"/>
        <v>6</v>
      </c>
      <c r="H477">
        <f ca="1">IF(OR($A477="S",$A477=0),0,MATCH(0,OFFSET($B477,1,$A477,ROW($A$1504)-ROW($A477)),0))</f>
        <v>0</v>
      </c>
      <c r="I477">
        <f ca="1">IF(OR($A477="S",$A477=0),0,MATCH(OFFSET($B477,0,$A477)+1,OFFSET($B477,1,$A477,ROW($A$1504)-ROW($A477)),0))</f>
        <v>0</v>
      </c>
      <c r="J477" s="132" t="s">
        <v>29</v>
      </c>
      <c r="K477" s="121" t="str">
        <f t="shared" ca="1" si="549"/>
        <v>6.7.6.</v>
      </c>
      <c r="L477" s="137" t="str">
        <f t="shared" ca="1" si="550"/>
        <v>Cotação</v>
      </c>
      <c r="M477" s="122" t="s">
        <v>80</v>
      </c>
      <c r="N477" s="139" t="s">
        <v>149</v>
      </c>
      <c r="O477" s="137" t="str">
        <f t="shared" ref="O477:O488" ca="1" si="557">IF(NOT(ISERROR($Y477)),IF($Y477&lt;&gt;FALSE,INDEX(Banco,$Y477,5),""),"")</f>
        <v>Fotocópias</v>
      </c>
      <c r="P477" s="138" t="str">
        <f t="shared" ca="1" si="551"/>
        <v>Unidade</v>
      </c>
      <c r="Q477" s="134">
        <v>100</v>
      </c>
      <c r="R477" s="124">
        <f t="shared" ca="1" si="552"/>
        <v>0.3</v>
      </c>
      <c r="S477" s="136" t="s">
        <v>62</v>
      </c>
      <c r="T477" s="123">
        <f t="shared" ca="1" si="553"/>
        <v>0.38</v>
      </c>
      <c r="U477" s="126">
        <f t="shared" ca="1" si="554"/>
        <v>38</v>
      </c>
      <c r="V477" s="1"/>
      <c r="W477" s="39" t="str">
        <f ca="1">IF(OR($A477=0,$A477="S",$A477&gt;CFF!$A$9),"",MAX(W$11:OFFSET(W477,-1,0))+1)</f>
        <v/>
      </c>
      <c r="X477" s="4" t="str">
        <f t="shared" si="555"/>
        <v>Serv. Terc.-001</v>
      </c>
      <c r="Y477" s="39">
        <f t="shared" ca="1" si="556"/>
        <v>81</v>
      </c>
      <c r="Z477" s="1"/>
      <c r="AA477" s="133">
        <f>IF($J477=$G$2,ROUND(IF(ISNUMBER(S477),S477,IF(LEFT(S477,2)="DI",HLOOKUP(S477,DADOS!$T$29:$X$30,2,FALSE),0)),4),"")</f>
        <v>0.25</v>
      </c>
      <c r="AB477" s="2"/>
    </row>
    <row r="478" spans="1:28">
      <c r="A478" t="str">
        <f t="shared" ref="A478:A483" si="558">CHOOSE(1+LOG(1+2*(J478=$C$2)+4*(J478=$D$2)+8*(J478=$E$2)+16*(J478=$F$2)+32*(J478=$G$2),2),0,1,2,3,4,"S")</f>
        <v>S</v>
      </c>
      <c r="B478">
        <f t="shared" ref="B478:B483" si="559">IF(OR(A478="S",A478=0),0,IF(ISERROR(I478),H478,SMALL(H478:I478,1)))</f>
        <v>0</v>
      </c>
      <c r="C478">
        <f ca="1">IF($A478=1,OFFSET(C478,-1,0)+1,OFFSET(C478,-1,0))</f>
        <v>6</v>
      </c>
      <c r="D478">
        <f ca="1">IF($A478=1,0,IF($A478=2,OFFSET(D478,-1,0)+1,OFFSET(D478,-1,0)))</f>
        <v>7</v>
      </c>
      <c r="E478">
        <f ca="1">IF(AND($A478&lt;=2,$A478&lt;&gt;0),0,IF($A478=3,OFFSET(E478,-1,0)+1,OFFSET(E478,-1,0)))</f>
        <v>0</v>
      </c>
      <c r="F478">
        <f ca="1">IF(AND($A478&lt;=3,$A478&lt;&gt;0),0,IF($A478=4,OFFSET(F478,-1,0)+1,OFFSET(F478,-1,0)))</f>
        <v>0</v>
      </c>
      <c r="G478">
        <f ca="1">IF(AND($A478&lt;=4,$A478&lt;&gt;0),0,IF($A478="S",OFFSET(G478,-1,0)+1,OFFSET(G478,-1,0)))</f>
        <v>7</v>
      </c>
      <c r="H478">
        <f ca="1">IF(OR($A478="S",$A478=0),0,MATCH(0,OFFSET($B478,1,$A478,ROW($A$1504)-ROW($A478)),0))</f>
        <v>0</v>
      </c>
      <c r="I478">
        <f ca="1">IF(OR($A478="S",$A478=0),0,MATCH(OFFSET($B478,0,$A478)+1,OFFSET($B478,1,$A478,ROW($A$1504)-ROW($A478)),0))</f>
        <v>0</v>
      </c>
      <c r="J478" s="132" t="s">
        <v>29</v>
      </c>
      <c r="K478" s="121" t="str">
        <f t="shared" ref="K478:K483" ca="1" si="560">IF($A478=0,"-",CONCATENATE(C478&amp;".",IF(AND($A$5&gt;=2,$A478&gt;=2),D478&amp;".",""),IF(AND($A$5&gt;=3,$A478&gt;=3),E478&amp;".",""),IF(AND($A$5&gt;=4,$A478&gt;=4),F478&amp;".",""),IF($A478="S",G478&amp;".","")))</f>
        <v>6.7.7.</v>
      </c>
      <c r="L478" s="137" t="str">
        <f ca="1">IF(NOT(ISERROR($Y478)),IF($Y478&lt;&gt;FALSE,INDEX(Banco,$Y478,4),""),"")</f>
        <v>Cotação</v>
      </c>
      <c r="M478" s="122" t="s">
        <v>80</v>
      </c>
      <c r="N478" s="139" t="s">
        <v>256</v>
      </c>
      <c r="O478" s="137" t="str">
        <f ca="1">IF(NOT(ISERROR($Y478)),IF($Y478&lt;&gt;FALSE,INDEX(Banco,$Y478,5),""),"")</f>
        <v>Instrutor/Monitor (Educação Fisíca)</v>
      </c>
      <c r="P478" s="138" t="str">
        <f ca="1">IF(NOT(ISERROR($Y478)),IF($Y478&lt;&gt;FALSE,INDEX(Banco,$Y478,6),""),"")</f>
        <v>Horas</v>
      </c>
      <c r="Q478" s="134">
        <v>3</v>
      </c>
      <c r="R478" s="124">
        <f ca="1">IF(NOT(ISERROR($Y478)),IF($Y478&lt;&gt;FALSE,INDEX(Banco,$Y478,7),0),0)</f>
        <v>100</v>
      </c>
      <c r="S478" s="136" t="s">
        <v>62</v>
      </c>
      <c r="T478" s="123">
        <f ca="1">IF($J478=$G$2,ROUND(ROUND($R478,2)*IF($R$9="Preço Unitário (R$)",1,1+$AA478),2),0)</f>
        <v>125</v>
      </c>
      <c r="U478" s="126">
        <f ca="1">IF($A478="S",VTOTAL1,IF($A478=0,0,ROUND(SomaAgrup,2)))</f>
        <v>375</v>
      </c>
      <c r="V478" s="1"/>
      <c r="W478" s="39" t="str">
        <f ca="1">IF(OR($A478=0,$A478="S",$A478&gt;CFF!$A$9),"",MAX(W$11:OFFSET(W478,-1,0))+1)</f>
        <v/>
      </c>
      <c r="X478" s="4" t="str">
        <f>IF(AND($J478=$G$2,$N478&lt;&gt;"",$M478&lt;&gt;""),CONCATENATE($M478,"-",$N478))</f>
        <v>Serv. Terc.-017</v>
      </c>
      <c r="Y478" s="39">
        <f t="shared" ref="Y478:Y483" ca="1" si="561">IF(X478&lt;&gt;FALSE,MATCH(X478,OFFSET(Banco,0,0,,1),0))</f>
        <v>97</v>
      </c>
      <c r="Z478" s="1"/>
      <c r="AA478" s="133">
        <f>IF($J478=$G$2,ROUND(IF(ISNUMBER(S478),S478,IF(LEFT(S478,2)="DI",HLOOKUP(S478,DADOS!$T$29:$X$30,2,FALSE),0)),4),"")</f>
        <v>0.25</v>
      </c>
      <c r="AB478" s="2"/>
    </row>
    <row r="479" spans="1:28">
      <c r="A479" t="str">
        <f t="shared" si="558"/>
        <v>S</v>
      </c>
      <c r="B479">
        <f t="shared" si="559"/>
        <v>0</v>
      </c>
      <c r="C479">
        <f t="shared" ca="1" si="544"/>
        <v>6</v>
      </c>
      <c r="D479">
        <f t="shared" ca="1" si="545"/>
        <v>7</v>
      </c>
      <c r="E479">
        <f t="shared" ca="1" si="546"/>
        <v>0</v>
      </c>
      <c r="F479">
        <f t="shared" ca="1" si="547"/>
        <v>0</v>
      </c>
      <c r="G479">
        <f t="shared" ca="1" si="548"/>
        <v>8</v>
      </c>
      <c r="H479">
        <f ca="1">IF(OR($A479="S",$A479=0),0,MATCH(0,OFFSET($B479,1,$A479,ROW($A$1504)-ROW($A479)),0))</f>
        <v>0</v>
      </c>
      <c r="I479">
        <f ca="1">IF(OR($A479="S",$A479=0),0,MATCH(OFFSET($B479,0,$A479)+1,OFFSET($B479,1,$A479,ROW($A$1504)-ROW($A479)),0))</f>
        <v>0</v>
      </c>
      <c r="J479" s="132" t="s">
        <v>29</v>
      </c>
      <c r="K479" s="121" t="str">
        <f t="shared" ca="1" si="560"/>
        <v>6.7.8.</v>
      </c>
      <c r="L479" s="137" t="str">
        <f t="shared" ca="1" si="550"/>
        <v>Cotação</v>
      </c>
      <c r="M479" s="122" t="s">
        <v>80</v>
      </c>
      <c r="N479" s="139" t="s">
        <v>152</v>
      </c>
      <c r="O479" s="137" t="str">
        <f t="shared" ca="1" si="557"/>
        <v>Carro de som com gravação de vinheta</v>
      </c>
      <c r="P479" s="138" t="str">
        <f t="shared" ca="1" si="551"/>
        <v>Horas</v>
      </c>
      <c r="Q479" s="134">
        <v>3</v>
      </c>
      <c r="R479" s="124">
        <f t="shared" ca="1" si="552"/>
        <v>200</v>
      </c>
      <c r="S479" s="136" t="s">
        <v>62</v>
      </c>
      <c r="T479" s="123">
        <f t="shared" ca="1" si="553"/>
        <v>250</v>
      </c>
      <c r="U479" s="126">
        <f t="shared" ca="1" si="554"/>
        <v>750</v>
      </c>
      <c r="V479" s="1"/>
      <c r="W479" s="39" t="str">
        <f ca="1">IF(OR($A479=0,$A479="S",$A479&gt;CFF!$A$9),"",MAX(W$11:OFFSET(W479,-1,0))+1)</f>
        <v/>
      </c>
      <c r="X479" s="4" t="str">
        <f t="shared" si="555"/>
        <v>Serv. Terc.-002</v>
      </c>
      <c r="Y479" s="39">
        <f t="shared" ca="1" si="561"/>
        <v>82</v>
      </c>
      <c r="Z479" s="1"/>
      <c r="AA479" s="133">
        <f>IF($J479=$G$2,ROUND(IF(ISNUMBER(S479),S479,IF(LEFT(S479,2)="DI",HLOOKUP(S479,DADOS!$T$29:$X$30,2,FALSE),0)),4),"")</f>
        <v>0.25</v>
      </c>
      <c r="AB479" s="2"/>
    </row>
    <row r="480" spans="1:28">
      <c r="A480" t="str">
        <f t="shared" si="558"/>
        <v>S</v>
      </c>
      <c r="B480">
        <f t="shared" si="559"/>
        <v>0</v>
      </c>
      <c r="C480">
        <f t="shared" ca="1" si="544"/>
        <v>6</v>
      </c>
      <c r="D480">
        <f t="shared" ca="1" si="545"/>
        <v>7</v>
      </c>
      <c r="E480">
        <f t="shared" ca="1" si="546"/>
        <v>0</v>
      </c>
      <c r="F480">
        <f t="shared" ca="1" si="547"/>
        <v>0</v>
      </c>
      <c r="G480">
        <f t="shared" ca="1" si="548"/>
        <v>9</v>
      </c>
      <c r="H480">
        <f ca="1">IF(OR($A480="S",$A480=0),0,MATCH(0,OFFSET($B480,1,$A480,ROW($A$1504)-ROW($A480)),0))</f>
        <v>0</v>
      </c>
      <c r="I480">
        <f ca="1">IF(OR($A480="S",$A480=0),0,MATCH(OFFSET($B480,0,$A480)+1,OFFSET($B480,1,$A480,ROW($A$1504)-ROW($A480)),0))</f>
        <v>0</v>
      </c>
      <c r="J480" s="132" t="s">
        <v>29</v>
      </c>
      <c r="K480" s="121" t="str">
        <f t="shared" ca="1" si="560"/>
        <v>6.7.9.</v>
      </c>
      <c r="L480" s="137" t="str">
        <f t="shared" ca="1" si="550"/>
        <v>Cotação</v>
      </c>
      <c r="M480" s="122" t="s">
        <v>80</v>
      </c>
      <c r="N480" s="139" t="s">
        <v>154</v>
      </c>
      <c r="O480" s="137" t="str">
        <f t="shared" ca="1" si="557"/>
        <v>Locação de caixa térmica</v>
      </c>
      <c r="P480" s="138" t="str">
        <f t="shared" ca="1" si="551"/>
        <v>Unidade</v>
      </c>
      <c r="Q480" s="134">
        <v>2</v>
      </c>
      <c r="R480" s="124">
        <f t="shared" ca="1" si="552"/>
        <v>40</v>
      </c>
      <c r="S480" s="136" t="s">
        <v>62</v>
      </c>
      <c r="T480" s="123">
        <f t="shared" ca="1" si="553"/>
        <v>50</v>
      </c>
      <c r="U480" s="126">
        <f t="shared" ca="1" si="554"/>
        <v>100</v>
      </c>
      <c r="V480" s="1"/>
      <c r="W480" s="39" t="str">
        <f ca="1">IF(OR($A480=0,$A480="S",$A480&gt;CFF!$A$9),"",MAX(W$11:OFFSET(W480,-1,0))+1)</f>
        <v/>
      </c>
      <c r="X480" s="4" t="str">
        <f t="shared" si="555"/>
        <v>Serv. Terc.-005</v>
      </c>
      <c r="Y480" s="39">
        <f t="shared" ca="1" si="561"/>
        <v>85</v>
      </c>
      <c r="Z480" s="1"/>
      <c r="AA480" s="133">
        <f>IF($J480=$G$2,ROUND(IF(ISNUMBER(S480),S480,IF(LEFT(S480,2)="DI",HLOOKUP(S480,DADOS!$T$29:$X$30,2,FALSE),0)),4),"")</f>
        <v>0.25</v>
      </c>
      <c r="AB480" s="2"/>
    </row>
    <row r="481" spans="1:28">
      <c r="A481" t="str">
        <f t="shared" si="558"/>
        <v>S</v>
      </c>
      <c r="B481">
        <f t="shared" si="559"/>
        <v>0</v>
      </c>
      <c r="C481">
        <f t="shared" ca="1" si="544"/>
        <v>6</v>
      </c>
      <c r="D481">
        <f t="shared" ca="1" si="545"/>
        <v>7</v>
      </c>
      <c r="E481">
        <f t="shared" ca="1" si="546"/>
        <v>0</v>
      </c>
      <c r="F481">
        <f t="shared" ca="1" si="547"/>
        <v>0</v>
      </c>
      <c r="G481">
        <f t="shared" ca="1" si="548"/>
        <v>10</v>
      </c>
      <c r="H481">
        <f ca="1">IF(OR($A481="S",$A481=0),0,MATCH(0,OFFSET($B481,1,$A481,ROW($A$1504)-ROW($A481)),0))</f>
        <v>0</v>
      </c>
      <c r="I481">
        <f ca="1">IF(OR($A481="S",$A481=0),0,MATCH(OFFSET($B481,0,$A481)+1,OFFSET($B481,1,$A481,ROW($A$1504)-ROW($A481)),0))</f>
        <v>0</v>
      </c>
      <c r="J481" s="132" t="s">
        <v>29</v>
      </c>
      <c r="K481" s="121" t="str">
        <f t="shared" ca="1" si="560"/>
        <v>6.7.10.</v>
      </c>
      <c r="L481" s="137" t="str">
        <f t="shared" ca="1" si="550"/>
        <v xml:space="preserve">Cotação </v>
      </c>
      <c r="M481" s="122" t="s">
        <v>80</v>
      </c>
      <c r="N481" s="139" t="s">
        <v>160</v>
      </c>
      <c r="O481" s="137" t="str">
        <f t="shared" ca="1" si="557"/>
        <v>Barra de gelo</v>
      </c>
      <c r="P481" s="138" t="str">
        <f t="shared" ca="1" si="551"/>
        <v>Unidade</v>
      </c>
      <c r="Q481" s="134">
        <v>4</v>
      </c>
      <c r="R481" s="124">
        <f t="shared" ca="1" si="552"/>
        <v>12</v>
      </c>
      <c r="S481" s="136" t="s">
        <v>62</v>
      </c>
      <c r="T481" s="123">
        <f t="shared" ca="1" si="553"/>
        <v>15</v>
      </c>
      <c r="U481" s="126">
        <f t="shared" ca="1" si="554"/>
        <v>60</v>
      </c>
      <c r="V481" s="1"/>
      <c r="W481" s="39" t="str">
        <f ca="1">IF(OR($A481=0,$A481="S",$A481&gt;CFF!$A$9),"",MAX(W$11:OFFSET(W481,-1,0))+1)</f>
        <v/>
      </c>
      <c r="X481" s="4" t="str">
        <f t="shared" si="555"/>
        <v>Serv. Terc.-011</v>
      </c>
      <c r="Y481" s="39">
        <f t="shared" ca="1" si="561"/>
        <v>91</v>
      </c>
      <c r="Z481" s="1"/>
      <c r="AA481" s="133">
        <f>IF($J481=$G$2,ROUND(IF(ISNUMBER(S481),S481,IF(LEFT(S481,2)="DI",HLOOKUP(S481,DADOS!$T$29:$X$30,2,FALSE),0)),4),"")</f>
        <v>0.25</v>
      </c>
      <c r="AB481" s="2"/>
    </row>
    <row r="482" spans="1:28">
      <c r="A482" t="str">
        <f t="shared" si="558"/>
        <v>S</v>
      </c>
      <c r="B482">
        <f t="shared" si="559"/>
        <v>0</v>
      </c>
      <c r="C482">
        <f t="shared" ca="1" si="544"/>
        <v>6</v>
      </c>
      <c r="D482">
        <f t="shared" ca="1" si="545"/>
        <v>7</v>
      </c>
      <c r="E482">
        <f t="shared" ca="1" si="546"/>
        <v>0</v>
      </c>
      <c r="F482">
        <f t="shared" ca="1" si="547"/>
        <v>0</v>
      </c>
      <c r="G482">
        <f t="shared" ca="1" si="548"/>
        <v>11</v>
      </c>
      <c r="H482">
        <f ca="1">IF(OR($A482="S",$A482=0),0,MATCH(0,OFFSET($B482,1,$A482,ROW($A$1504)-ROW($A482)),0))</f>
        <v>0</v>
      </c>
      <c r="I482">
        <f ca="1">IF(OR($A482="S",$A482=0),0,MATCH(OFFSET($B482,0,$A482)+1,OFFSET($B482,1,$A482,ROW($A$1504)-ROW($A482)),0))</f>
        <v>0</v>
      </c>
      <c r="J482" s="132" t="s">
        <v>29</v>
      </c>
      <c r="K482" s="121" t="str">
        <f t="shared" ca="1" si="560"/>
        <v>6.7.11.</v>
      </c>
      <c r="L482" s="137" t="str">
        <f t="shared" ca="1" si="550"/>
        <v>Cotação</v>
      </c>
      <c r="M482" s="122" t="s">
        <v>80</v>
      </c>
      <c r="N482" s="139" t="s">
        <v>150</v>
      </c>
      <c r="O482" s="137" t="str">
        <f t="shared" ca="1" si="557"/>
        <v>Sucos</v>
      </c>
      <c r="P482" s="138" t="str">
        <f t="shared" ca="1" si="551"/>
        <v>Unidade</v>
      </c>
      <c r="Q482" s="134">
        <v>12</v>
      </c>
      <c r="R482" s="124">
        <f t="shared" ca="1" si="552"/>
        <v>6.4</v>
      </c>
      <c r="S482" s="136" t="s">
        <v>62</v>
      </c>
      <c r="T482" s="123">
        <f t="shared" ca="1" si="553"/>
        <v>8</v>
      </c>
      <c r="U482" s="126">
        <f t="shared" ca="1" si="554"/>
        <v>96</v>
      </c>
      <c r="V482" s="1"/>
      <c r="W482" s="39" t="str">
        <f ca="1">IF(OR($A482=0,$A482="S",$A482&gt;CFF!$A$9),"",MAX(W$11:OFFSET(W482,-1,0))+1)</f>
        <v/>
      </c>
      <c r="X482" s="4" t="str">
        <f t="shared" si="555"/>
        <v>Serv. Terc.-013</v>
      </c>
      <c r="Y482" s="39">
        <f t="shared" ca="1" si="561"/>
        <v>93</v>
      </c>
      <c r="Z482" s="1"/>
      <c r="AA482" s="133">
        <f>IF($J482=$G$2,ROUND(IF(ISNUMBER(S482),S482,IF(LEFT(S482,2)="DI",HLOOKUP(S482,DADOS!$T$29:$X$30,2,FALSE),0)),4),"")</f>
        <v>0.25</v>
      </c>
      <c r="AB482" s="2"/>
    </row>
    <row r="483" spans="1:28">
      <c r="A483" t="str">
        <f t="shared" si="558"/>
        <v>S</v>
      </c>
      <c r="B483">
        <f t="shared" si="559"/>
        <v>0</v>
      </c>
      <c r="C483">
        <f ca="1">IF($A483=1,OFFSET(C483,-1,0)+1,OFFSET(C483,-1,0))</f>
        <v>6</v>
      </c>
      <c r="D483">
        <f ca="1">IF($A483=1,0,IF($A483=2,OFFSET(D483,-1,0)+1,OFFSET(D483,-1,0)))</f>
        <v>7</v>
      </c>
      <c r="E483">
        <f ca="1">IF(AND($A483&lt;=2,$A483&lt;&gt;0),0,IF($A483=3,OFFSET(E483,-1,0)+1,OFFSET(E483,-1,0)))</f>
        <v>0</v>
      </c>
      <c r="F483">
        <f ca="1">IF(AND($A483&lt;=3,$A483&lt;&gt;0),0,IF($A483=4,OFFSET(F483,-1,0)+1,OFFSET(F483,-1,0)))</f>
        <v>0</v>
      </c>
      <c r="G483">
        <f ca="1">IF(AND($A483&lt;=4,$A483&lt;&gt;0),0,IF($A483="S",OFFSET(G483,-1,0)+1,OFFSET(G483,-1,0)))</f>
        <v>12</v>
      </c>
      <c r="H483">
        <f ca="1">IF(OR($A483="S",$A483=0),0,MATCH(0,OFFSET($B483,1,$A483,ROW($A$1504)-ROW($A483)),0))</f>
        <v>0</v>
      </c>
      <c r="I483">
        <f ca="1">IF(OR($A483="S",$A483=0),0,MATCH(OFFSET($B483,0,$A483)+1,OFFSET($B483,1,$A483,ROW($A$1504)-ROW($A483)),0))</f>
        <v>0</v>
      </c>
      <c r="J483" s="132" t="s">
        <v>29</v>
      </c>
      <c r="K483" s="121" t="str">
        <f t="shared" ca="1" si="560"/>
        <v>6.7.12.</v>
      </c>
      <c r="L483" s="137" t="str">
        <f ca="1">IF(NOT(ISERROR($Y483)),IF($Y483&lt;&gt;FALSE,INDEX(Banco,$Y483,4),""),"")</f>
        <v>Cotação</v>
      </c>
      <c r="M483" s="122" t="s">
        <v>80</v>
      </c>
      <c r="N483" s="139" t="s">
        <v>171</v>
      </c>
      <c r="O483" s="137" t="str">
        <f ca="1">IF(NOT(ISERROR($Y483)),IF($Y483&lt;&gt;FALSE,INDEX(Banco,$Y483,5),""),"")</f>
        <v xml:space="preserve">Refrigerantes (02 litros) </v>
      </c>
      <c r="P483" s="138" t="str">
        <f ca="1">IF(NOT(ISERROR($Y483)),IF($Y483&lt;&gt;FALSE,INDEX(Banco,$Y483,6),""),"")</f>
        <v>Unidade</v>
      </c>
      <c r="Q483" s="134">
        <v>20</v>
      </c>
      <c r="R483" s="124">
        <f ca="1">IF(NOT(ISERROR($Y483)),IF($Y483&lt;&gt;FALSE,INDEX(Banco,$Y483,7),0),0)</f>
        <v>6</v>
      </c>
      <c r="S483" s="136" t="s">
        <v>62</v>
      </c>
      <c r="T483" s="123">
        <f ca="1">IF($J483=$G$2,ROUND(ROUND($R483,2)*IF($R$9="Preço Unitário (R$)",1,1+$AA483),2),0)</f>
        <v>7.5</v>
      </c>
      <c r="U483" s="126">
        <f ca="1">IF($A483="S",VTOTAL1,IF($A483=0,0,ROUND(SomaAgrup,2)))</f>
        <v>150</v>
      </c>
      <c r="V483" s="1"/>
      <c r="W483" s="39" t="str">
        <f ca="1">IF(OR($A483=0,$A483="S",$A483&gt;CFF!$A$9),"",MAX(W$11:OFFSET(W483,-1,0))+1)</f>
        <v/>
      </c>
      <c r="X483" s="4" t="str">
        <f>IF(AND($J483=$G$2,$N483&lt;&gt;"",$M483&lt;&gt;""),CONCATENATE($M483,"-",$N483))</f>
        <v>Serv. Terc.-027</v>
      </c>
      <c r="Y483" s="39">
        <f t="shared" ca="1" si="561"/>
        <v>107</v>
      </c>
      <c r="Z483" s="1"/>
      <c r="AA483" s="133">
        <f>IF($J483=$G$2,ROUND(IF(ISNUMBER(S483),S483,IF(LEFT(S483,2)="DI",HLOOKUP(S483,DADOS!$T$29:$X$30,2,FALSE),0)),4),"")</f>
        <v>0.25</v>
      </c>
      <c r="AB483" s="2"/>
    </row>
    <row r="484" spans="1:28">
      <c r="A484" t="str">
        <f t="shared" ref="A484:A491" si="562">CHOOSE(1+LOG(1+2*(J484=$C$2)+4*(J484=$D$2)+8*(J484=$E$2)+16*(J484=$F$2)+32*(J484=$G$2),2),0,1,2,3,4,"S")</f>
        <v>S</v>
      </c>
      <c r="B484">
        <f t="shared" ref="B484:B491" si="563">IF(OR(A484="S",A484=0),0,IF(ISERROR(I484),H484,SMALL(H484:I484,1)))</f>
        <v>0</v>
      </c>
      <c r="C484">
        <f ca="1">IF($A484=1,OFFSET(C484,-1,0)+1,OFFSET(C484,-1,0))</f>
        <v>6</v>
      </c>
      <c r="D484">
        <f ca="1">IF($A484=1,0,IF($A484=2,OFFSET(D484,-1,0)+1,OFFSET(D484,-1,0)))</f>
        <v>7</v>
      </c>
      <c r="E484">
        <f ca="1">IF(AND($A484&lt;=2,$A484&lt;&gt;0),0,IF($A484=3,OFFSET(E484,-1,0)+1,OFFSET(E484,-1,0)))</f>
        <v>0</v>
      </c>
      <c r="F484">
        <f ca="1">IF(AND($A484&lt;=3,$A484&lt;&gt;0),0,IF($A484=4,OFFSET(F484,-1,0)+1,OFFSET(F484,-1,0)))</f>
        <v>0</v>
      </c>
      <c r="G484">
        <f ca="1">IF(AND($A484&lt;=4,$A484&lt;&gt;0),0,IF($A484="S",OFFSET(G484,-1,0)+1,OFFSET(G484,-1,0)))</f>
        <v>13</v>
      </c>
      <c r="H484">
        <f ca="1">IF(OR($A484="S",$A484=0),0,MATCH(0,OFFSET($B484,1,$A484,ROW($A$1504)-ROW($A484)),0))</f>
        <v>0</v>
      </c>
      <c r="I484">
        <f ca="1">IF(OR($A484="S",$A484=0),0,MATCH(OFFSET($B484,0,$A484)+1,OFFSET($B484,1,$A484,ROW($A$1504)-ROW($A484)),0))</f>
        <v>0</v>
      </c>
      <c r="J484" s="132" t="s">
        <v>29</v>
      </c>
      <c r="K484" s="121" t="str">
        <f t="shared" ref="K484:K491" ca="1" si="564">IF($A484=0,"-",CONCATENATE(C484&amp;".",IF(AND($A$5&gt;=2,$A484&gt;=2),D484&amp;".",""),IF(AND($A$5&gt;=3,$A484&gt;=3),E484&amp;".",""),IF(AND($A$5&gt;=4,$A484&gt;=4),F484&amp;".",""),IF($A484="S",G484&amp;".","")))</f>
        <v>6.7.13.</v>
      </c>
      <c r="L484" s="137" t="str">
        <f ca="1">IF(NOT(ISERROR($Y484)),IF($Y484&lt;&gt;FALSE,INDEX(Banco,$Y484,4),""),"")</f>
        <v xml:space="preserve">Cotação </v>
      </c>
      <c r="M484" s="122" t="s">
        <v>80</v>
      </c>
      <c r="N484" s="139" t="s">
        <v>159</v>
      </c>
      <c r="O484" s="137" t="str">
        <f ca="1">IF(NOT(ISERROR($Y484)),IF($Y484&lt;&gt;FALSE,INDEX(Banco,$Y484,5),""),"")</f>
        <v>Brindes ( descrição nos orçamentos e PTS)</v>
      </c>
      <c r="P484" s="138" t="str">
        <f ca="1">IF(NOT(ISERROR($Y484)),IF($Y484&lt;&gt;FALSE,INDEX(Banco,$Y484,6),""),"")</f>
        <v>Unidade</v>
      </c>
      <c r="Q484" s="134">
        <v>4</v>
      </c>
      <c r="R484" s="124">
        <f ca="1">IF(NOT(ISERROR($Y484)),IF($Y484&lt;&gt;FALSE,INDEX(Banco,$Y484,7),0),0)</f>
        <v>120</v>
      </c>
      <c r="S484" s="136" t="s">
        <v>62</v>
      </c>
      <c r="T484" s="123">
        <f ca="1">IF($J484=$G$2,ROUND(ROUND($R484,2)*IF($R$9="Preço Unitário (R$)",1,1+$AA484),2),0)</f>
        <v>150</v>
      </c>
      <c r="U484" s="126">
        <f ca="1">IF($A484="S",VTOTAL1,IF($A484=0,0,ROUND(SomaAgrup,2)))</f>
        <v>600</v>
      </c>
      <c r="V484" s="1"/>
      <c r="W484" s="39" t="str">
        <f ca="1">IF(OR($A484=0,$A484="S",$A484&gt;CFF!$A$9),"",MAX(W$11:OFFSET(W484,-1,0))+1)</f>
        <v/>
      </c>
      <c r="X484" s="4" t="str">
        <f>IF(AND($J484=$G$2,$N484&lt;&gt;"",$M484&lt;&gt;""),CONCATENATE($M484,"-",$N484))</f>
        <v>Serv. Terc.-010</v>
      </c>
      <c r="Y484" s="39">
        <f t="shared" ref="Y484:Y491" ca="1" si="565">IF(X484&lt;&gt;FALSE,MATCH(X484,OFFSET(Banco,0,0,,1),0))</f>
        <v>90</v>
      </c>
      <c r="Z484" s="1"/>
      <c r="AA484" s="133">
        <f>IF($J484=$G$2,ROUND(IF(ISNUMBER(S484),S484,IF(LEFT(S484,2)="DI",HLOOKUP(S484,DADOS!$T$29:$X$30,2,FALSE),0)),4),"")</f>
        <v>0.25</v>
      </c>
      <c r="AB484" s="2"/>
    </row>
    <row r="485" spans="1:28">
      <c r="A485" t="str">
        <f t="shared" si="562"/>
        <v>S</v>
      </c>
      <c r="B485">
        <f t="shared" si="563"/>
        <v>0</v>
      </c>
      <c r="C485">
        <f t="shared" ca="1" si="544"/>
        <v>6</v>
      </c>
      <c r="D485">
        <f t="shared" ca="1" si="545"/>
        <v>7</v>
      </c>
      <c r="E485">
        <f t="shared" ca="1" si="546"/>
        <v>0</v>
      </c>
      <c r="F485">
        <f t="shared" ca="1" si="547"/>
        <v>0</v>
      </c>
      <c r="G485">
        <f t="shared" ca="1" si="548"/>
        <v>14</v>
      </c>
      <c r="H485">
        <f ca="1">IF(OR($A485="S",$A485=0),0,MATCH(0,OFFSET($B485,1,$A485,ROW($A$1504)-ROW($A485)),0))</f>
        <v>0</v>
      </c>
      <c r="I485">
        <f ca="1">IF(OR($A485="S",$A485=0),0,MATCH(OFFSET($B485,0,$A485)+1,OFFSET($B485,1,$A485,ROW($A$1504)-ROW($A485)),0))</f>
        <v>0</v>
      </c>
      <c r="J485" s="132" t="s">
        <v>29</v>
      </c>
      <c r="K485" s="121" t="str">
        <f t="shared" ca="1" si="564"/>
        <v>6.7.14.</v>
      </c>
      <c r="L485" s="137" t="str">
        <f t="shared" ca="1" si="550"/>
        <v>Cotação</v>
      </c>
      <c r="M485" s="122" t="s">
        <v>80</v>
      </c>
      <c r="N485" s="139" t="s">
        <v>162</v>
      </c>
      <c r="O485" s="137" t="str">
        <f t="shared" ca="1" si="557"/>
        <v>Coffee break (salgados)</v>
      </c>
      <c r="P485" s="138" t="str">
        <f t="shared" ca="1" si="551"/>
        <v>Centro</v>
      </c>
      <c r="Q485" s="134">
        <v>15</v>
      </c>
      <c r="R485" s="124">
        <f t="shared" ca="1" si="552"/>
        <v>65</v>
      </c>
      <c r="S485" s="136" t="s">
        <v>62</v>
      </c>
      <c r="T485" s="123">
        <f t="shared" ca="1" si="553"/>
        <v>81.25</v>
      </c>
      <c r="U485" s="126">
        <f t="shared" ca="1" si="554"/>
        <v>1218.75</v>
      </c>
      <c r="V485" s="1"/>
      <c r="W485" s="39" t="str">
        <f ca="1">IF(OR($A485=0,$A485="S",$A485&gt;CFF!$A$9),"",MAX(W$11:OFFSET(W485,-1,0))+1)</f>
        <v/>
      </c>
      <c r="X485" s="4" t="str">
        <f t="shared" si="555"/>
        <v>Serv. Terc.-015</v>
      </c>
      <c r="Y485" s="39">
        <f t="shared" ca="1" si="565"/>
        <v>95</v>
      </c>
      <c r="Z485" s="1"/>
      <c r="AA485" s="133">
        <f>IF($J485=$G$2,ROUND(IF(ISNUMBER(S485),S485,IF(LEFT(S485,2)="DI",HLOOKUP(S485,DADOS!$T$29:$X$30,2,FALSE),0)),4),"")</f>
        <v>0.25</v>
      </c>
      <c r="AB485" s="2"/>
    </row>
    <row r="486" spans="1:28">
      <c r="A486" t="str">
        <f t="shared" si="562"/>
        <v>S</v>
      </c>
      <c r="B486">
        <f t="shared" si="563"/>
        <v>0</v>
      </c>
      <c r="C486">
        <f t="shared" ca="1" si="544"/>
        <v>6</v>
      </c>
      <c r="D486">
        <f t="shared" ca="1" si="545"/>
        <v>7</v>
      </c>
      <c r="E486">
        <f t="shared" ca="1" si="546"/>
        <v>0</v>
      </c>
      <c r="F486">
        <f t="shared" ca="1" si="547"/>
        <v>0</v>
      </c>
      <c r="G486">
        <f t="shared" ca="1" si="548"/>
        <v>15</v>
      </c>
      <c r="H486">
        <f ca="1">IF(OR($A486="S",$A486=0),0,MATCH(0,OFFSET($B486,1,$A486,ROW($A$1504)-ROW($A486)),0))</f>
        <v>0</v>
      </c>
      <c r="I486">
        <f ca="1">IF(OR($A486="S",$A486=0),0,MATCH(OFFSET($B486,0,$A486)+1,OFFSET($B486,1,$A486,ROW($A$1504)-ROW($A486)),0))</f>
        <v>0</v>
      </c>
      <c r="J486" s="132" t="s">
        <v>29</v>
      </c>
      <c r="K486" s="121" t="str">
        <f t="shared" ca="1" si="564"/>
        <v>6.7.15.</v>
      </c>
      <c r="L486" s="137" t="str">
        <f t="shared" ca="1" si="550"/>
        <v>Cotação</v>
      </c>
      <c r="M486" s="122" t="s">
        <v>79</v>
      </c>
      <c r="N486" s="139" t="s">
        <v>163</v>
      </c>
      <c r="O486" s="137" t="str">
        <f t="shared" ca="1" si="557"/>
        <v>Guloseimas (balas e pirulito)</v>
      </c>
      <c r="P486" s="138" t="str">
        <f t="shared" ca="1" si="551"/>
        <v>Pacote</v>
      </c>
      <c r="Q486" s="134">
        <v>4</v>
      </c>
      <c r="R486" s="124">
        <f t="shared" ca="1" si="552"/>
        <v>12</v>
      </c>
      <c r="S486" s="136" t="s">
        <v>62</v>
      </c>
      <c r="T486" s="123">
        <f t="shared" ca="1" si="553"/>
        <v>15</v>
      </c>
      <c r="U486" s="126">
        <f t="shared" ca="1" si="554"/>
        <v>60</v>
      </c>
      <c r="V486" s="1"/>
      <c r="W486" s="39" t="str">
        <f ca="1">IF(OR($A486=0,$A486="S",$A486&gt;CFF!$A$9),"",MAX(W$11:OFFSET(W486,-1,0))+1)</f>
        <v/>
      </c>
      <c r="X486" s="4" t="str">
        <f t="shared" si="555"/>
        <v>Rec. Materiais-020</v>
      </c>
      <c r="Y486" s="39">
        <f t="shared" ca="1" si="565"/>
        <v>29</v>
      </c>
      <c r="Z486" s="1"/>
      <c r="AA486" s="133">
        <f>IF($J486=$G$2,ROUND(IF(ISNUMBER(S486),S486,IF(LEFT(S486,2)="DI",HLOOKUP(S486,DADOS!$T$29:$X$30,2,FALSE),0)),4),"")</f>
        <v>0.25</v>
      </c>
      <c r="AB486" s="2"/>
    </row>
    <row r="487" spans="1:28">
      <c r="A487" t="str">
        <f t="shared" si="562"/>
        <v>S</v>
      </c>
      <c r="B487">
        <f t="shared" si="563"/>
        <v>0</v>
      </c>
      <c r="C487">
        <f t="shared" ca="1" si="544"/>
        <v>6</v>
      </c>
      <c r="D487">
        <f t="shared" ca="1" si="545"/>
        <v>7</v>
      </c>
      <c r="E487">
        <f t="shared" ca="1" si="546"/>
        <v>0</v>
      </c>
      <c r="F487">
        <f t="shared" ca="1" si="547"/>
        <v>0</v>
      </c>
      <c r="G487">
        <f t="shared" ca="1" si="548"/>
        <v>16</v>
      </c>
      <c r="H487">
        <f ca="1">IF(OR($A487="S",$A487=0),0,MATCH(0,OFFSET($B487,1,$A487,ROW($A$1504)-ROW($A487)),0))</f>
        <v>0</v>
      </c>
      <c r="I487">
        <f ca="1">IF(OR($A487="S",$A487=0),0,MATCH(OFFSET($B487,0,$A487)+1,OFFSET($B487,1,$A487,ROW($A$1504)-ROW($A487)),0))</f>
        <v>0</v>
      </c>
      <c r="J487" s="132" t="s">
        <v>29</v>
      </c>
      <c r="K487" s="121" t="str">
        <f t="shared" ca="1" si="564"/>
        <v>6.7.16.</v>
      </c>
      <c r="L487" s="137" t="str">
        <f t="shared" ca="1" si="550"/>
        <v>Cotação</v>
      </c>
      <c r="M487" s="122" t="s">
        <v>79</v>
      </c>
      <c r="N487" s="139" t="s">
        <v>165</v>
      </c>
      <c r="O487" s="137" t="str">
        <f t="shared" ca="1" si="557"/>
        <v>Papel de presente</v>
      </c>
      <c r="P487" s="138" t="str">
        <f t="shared" ca="1" si="551"/>
        <v>Folhas</v>
      </c>
      <c r="Q487" s="134">
        <v>8</v>
      </c>
      <c r="R487" s="124">
        <f t="shared" ca="1" si="552"/>
        <v>1.5</v>
      </c>
      <c r="S487" s="136" t="s">
        <v>62</v>
      </c>
      <c r="T487" s="123">
        <f t="shared" ca="1" si="553"/>
        <v>1.88</v>
      </c>
      <c r="U487" s="126">
        <f t="shared" ca="1" si="554"/>
        <v>15.04</v>
      </c>
      <c r="V487" s="1"/>
      <c r="W487" s="39" t="str">
        <f ca="1">IF(OR($A487=0,$A487="S",$A487&gt;CFF!$A$9),"",MAX(W$11:OFFSET(W487,-1,0))+1)</f>
        <v/>
      </c>
      <c r="X487" s="4" t="str">
        <f t="shared" si="555"/>
        <v>Rec. Materiais-021</v>
      </c>
      <c r="Y487" s="39">
        <f t="shared" ca="1" si="565"/>
        <v>30</v>
      </c>
      <c r="Z487" s="1"/>
      <c r="AA487" s="133">
        <f>IF($J487=$G$2,ROUND(IF(ISNUMBER(S487),S487,IF(LEFT(S487,2)="DI",HLOOKUP(S487,DADOS!$T$29:$X$30,2,FALSE),0)),4),"")</f>
        <v>0.25</v>
      </c>
      <c r="AB487" s="2"/>
    </row>
    <row r="488" spans="1:28">
      <c r="A488" t="str">
        <f t="shared" si="562"/>
        <v>S</v>
      </c>
      <c r="B488">
        <f t="shared" si="563"/>
        <v>0</v>
      </c>
      <c r="C488">
        <f t="shared" ca="1" si="544"/>
        <v>6</v>
      </c>
      <c r="D488">
        <f t="shared" ca="1" si="545"/>
        <v>7</v>
      </c>
      <c r="E488">
        <f t="shared" ca="1" si="546"/>
        <v>0</v>
      </c>
      <c r="F488">
        <f t="shared" ca="1" si="547"/>
        <v>0</v>
      </c>
      <c r="G488">
        <f t="shared" ca="1" si="548"/>
        <v>17</v>
      </c>
      <c r="H488">
        <f ca="1">IF(OR($A488="S",$A488=0),0,MATCH(0,OFFSET($B488,1,$A488,ROW($A$1504)-ROW($A488)),0))</f>
        <v>0</v>
      </c>
      <c r="I488">
        <f ca="1">IF(OR($A488="S",$A488=0),0,MATCH(OFFSET($B488,0,$A488)+1,OFFSET($B488,1,$A488,ROW($A$1504)-ROW($A488)),0))</f>
        <v>0</v>
      </c>
      <c r="J488" s="132" t="s">
        <v>29</v>
      </c>
      <c r="K488" s="121" t="str">
        <f t="shared" ca="1" si="564"/>
        <v>6.7.17.</v>
      </c>
      <c r="L488" s="137" t="str">
        <f t="shared" ca="1" si="550"/>
        <v>Cotação</v>
      </c>
      <c r="M488" s="122" t="s">
        <v>79</v>
      </c>
      <c r="N488" s="139" t="s">
        <v>170</v>
      </c>
      <c r="O488" s="137" t="str">
        <f t="shared" ca="1" si="557"/>
        <v>Saco de lixo (100 litros)</v>
      </c>
      <c r="P488" s="138" t="str">
        <f t="shared" ca="1" si="551"/>
        <v>Pacote</v>
      </c>
      <c r="Q488" s="134">
        <v>2</v>
      </c>
      <c r="R488" s="124">
        <f t="shared" ca="1" si="552"/>
        <v>15</v>
      </c>
      <c r="S488" s="136" t="s">
        <v>62</v>
      </c>
      <c r="T488" s="123">
        <f t="shared" ca="1" si="553"/>
        <v>18.75</v>
      </c>
      <c r="U488" s="126">
        <f t="shared" ca="1" si="554"/>
        <v>37.5</v>
      </c>
      <c r="V488" s="1"/>
      <c r="W488" s="39" t="str">
        <f ca="1">IF(OR($A488=0,$A488="S",$A488&gt;CFF!$A$9),"",MAX(W$11:OFFSET(W488,-1,0))+1)</f>
        <v/>
      </c>
      <c r="X488" s="4" t="str">
        <f t="shared" si="555"/>
        <v>Rec. Materiais-026</v>
      </c>
      <c r="Y488" s="39">
        <f t="shared" ca="1" si="565"/>
        <v>35</v>
      </c>
      <c r="Z488" s="1"/>
      <c r="AA488" s="133">
        <f>IF($J488=$G$2,ROUND(IF(ISNUMBER(S488),S488,IF(LEFT(S488,2)="DI",HLOOKUP(S488,DADOS!$T$29:$X$30,2,FALSE),0)),4),"")</f>
        <v>0.25</v>
      </c>
      <c r="AB488" s="2"/>
    </row>
    <row r="489" spans="1:28" ht="25.5">
      <c r="A489" t="str">
        <f t="shared" si="562"/>
        <v>S</v>
      </c>
      <c r="B489">
        <f t="shared" si="563"/>
        <v>0</v>
      </c>
      <c r="C489">
        <f ca="1">IF($A489=1,OFFSET(C489,-1,0)+1,OFFSET(C489,-1,0))</f>
        <v>6</v>
      </c>
      <c r="D489">
        <f ca="1">IF($A489=1,0,IF($A489=2,OFFSET(D489,-1,0)+1,OFFSET(D489,-1,0)))</f>
        <v>7</v>
      </c>
      <c r="E489">
        <f ca="1">IF(AND($A489&lt;=2,$A489&lt;&gt;0),0,IF($A489=3,OFFSET(E489,-1,0)+1,OFFSET(E489,-1,0)))</f>
        <v>0</v>
      </c>
      <c r="F489">
        <f ca="1">IF(AND($A489&lt;=3,$A489&lt;&gt;0),0,IF($A489=4,OFFSET(F489,-1,0)+1,OFFSET(F489,-1,0)))</f>
        <v>0</v>
      </c>
      <c r="G489">
        <f ca="1">IF(AND($A489&lt;=4,$A489&lt;&gt;0),0,IF($A489="S",OFFSET(G489,-1,0)+1,OFFSET(G489,-1,0)))</f>
        <v>18</v>
      </c>
      <c r="H489">
        <f ca="1">IF(OR($A489="S",$A489=0),0,MATCH(0,OFFSET($B489,1,$A489,ROW($A$1504)-ROW($A489)),0))</f>
        <v>0</v>
      </c>
      <c r="I489">
        <f ca="1">IF(OR($A489="S",$A489=0),0,MATCH(OFFSET($B489,0,$A489)+1,OFFSET($B489,1,$A489,ROW($A$1504)-ROW($A489)),0))</f>
        <v>0</v>
      </c>
      <c r="J489" s="132" t="s">
        <v>29</v>
      </c>
      <c r="K489" s="121" t="str">
        <f t="shared" ca="1" si="564"/>
        <v>6.7.18.</v>
      </c>
      <c r="L489" s="137" t="str">
        <f ca="1">IF(NOT(ISERROR($Y489)),IF($Y489&lt;&gt;FALSE,INDEX(Banco,$Y489,4),""),"")</f>
        <v>Cotação</v>
      </c>
      <c r="M489" s="122" t="s">
        <v>79</v>
      </c>
      <c r="N489" s="139" t="s">
        <v>245</v>
      </c>
      <c r="O489" s="137" t="str">
        <f ca="1">IF(NOT(ISERROR($Y489)),IF($Y489&lt;&gt;FALSE,INDEX(Banco,$Y489,5),""),"")</f>
        <v>KIT 01 - Oficina de como manter vasos e canteiros de plantas medicinais. Materias dos alunos ( floreira, sementes, mudas ornamentais e medicinais)</v>
      </c>
      <c r="P489" s="138" t="str">
        <f ca="1">IF(NOT(ISERROR($Y489)),IF($Y489&lt;&gt;FALSE,INDEX(Banco,$Y489,6),""),"")</f>
        <v>KITS</v>
      </c>
      <c r="Q489" s="134">
        <v>23</v>
      </c>
      <c r="R489" s="124">
        <f ca="1">IF(NOT(ISERROR($Y489)),IF($Y489&lt;&gt;FALSE,INDEX(Banco,$Y489,7),0),0)</f>
        <v>29.48</v>
      </c>
      <c r="S489" s="136" t="s">
        <v>62</v>
      </c>
      <c r="T489" s="123">
        <f ca="1">IF($J489=$G$2,ROUND(ROUND($R489,2)*IF($R$9="Preço Unitário (R$)",1,1+$AA489),2),0)</f>
        <v>36.85</v>
      </c>
      <c r="U489" s="126">
        <f ca="1">IF($A489="S",VTOTAL1,IF($A489=0,0,ROUND(SomaAgrup,2)))</f>
        <v>847.55</v>
      </c>
      <c r="V489" s="1"/>
      <c r="W489" s="39" t="str">
        <f ca="1">IF(OR($A489=0,$A489="S",$A489&gt;CFF!$A$9),"",MAX(W$11:OFFSET(W489,-1,0))+1)</f>
        <v/>
      </c>
      <c r="X489" s="4" t="str">
        <f>IF(AND($J489=$G$2,$N489&lt;&gt;"",$M489&lt;&gt;""),CONCATENATE($M489,"-",$N489))</f>
        <v>Rec. Materiais-044</v>
      </c>
      <c r="Y489" s="39">
        <f t="shared" ca="1" si="565"/>
        <v>53</v>
      </c>
      <c r="Z489" s="1"/>
      <c r="AA489" s="133">
        <f>IF($J489=$G$2,ROUND(IF(ISNUMBER(S489),S489,IF(LEFT(S489,2)="DI",HLOOKUP(S489,DADOS!$T$29:$X$30,2,FALSE),0)),4),"")</f>
        <v>0.25</v>
      </c>
      <c r="AB489" s="2"/>
    </row>
    <row r="490" spans="1:28" ht="25.5">
      <c r="A490" t="str">
        <f t="shared" si="562"/>
        <v>S</v>
      </c>
      <c r="B490">
        <f t="shared" si="563"/>
        <v>0</v>
      </c>
      <c r="C490">
        <f ca="1">IF($A490=1,OFFSET(C490,-1,0)+1,OFFSET(C490,-1,0))</f>
        <v>6</v>
      </c>
      <c r="D490">
        <f ca="1">IF($A490=1,0,IF($A490=2,OFFSET(D490,-1,0)+1,OFFSET(D490,-1,0)))</f>
        <v>7</v>
      </c>
      <c r="E490">
        <f ca="1">IF(AND($A490&lt;=2,$A490&lt;&gt;0),0,IF($A490=3,OFFSET(E490,-1,0)+1,OFFSET(E490,-1,0)))</f>
        <v>0</v>
      </c>
      <c r="F490">
        <f ca="1">IF(AND($A490&lt;=3,$A490&lt;&gt;0),0,IF($A490=4,OFFSET(F490,-1,0)+1,OFFSET(F490,-1,0)))</f>
        <v>0</v>
      </c>
      <c r="G490">
        <f ca="1">IF(AND($A490&lt;=4,$A490&lt;&gt;0),0,IF($A490="S",OFFSET(G490,-1,0)+1,OFFSET(G490,-1,0)))</f>
        <v>19</v>
      </c>
      <c r="H490">
        <f ca="1">IF(OR($A490="S",$A490=0),0,MATCH(0,OFFSET($B490,1,$A490,ROW($A$1504)-ROW($A490)),0))</f>
        <v>0</v>
      </c>
      <c r="I490">
        <f ca="1">IF(OR($A490="S",$A490=0),0,MATCH(OFFSET($B490,0,$A490)+1,OFFSET($B490,1,$A490,ROW($A$1504)-ROW($A490)),0))</f>
        <v>0</v>
      </c>
      <c r="J490" s="132" t="s">
        <v>29</v>
      </c>
      <c r="K490" s="121" t="str">
        <f t="shared" ca="1" si="564"/>
        <v>6.7.19.</v>
      </c>
      <c r="L490" s="137" t="str">
        <f ca="1">IF(NOT(ISERROR($Y490)),IF($Y490&lt;&gt;FALSE,INDEX(Banco,$Y490,4),""),"")</f>
        <v>Cotação</v>
      </c>
      <c r="M490" s="122" t="s">
        <v>79</v>
      </c>
      <c r="N490" s="139" t="s">
        <v>222</v>
      </c>
      <c r="O490" s="137" t="str">
        <f ca="1">IF(NOT(ISERROR($Y490)),IF($Y490&lt;&gt;FALSE,INDEX(Banco,$Y490,5),""),"")</f>
        <v>KIT 02 - Oficina de como manter vasos e canteiros de plantas medicinais. Material de uso coletivo (brita, adulbos, umus e terra preta)</v>
      </c>
      <c r="P490" s="138" t="str">
        <f ca="1">IF(NOT(ISERROR($Y490)),IF($Y490&lt;&gt;FALSE,INDEX(Banco,$Y490,6),""),"")</f>
        <v>Unidade</v>
      </c>
      <c r="Q490" s="134">
        <v>1</v>
      </c>
      <c r="R490" s="124">
        <f ca="1">IF(NOT(ISERROR($Y490)),IF($Y490&lt;&gt;FALSE,INDEX(Banco,$Y490,7),0),0)</f>
        <v>170</v>
      </c>
      <c r="S490" s="136" t="s">
        <v>62</v>
      </c>
      <c r="T490" s="123">
        <f ca="1">IF($J490=$G$2,ROUND(ROUND($R490,2)*IF($R$9="Preço Unitário (R$)",1,1+$AA490),2),0)</f>
        <v>212.5</v>
      </c>
      <c r="U490" s="126">
        <f ca="1">IF($A490="S",VTOTAL1,IF($A490=0,0,ROUND(SomaAgrup,2)))</f>
        <v>212.5</v>
      </c>
      <c r="V490" s="1"/>
      <c r="W490" s="39" t="str">
        <f ca="1">IF(OR($A490=0,$A490="S",$A490&gt;CFF!$A$9),"",MAX(W$11:OFFSET(W490,-1,0))+1)</f>
        <v/>
      </c>
      <c r="X490" s="4" t="str">
        <f>IF(AND($J490=$G$2,$N490&lt;&gt;"",$M490&lt;&gt;""),CONCATENATE($M490,"-",$N490))</f>
        <v>Rec. Materiais-043</v>
      </c>
      <c r="Y490" s="39">
        <f t="shared" ca="1" si="565"/>
        <v>52</v>
      </c>
      <c r="Z490" s="1"/>
      <c r="AA490" s="133">
        <f>IF($J490=$G$2,ROUND(IF(ISNUMBER(S490),S490,IF(LEFT(S490,2)="DI",HLOOKUP(S490,DADOS!$T$29:$X$30,2,FALSE),0)),4),"")</f>
        <v>0.25</v>
      </c>
      <c r="AB490" s="2"/>
    </row>
    <row r="491" spans="1:28">
      <c r="A491">
        <f t="shared" si="562"/>
        <v>1</v>
      </c>
      <c r="B491">
        <f t="shared" ca="1" si="563"/>
        <v>150</v>
      </c>
      <c r="C491">
        <f ca="1">IF($A491=1,OFFSET(C491,-1,0)+1,OFFSET(C491,-1,0))</f>
        <v>7</v>
      </c>
      <c r="D491">
        <f ca="1">IF($A491=1,0,IF($A491=2,OFFSET(D491,-1,0)+1,OFFSET(D491,-1,0)))</f>
        <v>0</v>
      </c>
      <c r="E491">
        <f ca="1">IF(AND($A491&lt;=2,$A491&lt;&gt;0),0,IF($A491=3,OFFSET(E491,-1,0)+1,OFFSET(E491,-1,0)))</f>
        <v>0</v>
      </c>
      <c r="F491">
        <f ca="1">IF(AND($A491&lt;=3,$A491&lt;&gt;0),0,IF($A491=4,OFFSET(F491,-1,0)+1,OFFSET(F491,-1,0)))</f>
        <v>0</v>
      </c>
      <c r="G491">
        <f ca="1">IF(AND($A491&lt;=4,$A491&lt;&gt;0),0,IF($A491="S",OFFSET(G491,-1,0)+1,OFFSET(G491,-1,0)))</f>
        <v>0</v>
      </c>
      <c r="H491">
        <f ca="1">IF(OR($A491="S",$A491=0),0,MATCH(0,OFFSET($B491,1,$A491,ROW($A$1504)-ROW($A491)),0))</f>
        <v>1013</v>
      </c>
      <c r="I491">
        <f ca="1">IF(OR($A491="S",$A491=0),0,MATCH(OFFSET($B491,0,$A491)+1,OFFSET($B491,1,$A491,ROW($A$1504)-ROW($A491)),0))</f>
        <v>150</v>
      </c>
      <c r="J491" s="132" t="s">
        <v>67</v>
      </c>
      <c r="K491" s="121" t="str">
        <f t="shared" ca="1" si="564"/>
        <v>7.</v>
      </c>
      <c r="L491" s="137" t="str">
        <f ca="1">IF(NOT(ISERROR($Y491)),IF($Y491&lt;&gt;FALSE,INDEX(Banco,$Y491,4),""),"")</f>
        <v/>
      </c>
      <c r="M491" s="122"/>
      <c r="N491" s="139"/>
      <c r="O491" s="137" t="s">
        <v>267</v>
      </c>
      <c r="P491" s="138" t="str">
        <f ca="1">IF(NOT(ISERROR($Y491)),IF($Y491&lt;&gt;FALSE,INDEX(Banco,$Y491,6),""),"")</f>
        <v/>
      </c>
      <c r="Q491" s="134"/>
      <c r="R491" s="124">
        <f ca="1">IF(NOT(ISERROR($Y491)),IF($Y491&lt;&gt;FALSE,INDEX(Banco,$Y491,7),0),0)</f>
        <v>0</v>
      </c>
      <c r="S491" s="136" t="s">
        <v>62</v>
      </c>
      <c r="T491" s="123">
        <f>IF($J491=$G$2,ROUND(ROUND($R491,2)*IF($R$9="Preço Unitário (R$)",1,1+$AA491),2),0)</f>
        <v>0</v>
      </c>
      <c r="U491" s="126">
        <f ca="1">IF($A491="S",VTOTAL1,IF($A491=0,0,ROUND(SomaAgrup,2)))</f>
        <v>65750.740000000005</v>
      </c>
      <c r="V491" s="1"/>
      <c r="W491" s="39">
        <f ca="1">IF(OR($A491=0,$A491="S",$A491&gt;CFF!$A$9),"",MAX(W$11:OFFSET(W491,-1,0))+1)</f>
        <v>41</v>
      </c>
      <c r="X491" s="4" t="b">
        <f>IF(AND($J491=$G$2,$N491&lt;&gt;"",$M491&lt;&gt;""),CONCATENATE($M491,"-",$N491))</f>
        <v>0</v>
      </c>
      <c r="Y491" s="39" t="b">
        <f t="shared" ca="1" si="565"/>
        <v>0</v>
      </c>
      <c r="Z491" s="1"/>
      <c r="AA491" s="133" t="str">
        <f>IF($J491=$G$2,ROUND(IF(ISNUMBER(S491),S491,IF(LEFT(S491,2)="DI",HLOOKUP(S491,DADOS!$T$29:$X$30,2,FALSE),0)),4),"")</f>
        <v/>
      </c>
      <c r="AB491" s="2"/>
    </row>
    <row r="492" spans="1:28" ht="25.5">
      <c r="A492">
        <f>CHOOSE(1+LOG(1+2*(J492=$C$2)+4*(J492=$D$2)+8*(J492=$E$2)+16*(J492=$F$2)+32*(J492=$G$2),2),0,1,2,3,4,"S")</f>
        <v>2</v>
      </c>
      <c r="B492">
        <f ca="1">IF(OR(A492="S",A492=0),0,IF(ISERROR(I492),H492,SMALL(H492:I492,1)))</f>
        <v>26</v>
      </c>
      <c r="C492">
        <f ca="1">IF($A492=1,OFFSET(C492,-1,0)+1,OFFSET(C492,-1,0))</f>
        <v>7</v>
      </c>
      <c r="D492">
        <f ca="1">IF($A492=1,0,IF($A492=2,OFFSET(D492,-1,0)+1,OFFSET(D492,-1,0)))</f>
        <v>1</v>
      </c>
      <c r="E492">
        <f ca="1">IF(AND($A492&lt;=2,$A492&lt;&gt;0),0,IF($A492=3,OFFSET(E492,-1,0)+1,OFFSET(E492,-1,0)))</f>
        <v>0</v>
      </c>
      <c r="F492">
        <f ca="1">IF(AND($A492&lt;=3,$A492&lt;&gt;0),0,IF($A492=4,OFFSET(F492,-1,0)+1,OFFSET(F492,-1,0)))</f>
        <v>0</v>
      </c>
      <c r="G492">
        <f ca="1">IF(AND($A492&lt;=4,$A492&lt;&gt;0),0,IF($A492="S",OFFSET(G492,-1,0)+1,OFFSET(G492,-1,0)))</f>
        <v>0</v>
      </c>
      <c r="H492">
        <f ca="1">IF(OR($A492="S",$A492=0),0,MATCH(0,OFFSET($B492,1,$A492,ROW($A$1504)-ROW($A492)),0))</f>
        <v>149</v>
      </c>
      <c r="I492">
        <f ca="1">IF(OR($A492="S",$A492=0),0,MATCH(OFFSET($B492,0,$A492)+1,OFFSET($B492,1,$A492,ROW($A$1504)-ROW($A492)),0))</f>
        <v>26</v>
      </c>
      <c r="J492" s="132" t="s">
        <v>68</v>
      </c>
      <c r="K492" s="121" t="str">
        <f ca="1">IF($A492=0,"-",CONCATENATE(C492&amp;".",IF(AND($A$5&gt;=2,$A492&gt;=2),D492&amp;".",""),IF(AND($A$5&gt;=3,$A492&gt;=3),E492&amp;".",""),IF(AND($A$5&gt;=4,$A492&gt;=4),F492&amp;".",""),IF($A492="S",G492&amp;".","")))</f>
        <v>7.1.</v>
      </c>
      <c r="L492" s="137" t="str">
        <f ca="1">IF(NOT(ISERROR($Y492)),IF($Y492&lt;&gt;FALSE,INDEX(Banco,$Y492,4),""),"")</f>
        <v/>
      </c>
      <c r="M492" s="122"/>
      <c r="N492" s="139"/>
      <c r="O492" s="137" t="s">
        <v>382</v>
      </c>
      <c r="P492" s="138" t="str">
        <f ca="1">IF(NOT(ISERROR($Y492)),IF($Y492&lt;&gt;FALSE,INDEX(Banco,$Y492,6),""),"")</f>
        <v/>
      </c>
      <c r="Q492" s="134"/>
      <c r="R492" s="124">
        <f ca="1">IF(NOT(ISERROR($Y492)),IF($Y492&lt;&gt;FALSE,INDEX(Banco,$Y492,7),0),0)</f>
        <v>0</v>
      </c>
      <c r="S492" s="136" t="s">
        <v>62</v>
      </c>
      <c r="T492" s="123">
        <f>IF($J492=$G$2,ROUND(ROUND($R492,2)*IF($R$9="Preço Unitário (R$)",1,1+$AA492),2),0)</f>
        <v>0</v>
      </c>
      <c r="U492" s="126">
        <f ca="1">IF($A492="S",VTOTAL1,IF($A492=0,0,ROUND(SomaAgrup,2)))</f>
        <v>11514.07</v>
      </c>
      <c r="V492" s="1"/>
      <c r="W492" s="39">
        <f ca="1">IF(OR($A492=0,$A492="S",$A492&gt;CFF!$A$9),"",MAX(W$11:OFFSET(W492,-1,0))+1)</f>
        <v>42</v>
      </c>
      <c r="X492" s="4" t="b">
        <f>IF(AND($J492=$G$2,$N492&lt;&gt;"",$M492&lt;&gt;""),CONCATENATE($M492,"-",$N492))</f>
        <v>0</v>
      </c>
      <c r="Y492" s="39" t="b">
        <f ca="1">IF(X492&lt;&gt;FALSE,MATCH(X492,OFFSET(Banco,0,0,,1),0))</f>
        <v>0</v>
      </c>
      <c r="Z492" s="1"/>
      <c r="AA492" s="133" t="str">
        <f>IF($J492=$G$2,ROUND(IF(ISNUMBER(S492),S492,IF(LEFT(S492,2)="DI",HLOOKUP(S492,DADOS!$T$29:$X$30,2,FALSE),0)),4),"")</f>
        <v/>
      </c>
      <c r="AB492" s="2"/>
    </row>
    <row r="493" spans="1:28">
      <c r="A493" t="str">
        <f t="shared" si="527"/>
        <v>S</v>
      </c>
      <c r="B493">
        <f t="shared" si="528"/>
        <v>0</v>
      </c>
      <c r="C493">
        <f t="shared" ref="C493:C511" ca="1" si="566">IF($A493=1,OFFSET(C493,-1,0)+1,OFFSET(C493,-1,0))</f>
        <v>7</v>
      </c>
      <c r="D493">
        <f t="shared" ref="D493:D511" ca="1" si="567">IF($A493=1,0,IF($A493=2,OFFSET(D493,-1,0)+1,OFFSET(D493,-1,0)))</f>
        <v>1</v>
      </c>
      <c r="E493">
        <f t="shared" ref="E493:E511" ca="1" si="568">IF(AND($A493&lt;=2,$A493&lt;&gt;0),0,IF($A493=3,OFFSET(E493,-1,0)+1,OFFSET(E493,-1,0)))</f>
        <v>0</v>
      </c>
      <c r="F493">
        <f t="shared" ref="F493:F511" ca="1" si="569">IF(AND($A493&lt;=3,$A493&lt;&gt;0),0,IF($A493=4,OFFSET(F493,-1,0)+1,OFFSET(F493,-1,0)))</f>
        <v>0</v>
      </c>
      <c r="G493">
        <f t="shared" ref="G493:G511" ca="1" si="570">IF(AND($A493&lt;=4,$A493&lt;&gt;0),0,IF($A493="S",OFFSET(G493,-1,0)+1,OFFSET(G493,-1,0)))</f>
        <v>1</v>
      </c>
      <c r="H493">
        <f ca="1">IF(OR($A493="S",$A493=0),0,MATCH(0,OFFSET($B493,1,$A493,ROW($A$1504)-ROW($A493)),0))</f>
        <v>0</v>
      </c>
      <c r="I493">
        <f ca="1">IF(OR($A493="S",$A493=0),0,MATCH(OFFSET($B493,0,$A493)+1,OFFSET($B493,1,$A493,ROW($A$1504)-ROW($A493)),0))</f>
        <v>0</v>
      </c>
      <c r="J493" s="132" t="s">
        <v>29</v>
      </c>
      <c r="K493" s="121" t="str">
        <f t="shared" ca="1" si="534"/>
        <v>7.1.1.</v>
      </c>
      <c r="L493" s="137" t="str">
        <f t="shared" ref="L493:L511" ca="1" si="571">IF(NOT(ISERROR($Y493)),IF($Y493&lt;&gt;FALSE,INDEX(Banco,$Y493,4),""),"")</f>
        <v>CRESS</v>
      </c>
      <c r="M493" s="122" t="s">
        <v>78</v>
      </c>
      <c r="N493" s="139" t="s">
        <v>149</v>
      </c>
      <c r="O493" s="137" t="str">
        <f t="shared" ref="O493:O511" ca="1" si="572">IF(NOT(ISERROR($Y493)),IF($Y493&lt;&gt;FALSE,INDEX(Banco,$Y493,5),""),"")</f>
        <v>Responsável Técnica</v>
      </c>
      <c r="P493" s="138" t="str">
        <f t="shared" ref="P493:P511" ca="1" si="573">IF(NOT(ISERROR($Y493)),IF($Y493&lt;&gt;FALSE,INDEX(Banco,$Y493,6),""),"")</f>
        <v>Horas</v>
      </c>
      <c r="Q493" s="134">
        <v>8</v>
      </c>
      <c r="R493" s="124">
        <f t="shared" ref="R493:R511" ca="1" si="574">IF(NOT(ISERROR($Y493)),IF($Y493&lt;&gt;FALSE,INDEX(Banco,$Y493,7),0),0)</f>
        <v>150.28</v>
      </c>
      <c r="S493" s="136" t="s">
        <v>62</v>
      </c>
      <c r="T493" s="123">
        <f t="shared" ref="T493:T511" ca="1" si="575">IF($J493=$G$2,ROUND(ROUND($R493,2)*IF($R$9="Preço Unitário (R$)",1,1+$AA493),2),0)</f>
        <v>187.85</v>
      </c>
      <c r="U493" s="126">
        <f t="shared" ref="U493:U511" ca="1" si="576">IF($A493="S",VTOTAL1,IF($A493=0,0,ROUND(SomaAgrup,2)))</f>
        <v>1502.8</v>
      </c>
      <c r="V493" s="1"/>
      <c r="W493" s="39" t="str">
        <f ca="1">IF(OR($A493=0,$A493="S",$A493&gt;CFF!$A$9),"",MAX(W$11:OFFSET(W493,-1,0))+1)</f>
        <v/>
      </c>
      <c r="X493" s="4" t="str">
        <f t="shared" ref="X493:X511" si="577">IF(AND($J493=$G$2,$N493&lt;&gt;"",$M493&lt;&gt;""),CONCATENATE($M493,"-",$N493))</f>
        <v>Rec. Humanos-001</v>
      </c>
      <c r="Y493" s="39">
        <f t="shared" ca="1" si="541"/>
        <v>3</v>
      </c>
      <c r="Z493" s="1"/>
      <c r="AA493" s="133">
        <f>IF($J493=$G$2,ROUND(IF(ISNUMBER(S493),S493,IF(LEFT(S493,2)="DI",HLOOKUP(S493,DADOS!$T$29:$X$30,2,FALSE),0)),4),"")</f>
        <v>0.25</v>
      </c>
      <c r="AB493" s="2"/>
    </row>
    <row r="494" spans="1:28">
      <c r="A494" t="str">
        <f t="shared" si="527"/>
        <v>S</v>
      </c>
      <c r="B494">
        <f t="shared" si="528"/>
        <v>0</v>
      </c>
      <c r="C494">
        <f t="shared" ca="1" si="566"/>
        <v>7</v>
      </c>
      <c r="D494">
        <f t="shared" ca="1" si="567"/>
        <v>1</v>
      </c>
      <c r="E494">
        <f t="shared" ca="1" si="568"/>
        <v>0</v>
      </c>
      <c r="F494">
        <f t="shared" ca="1" si="569"/>
        <v>0</v>
      </c>
      <c r="G494">
        <f t="shared" ca="1" si="570"/>
        <v>2</v>
      </c>
      <c r="H494">
        <f ca="1">IF(OR($A494="S",$A494=0),0,MATCH(0,OFFSET($B494,1,$A494,ROW($A$1504)-ROW($A494)),0))</f>
        <v>0</v>
      </c>
      <c r="I494">
        <f ca="1">IF(OR($A494="S",$A494=0),0,MATCH(OFFSET($B494,0,$A494)+1,OFFSET($B494,1,$A494,ROW($A$1504)-ROW($A494)),0))</f>
        <v>0</v>
      </c>
      <c r="J494" s="132" t="s">
        <v>29</v>
      </c>
      <c r="K494" s="121" t="str">
        <f t="shared" ca="1" si="534"/>
        <v>7.1.2.</v>
      </c>
      <c r="L494" s="137" t="str">
        <f t="shared" ca="1" si="571"/>
        <v>CRESS</v>
      </c>
      <c r="M494" s="122" t="s">
        <v>78</v>
      </c>
      <c r="N494" s="139" t="s">
        <v>152</v>
      </c>
      <c r="O494" s="137" t="str">
        <f t="shared" ca="1" si="572"/>
        <v>Assistente Social</v>
      </c>
      <c r="P494" s="138" t="str">
        <f t="shared" ca="1" si="573"/>
        <v>Horas</v>
      </c>
      <c r="Q494" s="134">
        <v>4</v>
      </c>
      <c r="R494" s="124">
        <f t="shared" ca="1" si="574"/>
        <v>133.81</v>
      </c>
      <c r="S494" s="136" t="s">
        <v>62</v>
      </c>
      <c r="T494" s="123">
        <f t="shared" ca="1" si="575"/>
        <v>167.26</v>
      </c>
      <c r="U494" s="126">
        <f t="shared" ca="1" si="576"/>
        <v>669.04</v>
      </c>
      <c r="V494" s="1"/>
      <c r="W494" s="39" t="str">
        <f ca="1">IF(OR($A494=0,$A494="S",$A494&gt;CFF!$A$9),"",MAX(W$11:OFFSET(W494,-1,0))+1)</f>
        <v/>
      </c>
      <c r="X494" s="4" t="str">
        <f t="shared" si="577"/>
        <v>Rec. Humanos-002</v>
      </c>
      <c r="Y494" s="39">
        <f t="shared" ca="1" si="541"/>
        <v>4</v>
      </c>
      <c r="Z494" s="1"/>
      <c r="AA494" s="133">
        <f>IF($J494=$G$2,ROUND(IF(ISNUMBER(S494),S494,IF(LEFT(S494,2)="DI",HLOOKUP(S494,DADOS!$T$29:$X$30,2,FALSE),0)),4),"")</f>
        <v>0.25</v>
      </c>
      <c r="AB494" s="2"/>
    </row>
    <row r="495" spans="1:28">
      <c r="A495" t="str">
        <f t="shared" si="527"/>
        <v>S</v>
      </c>
      <c r="B495">
        <f t="shared" si="528"/>
        <v>0</v>
      </c>
      <c r="C495">
        <f t="shared" ca="1" si="566"/>
        <v>7</v>
      </c>
      <c r="D495">
        <f t="shared" ca="1" si="567"/>
        <v>1</v>
      </c>
      <c r="E495">
        <f t="shared" ca="1" si="568"/>
        <v>0</v>
      </c>
      <c r="F495">
        <f t="shared" ca="1" si="569"/>
        <v>0</v>
      </c>
      <c r="G495">
        <f t="shared" ca="1" si="570"/>
        <v>3</v>
      </c>
      <c r="H495">
        <f ca="1">IF(OR($A495="S",$A495=0),0,MATCH(0,OFFSET($B495,1,$A495,ROW($A$1504)-ROW($A495)),0))</f>
        <v>0</v>
      </c>
      <c r="I495">
        <f ca="1">IF(OR($A495="S",$A495=0),0,MATCH(OFFSET($B495,0,$A495)+1,OFFSET($B495,1,$A495,ROW($A$1504)-ROW($A495)),0))</f>
        <v>0</v>
      </c>
      <c r="J495" s="132" t="s">
        <v>29</v>
      </c>
      <c r="K495" s="121" t="str">
        <f t="shared" ca="1" si="534"/>
        <v>7.1.3.</v>
      </c>
      <c r="L495" s="137" t="str">
        <f t="shared" ca="1" si="571"/>
        <v>Cotação</v>
      </c>
      <c r="M495" s="122" t="s">
        <v>78</v>
      </c>
      <c r="N495" s="139" t="s">
        <v>151</v>
      </c>
      <c r="O495" s="137" t="str">
        <f t="shared" ca="1" si="572"/>
        <v xml:space="preserve">Administrador (Técnico de Apoio) </v>
      </c>
      <c r="P495" s="138" t="str">
        <f t="shared" ca="1" si="573"/>
        <v>Horas</v>
      </c>
      <c r="Q495" s="134">
        <v>4</v>
      </c>
      <c r="R495" s="124">
        <f t="shared" ca="1" si="574"/>
        <v>103.65</v>
      </c>
      <c r="S495" s="136" t="s">
        <v>62</v>
      </c>
      <c r="T495" s="123">
        <f t="shared" ca="1" si="575"/>
        <v>129.56</v>
      </c>
      <c r="U495" s="126">
        <f t="shared" ca="1" si="576"/>
        <v>518.24</v>
      </c>
      <c r="V495" s="1"/>
      <c r="W495" s="39" t="str">
        <f ca="1">IF(OR($A495=0,$A495="S",$A495&gt;CFF!$A$9),"",MAX(W$11:OFFSET(W495,-1,0))+1)</f>
        <v/>
      </c>
      <c r="X495" s="4" t="str">
        <f t="shared" si="577"/>
        <v>Rec. Humanos-003</v>
      </c>
      <c r="Y495" s="39">
        <f t="shared" ca="1" si="541"/>
        <v>5</v>
      </c>
      <c r="Z495" s="1"/>
      <c r="AA495" s="133">
        <f>IF($J495=$G$2,ROUND(IF(ISNUMBER(S495),S495,IF(LEFT(S495,2)="DI",HLOOKUP(S495,DADOS!$T$29:$X$30,2,FALSE),0)),4),"")</f>
        <v>0.25</v>
      </c>
      <c r="AB495" s="2"/>
    </row>
    <row r="496" spans="1:28">
      <c r="A496" t="str">
        <f t="shared" si="527"/>
        <v>S</v>
      </c>
      <c r="B496">
        <f t="shared" si="528"/>
        <v>0</v>
      </c>
      <c r="C496">
        <f t="shared" ca="1" si="566"/>
        <v>7</v>
      </c>
      <c r="D496">
        <f t="shared" ca="1" si="567"/>
        <v>1</v>
      </c>
      <c r="E496">
        <f t="shared" ca="1" si="568"/>
        <v>0</v>
      </c>
      <c r="F496">
        <f t="shared" ca="1" si="569"/>
        <v>0</v>
      </c>
      <c r="G496">
        <f t="shared" ca="1" si="570"/>
        <v>4</v>
      </c>
      <c r="H496">
        <f ca="1">IF(OR($A496="S",$A496=0),0,MATCH(0,OFFSET($B496,1,$A496,ROW($A$1504)-ROW($A496)),0))</f>
        <v>0</v>
      </c>
      <c r="I496">
        <f ca="1">IF(OR($A496="S",$A496=0),0,MATCH(OFFSET($B496,0,$A496)+1,OFFSET($B496,1,$A496,ROW($A$1504)-ROW($A496)),0))</f>
        <v>0</v>
      </c>
      <c r="J496" s="132" t="s">
        <v>29</v>
      </c>
      <c r="K496" s="121" t="str">
        <f t="shared" ca="1" si="534"/>
        <v>7.1.4.</v>
      </c>
      <c r="L496" s="137" t="str">
        <f t="shared" ca="1" si="571"/>
        <v>SINE</v>
      </c>
      <c r="M496" s="122" t="s">
        <v>78</v>
      </c>
      <c r="N496" s="139" t="s">
        <v>153</v>
      </c>
      <c r="O496" s="137" t="str">
        <f t="shared" ca="1" si="572"/>
        <v>Estagiários</v>
      </c>
      <c r="P496" s="138" t="str">
        <f t="shared" ca="1" si="573"/>
        <v>Horas</v>
      </c>
      <c r="Q496" s="134">
        <v>16</v>
      </c>
      <c r="R496" s="124">
        <f t="shared" ca="1" si="574"/>
        <v>9.7899999999999991</v>
      </c>
      <c r="S496" s="136" t="s">
        <v>62</v>
      </c>
      <c r="T496" s="123">
        <f t="shared" ca="1" si="575"/>
        <v>12.24</v>
      </c>
      <c r="U496" s="126">
        <f t="shared" ca="1" si="576"/>
        <v>195.84</v>
      </c>
      <c r="V496" s="1"/>
      <c r="W496" s="39" t="str">
        <f ca="1">IF(OR($A496=0,$A496="S",$A496&gt;CFF!$A$9),"",MAX(W$11:OFFSET(W496,-1,0))+1)</f>
        <v/>
      </c>
      <c r="X496" s="4" t="str">
        <f t="shared" si="577"/>
        <v>Rec. Humanos-004</v>
      </c>
      <c r="Y496" s="39">
        <f t="shared" ca="1" si="541"/>
        <v>6</v>
      </c>
      <c r="Z496" s="1"/>
      <c r="AA496" s="133">
        <f>IF($J496=$G$2,ROUND(IF(ISNUMBER(S496),S496,IF(LEFT(S496,2)="DI",HLOOKUP(S496,DADOS!$T$29:$X$30,2,FALSE),0)),4),"")</f>
        <v>0.25</v>
      </c>
      <c r="AB496" s="2"/>
    </row>
    <row r="497" spans="1:28">
      <c r="A497" t="str">
        <f t="shared" si="527"/>
        <v>S</v>
      </c>
      <c r="B497">
        <f t="shared" si="528"/>
        <v>0</v>
      </c>
      <c r="C497">
        <f t="shared" ca="1" si="566"/>
        <v>7</v>
      </c>
      <c r="D497">
        <f t="shared" ca="1" si="567"/>
        <v>1</v>
      </c>
      <c r="E497">
        <f t="shared" ca="1" si="568"/>
        <v>0</v>
      </c>
      <c r="F497">
        <f t="shared" ca="1" si="569"/>
        <v>0</v>
      </c>
      <c r="G497">
        <f t="shared" ca="1" si="570"/>
        <v>5</v>
      </c>
      <c r="H497">
        <f ca="1">IF(OR($A497="S",$A497=0),0,MATCH(0,OFFSET($B497,1,$A497,ROW($A$1504)-ROW($A497)),0))</f>
        <v>0</v>
      </c>
      <c r="I497">
        <f ca="1">IF(OR($A497="S",$A497=0),0,MATCH(OFFSET($B497,0,$A497)+1,OFFSET($B497,1,$A497,ROW($A$1504)-ROW($A497)),0))</f>
        <v>0</v>
      </c>
      <c r="J497" s="132" t="s">
        <v>29</v>
      </c>
      <c r="K497" s="121" t="str">
        <f t="shared" ca="1" si="534"/>
        <v>7.1.5.</v>
      </c>
      <c r="L497" s="137" t="str">
        <f t="shared" ca="1" si="571"/>
        <v>Cotação</v>
      </c>
      <c r="M497" s="122" t="s">
        <v>80</v>
      </c>
      <c r="N497" s="139" t="s">
        <v>149</v>
      </c>
      <c r="O497" s="137" t="str">
        <f t="shared" ca="1" si="572"/>
        <v>Fotocópias</v>
      </c>
      <c r="P497" s="138" t="str">
        <f t="shared" ca="1" si="573"/>
        <v>Unidade</v>
      </c>
      <c r="Q497" s="134">
        <v>250</v>
      </c>
      <c r="R497" s="124">
        <f t="shared" ca="1" si="574"/>
        <v>0.3</v>
      </c>
      <c r="S497" s="136" t="s">
        <v>62</v>
      </c>
      <c r="T497" s="123">
        <f t="shared" ca="1" si="575"/>
        <v>0.38</v>
      </c>
      <c r="U497" s="126">
        <f t="shared" ca="1" si="576"/>
        <v>95</v>
      </c>
      <c r="V497" s="1"/>
      <c r="W497" s="39" t="str">
        <f ca="1">IF(OR($A497=0,$A497="S",$A497&gt;CFF!$A$9),"",MAX(W$11:OFFSET(W497,-1,0))+1)</f>
        <v/>
      </c>
      <c r="X497" s="4" t="str">
        <f t="shared" si="577"/>
        <v>Serv. Terc.-001</v>
      </c>
      <c r="Y497" s="39">
        <f t="shared" ca="1" si="541"/>
        <v>81</v>
      </c>
      <c r="Z497" s="1"/>
      <c r="AA497" s="133">
        <f>IF($J497=$G$2,ROUND(IF(ISNUMBER(S497),S497,IF(LEFT(S497,2)="DI",HLOOKUP(S497,DADOS!$T$29:$X$30,2,FALSE),0)),4),"")</f>
        <v>0.25</v>
      </c>
      <c r="AB497" s="2"/>
    </row>
    <row r="498" spans="1:28">
      <c r="A498" t="str">
        <f t="shared" si="527"/>
        <v>S</v>
      </c>
      <c r="B498">
        <f t="shared" si="528"/>
        <v>0</v>
      </c>
      <c r="C498">
        <f ca="1">IF($A498=1,OFFSET(C498,-1,0)+1,OFFSET(C498,-1,0))</f>
        <v>7</v>
      </c>
      <c r="D498">
        <f ca="1">IF($A498=1,0,IF($A498=2,OFFSET(D498,-1,0)+1,OFFSET(D498,-1,0)))</f>
        <v>1</v>
      </c>
      <c r="E498">
        <f ca="1">IF(AND($A498&lt;=2,$A498&lt;&gt;0),0,IF($A498=3,OFFSET(E498,-1,0)+1,OFFSET(E498,-1,0)))</f>
        <v>0</v>
      </c>
      <c r="F498">
        <f ca="1">IF(AND($A498&lt;=3,$A498&lt;&gt;0),0,IF($A498=4,OFFSET(F498,-1,0)+1,OFFSET(F498,-1,0)))</f>
        <v>0</v>
      </c>
      <c r="G498">
        <f ca="1">IF(AND($A498&lt;=4,$A498&lt;&gt;0),0,IF($A498="S",OFFSET(G498,-1,0)+1,OFFSET(G498,-1,0)))</f>
        <v>6</v>
      </c>
      <c r="H498">
        <f ca="1">IF(OR($A498="S",$A498=0),0,MATCH(0,OFFSET($B498,1,$A498,ROW($A$1504)-ROW($A498)),0))</f>
        <v>0</v>
      </c>
      <c r="I498">
        <f ca="1">IF(OR($A498="S",$A498=0),0,MATCH(OFFSET($B498,0,$A498)+1,OFFSET($B498,1,$A498,ROW($A$1504)-ROW($A498)),0))</f>
        <v>0</v>
      </c>
      <c r="J498" s="132" t="s">
        <v>29</v>
      </c>
      <c r="K498" s="121" t="str">
        <f t="shared" ca="1" si="534"/>
        <v>7.1.6.</v>
      </c>
      <c r="L498" s="137" t="str">
        <f ca="1">IF(NOT(ISERROR($Y498)),IF($Y498&lt;&gt;FALSE,INDEX(Banco,$Y498,4),""),"")</f>
        <v>Cotação</v>
      </c>
      <c r="M498" s="122" t="s">
        <v>80</v>
      </c>
      <c r="N498" s="139" t="s">
        <v>256</v>
      </c>
      <c r="O498" s="137" t="str">
        <f ca="1">IF(NOT(ISERROR($Y498)),IF($Y498&lt;&gt;FALSE,INDEX(Banco,$Y498,5),""),"")</f>
        <v>Instrutor/Monitor (Educação Fisíca)</v>
      </c>
      <c r="P498" s="138" t="str">
        <f ca="1">IF(NOT(ISERROR($Y498)),IF($Y498&lt;&gt;FALSE,INDEX(Banco,$Y498,6),""),"")</f>
        <v>Horas</v>
      </c>
      <c r="Q498" s="134">
        <v>3</v>
      </c>
      <c r="R498" s="124">
        <f ca="1">IF(NOT(ISERROR($Y498)),IF($Y498&lt;&gt;FALSE,INDEX(Banco,$Y498,7),0),0)</f>
        <v>100</v>
      </c>
      <c r="S498" s="136" t="s">
        <v>62</v>
      </c>
      <c r="T498" s="123">
        <f ca="1">IF($J498=$G$2,ROUND(ROUND($R498,2)*IF($R$9="Preço Unitário (R$)",1,1+$AA498),2),0)</f>
        <v>125</v>
      </c>
      <c r="U498" s="126">
        <f ca="1">IF($A498="S",VTOTAL1,IF($A498=0,0,ROUND(SomaAgrup,2)))</f>
        <v>375</v>
      </c>
      <c r="V498" s="1"/>
      <c r="W498" s="39" t="str">
        <f ca="1">IF(OR($A498=0,$A498="S",$A498&gt;CFF!$A$9),"",MAX(W$11:OFFSET(W498,-1,0))+1)</f>
        <v/>
      </c>
      <c r="X498" s="4" t="str">
        <f>IF(AND($J498=$G$2,$N498&lt;&gt;"",$M498&lt;&gt;""),CONCATENATE($M498,"-",$N498))</f>
        <v>Serv. Terc.-017</v>
      </c>
      <c r="Y498" s="39">
        <f t="shared" ca="1" si="541"/>
        <v>97</v>
      </c>
      <c r="Z498" s="1"/>
      <c r="AA498" s="133">
        <f>IF($J498=$G$2,ROUND(IF(ISNUMBER(S498),S498,IF(LEFT(S498,2)="DI",HLOOKUP(S498,DADOS!$T$29:$X$30,2,FALSE),0)),4),"")</f>
        <v>0.25</v>
      </c>
      <c r="AB498" s="2"/>
    </row>
    <row r="499" spans="1:28">
      <c r="A499" t="str">
        <f t="shared" si="527"/>
        <v>S</v>
      </c>
      <c r="B499">
        <f t="shared" si="528"/>
        <v>0</v>
      </c>
      <c r="C499">
        <f t="shared" ca="1" si="566"/>
        <v>7</v>
      </c>
      <c r="D499">
        <f t="shared" ca="1" si="567"/>
        <v>1</v>
      </c>
      <c r="E499">
        <f t="shared" ca="1" si="568"/>
        <v>0</v>
      </c>
      <c r="F499">
        <f t="shared" ca="1" si="569"/>
        <v>0</v>
      </c>
      <c r="G499">
        <f t="shared" ca="1" si="570"/>
        <v>7</v>
      </c>
      <c r="H499">
        <f ca="1">IF(OR($A499="S",$A499=0),0,MATCH(0,OFFSET($B499,1,$A499,ROW($A$1504)-ROW($A499)),0))</f>
        <v>0</v>
      </c>
      <c r="I499">
        <f ca="1">IF(OR($A499="S",$A499=0),0,MATCH(OFFSET($B499,0,$A499)+1,OFFSET($B499,1,$A499,ROW($A$1504)-ROW($A499)),0))</f>
        <v>0</v>
      </c>
      <c r="J499" s="132" t="s">
        <v>29</v>
      </c>
      <c r="K499" s="121" t="str">
        <f t="shared" ca="1" si="534"/>
        <v>7.1.7.</v>
      </c>
      <c r="L499" s="137" t="str">
        <f t="shared" ca="1" si="571"/>
        <v>Cotação</v>
      </c>
      <c r="M499" s="122" t="s">
        <v>80</v>
      </c>
      <c r="N499" s="139" t="s">
        <v>152</v>
      </c>
      <c r="O499" s="137" t="str">
        <f t="shared" ca="1" si="572"/>
        <v>Carro de som com gravação de vinheta</v>
      </c>
      <c r="P499" s="138" t="str">
        <f t="shared" ca="1" si="573"/>
        <v>Horas</v>
      </c>
      <c r="Q499" s="134">
        <v>3</v>
      </c>
      <c r="R499" s="124">
        <f t="shared" ca="1" si="574"/>
        <v>200</v>
      </c>
      <c r="S499" s="136" t="s">
        <v>62</v>
      </c>
      <c r="T499" s="123">
        <f t="shared" ca="1" si="575"/>
        <v>250</v>
      </c>
      <c r="U499" s="126">
        <f t="shared" ca="1" si="576"/>
        <v>750</v>
      </c>
      <c r="V499" s="1"/>
      <c r="W499" s="39" t="str">
        <f ca="1">IF(OR($A499=0,$A499="S",$A499&gt;CFF!$A$9),"",MAX(W$11:OFFSET(W499,-1,0))+1)</f>
        <v/>
      </c>
      <c r="X499" s="4" t="str">
        <f t="shared" si="577"/>
        <v>Serv. Terc.-002</v>
      </c>
      <c r="Y499" s="39">
        <f t="shared" ca="1" si="541"/>
        <v>82</v>
      </c>
      <c r="Z499" s="1"/>
      <c r="AA499" s="133">
        <f>IF($J499=$G$2,ROUND(IF(ISNUMBER(S499),S499,IF(LEFT(S499,2)="DI",HLOOKUP(S499,DADOS!$T$29:$X$30,2,FALSE),0)),4),"")</f>
        <v>0.25</v>
      </c>
      <c r="AB499" s="2"/>
    </row>
    <row r="500" spans="1:28">
      <c r="A500" t="str">
        <f t="shared" si="527"/>
        <v>S</v>
      </c>
      <c r="B500">
        <f t="shared" si="528"/>
        <v>0</v>
      </c>
      <c r="C500">
        <f t="shared" ca="1" si="566"/>
        <v>7</v>
      </c>
      <c r="D500">
        <f t="shared" ca="1" si="567"/>
        <v>1</v>
      </c>
      <c r="E500">
        <f t="shared" ca="1" si="568"/>
        <v>0</v>
      </c>
      <c r="F500">
        <f t="shared" ca="1" si="569"/>
        <v>0</v>
      </c>
      <c r="G500">
        <f t="shared" ca="1" si="570"/>
        <v>8</v>
      </c>
      <c r="H500">
        <f ca="1">IF(OR($A500="S",$A500=0),0,MATCH(0,OFFSET($B500,1,$A500,ROW($A$1504)-ROW($A500)),0))</f>
        <v>0</v>
      </c>
      <c r="I500">
        <f ca="1">IF(OR($A500="S",$A500=0),0,MATCH(OFFSET($B500,0,$A500)+1,OFFSET($B500,1,$A500,ROW($A$1504)-ROW($A500)),0))</f>
        <v>0</v>
      </c>
      <c r="J500" s="132" t="s">
        <v>29</v>
      </c>
      <c r="K500" s="121" t="str">
        <f t="shared" ca="1" si="534"/>
        <v>7.1.8.</v>
      </c>
      <c r="L500" s="137" t="str">
        <f t="shared" ca="1" si="571"/>
        <v>Cotação</v>
      </c>
      <c r="M500" s="122" t="s">
        <v>80</v>
      </c>
      <c r="N500" s="139" t="s">
        <v>151</v>
      </c>
      <c r="O500" s="137" t="str">
        <f t="shared" ca="1" si="572"/>
        <v>Locação de mesas</v>
      </c>
      <c r="P500" s="138" t="str">
        <f t="shared" ca="1" si="573"/>
        <v>Unidade</v>
      </c>
      <c r="Q500" s="134">
        <v>20</v>
      </c>
      <c r="R500" s="124">
        <f t="shared" ca="1" si="574"/>
        <v>3</v>
      </c>
      <c r="S500" s="136" t="s">
        <v>62</v>
      </c>
      <c r="T500" s="123">
        <f t="shared" ca="1" si="575"/>
        <v>3.75</v>
      </c>
      <c r="U500" s="126">
        <f t="shared" ca="1" si="576"/>
        <v>75</v>
      </c>
      <c r="V500" s="1"/>
      <c r="W500" s="39" t="str">
        <f ca="1">IF(OR($A500=0,$A500="S",$A500&gt;CFF!$A$9),"",MAX(W$11:OFFSET(W500,-1,0))+1)</f>
        <v/>
      </c>
      <c r="X500" s="4" t="str">
        <f t="shared" si="577"/>
        <v>Serv. Terc.-003</v>
      </c>
      <c r="Y500" s="39">
        <f t="shared" ca="1" si="541"/>
        <v>83</v>
      </c>
      <c r="Z500" s="1"/>
      <c r="AA500" s="133">
        <f>IF($J500=$G$2,ROUND(IF(ISNUMBER(S500),S500,IF(LEFT(S500,2)="DI",HLOOKUP(S500,DADOS!$T$29:$X$30,2,FALSE),0)),4),"")</f>
        <v>0.25</v>
      </c>
      <c r="AB500" s="2"/>
    </row>
    <row r="501" spans="1:28">
      <c r="A501" t="str">
        <f t="shared" si="527"/>
        <v>S</v>
      </c>
      <c r="B501">
        <f t="shared" si="528"/>
        <v>0</v>
      </c>
      <c r="C501">
        <f t="shared" ca="1" si="566"/>
        <v>7</v>
      </c>
      <c r="D501">
        <f t="shared" ca="1" si="567"/>
        <v>1</v>
      </c>
      <c r="E501">
        <f t="shared" ca="1" si="568"/>
        <v>0</v>
      </c>
      <c r="F501">
        <f t="shared" ca="1" si="569"/>
        <v>0</v>
      </c>
      <c r="G501">
        <f t="shared" ca="1" si="570"/>
        <v>9</v>
      </c>
      <c r="H501">
        <f ca="1">IF(OR($A501="S",$A501=0),0,MATCH(0,OFFSET($B501,1,$A501,ROW($A$1504)-ROW($A501)),0))</f>
        <v>0</v>
      </c>
      <c r="I501">
        <f ca="1">IF(OR($A501="S",$A501=0),0,MATCH(OFFSET($B501,0,$A501)+1,OFFSET($B501,1,$A501,ROW($A$1504)-ROW($A501)),0))</f>
        <v>0</v>
      </c>
      <c r="J501" s="132" t="s">
        <v>29</v>
      </c>
      <c r="K501" s="121" t="str">
        <f t="shared" ca="1" si="534"/>
        <v>7.1.9.</v>
      </c>
      <c r="L501" s="137" t="str">
        <f t="shared" ca="1" si="571"/>
        <v>Cotação</v>
      </c>
      <c r="M501" s="122" t="s">
        <v>80</v>
      </c>
      <c r="N501" s="139" t="s">
        <v>153</v>
      </c>
      <c r="O501" s="137" t="str">
        <f t="shared" ca="1" si="572"/>
        <v>Locação de cadeiras</v>
      </c>
      <c r="P501" s="138" t="str">
        <f t="shared" ca="1" si="573"/>
        <v>Unidade</v>
      </c>
      <c r="Q501" s="134">
        <v>400</v>
      </c>
      <c r="R501" s="124">
        <f t="shared" ca="1" si="574"/>
        <v>2</v>
      </c>
      <c r="S501" s="136" t="s">
        <v>62</v>
      </c>
      <c r="T501" s="123">
        <f t="shared" ca="1" si="575"/>
        <v>2.5</v>
      </c>
      <c r="U501" s="126">
        <f t="shared" ca="1" si="576"/>
        <v>1000</v>
      </c>
      <c r="V501" s="1"/>
      <c r="W501" s="39" t="str">
        <f ca="1">IF(OR($A501=0,$A501="S",$A501&gt;CFF!$A$9),"",MAX(W$11:OFFSET(W501,-1,0))+1)</f>
        <v/>
      </c>
      <c r="X501" s="4" t="str">
        <f t="shared" si="577"/>
        <v>Serv. Terc.-004</v>
      </c>
      <c r="Y501" s="39">
        <f t="shared" ca="1" si="541"/>
        <v>84</v>
      </c>
      <c r="Z501" s="1"/>
      <c r="AA501" s="133">
        <f>IF($J501=$G$2,ROUND(IF(ISNUMBER(S501),S501,IF(LEFT(S501,2)="DI",HLOOKUP(S501,DADOS!$T$29:$X$30,2,FALSE),0)),4),"")</f>
        <v>0.25</v>
      </c>
      <c r="AB501" s="2"/>
    </row>
    <row r="502" spans="1:28">
      <c r="A502" t="str">
        <f t="shared" si="527"/>
        <v>S</v>
      </c>
      <c r="B502">
        <f t="shared" si="528"/>
        <v>0</v>
      </c>
      <c r="C502">
        <f t="shared" ca="1" si="566"/>
        <v>7</v>
      </c>
      <c r="D502">
        <f t="shared" ca="1" si="567"/>
        <v>1</v>
      </c>
      <c r="E502">
        <f t="shared" ca="1" si="568"/>
        <v>0</v>
      </c>
      <c r="F502">
        <f t="shared" ca="1" si="569"/>
        <v>0</v>
      </c>
      <c r="G502">
        <f t="shared" ca="1" si="570"/>
        <v>10</v>
      </c>
      <c r="H502">
        <f ca="1">IF(OR($A502="S",$A502=0),0,MATCH(0,OFFSET($B502,1,$A502,ROW($A$1504)-ROW($A502)),0))</f>
        <v>0</v>
      </c>
      <c r="I502">
        <f ca="1">IF(OR($A502="S",$A502=0),0,MATCH(OFFSET($B502,0,$A502)+1,OFFSET($B502,1,$A502,ROW($A$1504)-ROW($A502)),0))</f>
        <v>0</v>
      </c>
      <c r="J502" s="132" t="s">
        <v>29</v>
      </c>
      <c r="K502" s="121" t="str">
        <f t="shared" ca="1" si="534"/>
        <v>7.1.10.</v>
      </c>
      <c r="L502" s="137" t="str">
        <f t="shared" ca="1" si="571"/>
        <v>Cotação</v>
      </c>
      <c r="M502" s="122" t="s">
        <v>80</v>
      </c>
      <c r="N502" s="139" t="s">
        <v>154</v>
      </c>
      <c r="O502" s="137" t="str">
        <f t="shared" ca="1" si="572"/>
        <v>Locação de caixa térmica</v>
      </c>
      <c r="P502" s="138" t="str">
        <f t="shared" ca="1" si="573"/>
        <v>Unidade</v>
      </c>
      <c r="Q502" s="134">
        <v>2</v>
      </c>
      <c r="R502" s="124">
        <f t="shared" ca="1" si="574"/>
        <v>40</v>
      </c>
      <c r="S502" s="136" t="s">
        <v>62</v>
      </c>
      <c r="T502" s="123">
        <f t="shared" ca="1" si="575"/>
        <v>50</v>
      </c>
      <c r="U502" s="126">
        <f t="shared" ca="1" si="576"/>
        <v>100</v>
      </c>
      <c r="V502" s="1"/>
      <c r="W502" s="39" t="str">
        <f ca="1">IF(OR($A502=0,$A502="S",$A502&gt;CFF!$A$9),"",MAX(W$11:OFFSET(W502,-1,0))+1)</f>
        <v/>
      </c>
      <c r="X502" s="4" t="str">
        <f t="shared" si="577"/>
        <v>Serv. Terc.-005</v>
      </c>
      <c r="Y502" s="39">
        <f t="shared" ca="1" si="541"/>
        <v>85</v>
      </c>
      <c r="Z502" s="1"/>
      <c r="AA502" s="133">
        <f>IF($J502=$G$2,ROUND(IF(ISNUMBER(S502),S502,IF(LEFT(S502,2)="DI",HLOOKUP(S502,DADOS!$T$29:$X$30,2,FALSE),0)),4),"")</f>
        <v>0.25</v>
      </c>
      <c r="AB502" s="2"/>
    </row>
    <row r="503" spans="1:28">
      <c r="A503" t="str">
        <f t="shared" si="527"/>
        <v>S</v>
      </c>
      <c r="B503">
        <f t="shared" si="528"/>
        <v>0</v>
      </c>
      <c r="C503">
        <f t="shared" ca="1" si="566"/>
        <v>7</v>
      </c>
      <c r="D503">
        <f t="shared" ca="1" si="567"/>
        <v>1</v>
      </c>
      <c r="E503">
        <f t="shared" ca="1" si="568"/>
        <v>0</v>
      </c>
      <c r="F503">
        <f t="shared" ca="1" si="569"/>
        <v>0</v>
      </c>
      <c r="G503">
        <f t="shared" ca="1" si="570"/>
        <v>11</v>
      </c>
      <c r="H503">
        <f ca="1">IF(OR($A503="S",$A503=0),0,MATCH(0,OFFSET($B503,1,$A503,ROW($A$1504)-ROW($A503)),0))</f>
        <v>0</v>
      </c>
      <c r="I503">
        <f ca="1">IF(OR($A503="S",$A503=0),0,MATCH(OFFSET($B503,0,$A503)+1,OFFSET($B503,1,$A503,ROW($A$1504)-ROW($A503)),0))</f>
        <v>0</v>
      </c>
      <c r="J503" s="132" t="s">
        <v>29</v>
      </c>
      <c r="K503" s="121" t="str">
        <f t="shared" ca="1" si="534"/>
        <v>7.1.11.</v>
      </c>
      <c r="L503" s="137" t="str">
        <f t="shared" ca="1" si="571"/>
        <v>Cotação</v>
      </c>
      <c r="M503" s="122" t="s">
        <v>80</v>
      </c>
      <c r="N503" s="139" t="s">
        <v>155</v>
      </c>
      <c r="O503" s="137" t="str">
        <f t="shared" ca="1" si="572"/>
        <v>Locação de tendas</v>
      </c>
      <c r="P503" s="138" t="str">
        <f t="shared" ca="1" si="573"/>
        <v>Unidade</v>
      </c>
      <c r="Q503" s="134">
        <v>3</v>
      </c>
      <c r="R503" s="124">
        <f t="shared" ca="1" si="574"/>
        <v>250</v>
      </c>
      <c r="S503" s="136" t="s">
        <v>62</v>
      </c>
      <c r="T503" s="123">
        <f t="shared" ca="1" si="575"/>
        <v>312.5</v>
      </c>
      <c r="U503" s="126">
        <f t="shared" ca="1" si="576"/>
        <v>937.5</v>
      </c>
      <c r="V503" s="1"/>
      <c r="W503" s="39" t="str">
        <f ca="1">IF(OR($A503=0,$A503="S",$A503&gt;CFF!$A$9),"",MAX(W$11:OFFSET(W503,-1,0))+1)</f>
        <v/>
      </c>
      <c r="X503" s="4" t="str">
        <f t="shared" si="577"/>
        <v>Serv. Terc.-006</v>
      </c>
      <c r="Y503" s="39">
        <f t="shared" ca="1" si="541"/>
        <v>86</v>
      </c>
      <c r="Z503" s="1"/>
      <c r="AA503" s="133">
        <f>IF($J503=$G$2,ROUND(IF(ISNUMBER(S503),S503,IF(LEFT(S503,2)="DI",HLOOKUP(S503,DADOS!$T$29:$X$30,2,FALSE),0)),4),"")</f>
        <v>0.25</v>
      </c>
      <c r="AB503" s="2"/>
    </row>
    <row r="504" spans="1:28">
      <c r="A504" t="str">
        <f t="shared" si="527"/>
        <v>S</v>
      </c>
      <c r="B504">
        <f t="shared" si="528"/>
        <v>0</v>
      </c>
      <c r="C504">
        <f t="shared" ca="1" si="566"/>
        <v>7</v>
      </c>
      <c r="D504">
        <f t="shared" ca="1" si="567"/>
        <v>1</v>
      </c>
      <c r="E504">
        <f t="shared" ca="1" si="568"/>
        <v>0</v>
      </c>
      <c r="F504">
        <f t="shared" ca="1" si="569"/>
        <v>0</v>
      </c>
      <c r="G504">
        <f t="shared" ca="1" si="570"/>
        <v>12</v>
      </c>
      <c r="H504">
        <f ca="1">IF(OR($A504="S",$A504=0),0,MATCH(0,OFFSET($B504,1,$A504,ROW($A$1504)-ROW($A504)),0))</f>
        <v>0</v>
      </c>
      <c r="I504">
        <f ca="1">IF(OR($A504="S",$A504=0),0,MATCH(OFFSET($B504,0,$A504)+1,OFFSET($B504,1,$A504,ROW($A$1504)-ROW($A504)),0))</f>
        <v>0</v>
      </c>
      <c r="J504" s="132" t="s">
        <v>29</v>
      </c>
      <c r="K504" s="121" t="str">
        <f t="shared" ca="1" si="534"/>
        <v>7.1.12.</v>
      </c>
      <c r="L504" s="137" t="str">
        <f t="shared" ca="1" si="571"/>
        <v>Cotação</v>
      </c>
      <c r="M504" s="122" t="s">
        <v>80</v>
      </c>
      <c r="N504" s="139" t="s">
        <v>157</v>
      </c>
      <c r="O504" s="137" t="str">
        <f t="shared" ca="1" si="572"/>
        <v>Locação de pula-pula com monitor</v>
      </c>
      <c r="P504" s="138" t="str">
        <f t="shared" ca="1" si="573"/>
        <v>Unidade</v>
      </c>
      <c r="Q504" s="134">
        <v>3</v>
      </c>
      <c r="R504" s="124">
        <f t="shared" ca="1" si="574"/>
        <v>220</v>
      </c>
      <c r="S504" s="136" t="s">
        <v>62</v>
      </c>
      <c r="T504" s="123">
        <f t="shared" ca="1" si="575"/>
        <v>275</v>
      </c>
      <c r="U504" s="126">
        <f t="shared" ca="1" si="576"/>
        <v>825</v>
      </c>
      <c r="V504" s="1"/>
      <c r="W504" s="39" t="str">
        <f ca="1">IF(OR($A504=0,$A504="S",$A504&gt;CFF!$A$9),"",MAX(W$11:OFFSET(W504,-1,0))+1)</f>
        <v/>
      </c>
      <c r="X504" s="4" t="str">
        <f t="shared" si="577"/>
        <v>Serv. Terc.-008</v>
      </c>
      <c r="Y504" s="39">
        <f t="shared" ca="1" si="541"/>
        <v>88</v>
      </c>
      <c r="Z504" s="1"/>
      <c r="AA504" s="133">
        <f>IF($J504=$G$2,ROUND(IF(ISNUMBER(S504),S504,IF(LEFT(S504,2)="DI",HLOOKUP(S504,DADOS!$T$29:$X$30,2,FALSE),0)),4),"")</f>
        <v>0.25</v>
      </c>
      <c r="AB504" s="2"/>
    </row>
    <row r="505" spans="1:28">
      <c r="A505" t="str">
        <f t="shared" si="527"/>
        <v>S</v>
      </c>
      <c r="B505">
        <f t="shared" si="528"/>
        <v>0</v>
      </c>
      <c r="C505">
        <f t="shared" ca="1" si="566"/>
        <v>7</v>
      </c>
      <c r="D505">
        <f t="shared" ca="1" si="567"/>
        <v>1</v>
      </c>
      <c r="E505">
        <f t="shared" ca="1" si="568"/>
        <v>0</v>
      </c>
      <c r="F505">
        <f t="shared" ca="1" si="569"/>
        <v>0</v>
      </c>
      <c r="G505">
        <f t="shared" ca="1" si="570"/>
        <v>13</v>
      </c>
      <c r="H505">
        <f ca="1">IF(OR($A505="S",$A505=0),0,MATCH(0,OFFSET($B505,1,$A505,ROW($A$1504)-ROW($A505)),0))</f>
        <v>0</v>
      </c>
      <c r="I505">
        <f ca="1">IF(OR($A505="S",$A505=0),0,MATCH(OFFSET($B505,0,$A505)+1,OFFSET($B505,1,$A505,ROW($A$1504)-ROW($A505)),0))</f>
        <v>0</v>
      </c>
      <c r="J505" s="132" t="s">
        <v>29</v>
      </c>
      <c r="K505" s="121" t="str">
        <f t="shared" ca="1" si="534"/>
        <v>7.1.13.</v>
      </c>
      <c r="L505" s="137" t="str">
        <f t="shared" ca="1" si="571"/>
        <v>Cotação</v>
      </c>
      <c r="M505" s="122" t="s">
        <v>80</v>
      </c>
      <c r="N505" s="139" t="s">
        <v>161</v>
      </c>
      <c r="O505" s="137" t="str">
        <f t="shared" ca="1" si="572"/>
        <v>Água (garrafão de 20 litros)</v>
      </c>
      <c r="P505" s="138" t="str">
        <f t="shared" ca="1" si="573"/>
        <v>Unidade</v>
      </c>
      <c r="Q505" s="134">
        <v>2</v>
      </c>
      <c r="R505" s="124">
        <f t="shared" ca="1" si="574"/>
        <v>10</v>
      </c>
      <c r="S505" s="136" t="s">
        <v>62</v>
      </c>
      <c r="T505" s="123">
        <f t="shared" ca="1" si="575"/>
        <v>12.5</v>
      </c>
      <c r="U505" s="126">
        <f t="shared" ca="1" si="576"/>
        <v>25</v>
      </c>
      <c r="V505" s="1"/>
      <c r="W505" s="39" t="str">
        <f ca="1">IF(OR($A505=0,$A505="S",$A505&gt;CFF!$A$9),"",MAX(W$11:OFFSET(W505,-1,0))+1)</f>
        <v/>
      </c>
      <c r="X505" s="4" t="str">
        <f t="shared" si="577"/>
        <v>Serv. Terc.-012</v>
      </c>
      <c r="Y505" s="39">
        <f t="shared" ca="1" si="541"/>
        <v>92</v>
      </c>
      <c r="Z505" s="1"/>
      <c r="AA505" s="133">
        <f>IF($J505=$G$2,ROUND(IF(ISNUMBER(S505),S505,IF(LEFT(S505,2)="DI",HLOOKUP(S505,DADOS!$T$29:$X$30,2,FALSE),0)),4),"")</f>
        <v>0.25</v>
      </c>
      <c r="AB505" s="2"/>
    </row>
    <row r="506" spans="1:28">
      <c r="A506" t="str">
        <f t="shared" si="527"/>
        <v>S</v>
      </c>
      <c r="B506">
        <f t="shared" si="528"/>
        <v>0</v>
      </c>
      <c r="C506">
        <f t="shared" ca="1" si="566"/>
        <v>7</v>
      </c>
      <c r="D506">
        <f t="shared" ca="1" si="567"/>
        <v>1</v>
      </c>
      <c r="E506">
        <f t="shared" ca="1" si="568"/>
        <v>0</v>
      </c>
      <c r="F506">
        <f t="shared" ca="1" si="569"/>
        <v>0</v>
      </c>
      <c r="G506">
        <f t="shared" ca="1" si="570"/>
        <v>14</v>
      </c>
      <c r="H506">
        <f ca="1">IF(OR($A506="S",$A506=0),0,MATCH(0,OFFSET($B506,1,$A506,ROW($A$1504)-ROW($A506)),0))</f>
        <v>0</v>
      </c>
      <c r="I506">
        <f ca="1">IF(OR($A506="S",$A506=0),0,MATCH(OFFSET($B506,0,$A506)+1,OFFSET($B506,1,$A506,ROW($A$1504)-ROW($A506)),0))</f>
        <v>0</v>
      </c>
      <c r="J506" s="132" t="s">
        <v>29</v>
      </c>
      <c r="K506" s="121" t="str">
        <f t="shared" ca="1" si="534"/>
        <v>7.1.14.</v>
      </c>
      <c r="L506" s="137" t="str">
        <f t="shared" ca="1" si="571"/>
        <v xml:space="preserve">Cotação </v>
      </c>
      <c r="M506" s="122" t="s">
        <v>80</v>
      </c>
      <c r="N506" s="139" t="s">
        <v>160</v>
      </c>
      <c r="O506" s="137" t="str">
        <f t="shared" ca="1" si="572"/>
        <v>Barra de gelo</v>
      </c>
      <c r="P506" s="138" t="str">
        <f t="shared" ca="1" si="573"/>
        <v>Unidade</v>
      </c>
      <c r="Q506" s="134">
        <v>2</v>
      </c>
      <c r="R506" s="124">
        <f t="shared" ca="1" si="574"/>
        <v>12</v>
      </c>
      <c r="S506" s="136" t="s">
        <v>62</v>
      </c>
      <c r="T506" s="123">
        <f t="shared" ca="1" si="575"/>
        <v>15</v>
      </c>
      <c r="U506" s="126">
        <f t="shared" ca="1" si="576"/>
        <v>30</v>
      </c>
      <c r="V506" s="1"/>
      <c r="W506" s="39" t="str">
        <f ca="1">IF(OR($A506=0,$A506="S",$A506&gt;CFF!$A$9),"",MAX(W$11:OFFSET(W506,-1,0))+1)</f>
        <v/>
      </c>
      <c r="X506" s="4" t="str">
        <f t="shared" si="577"/>
        <v>Serv. Terc.-011</v>
      </c>
      <c r="Y506" s="39">
        <f t="shared" ca="1" si="541"/>
        <v>91</v>
      </c>
      <c r="Z506" s="1"/>
      <c r="AA506" s="133">
        <f>IF($J506=$G$2,ROUND(IF(ISNUMBER(S506),S506,IF(LEFT(S506,2)="DI",HLOOKUP(S506,DADOS!$T$29:$X$30,2,FALSE),0)),4),"")</f>
        <v>0.25</v>
      </c>
      <c r="AB506" s="2"/>
    </row>
    <row r="507" spans="1:28">
      <c r="A507" t="str">
        <f t="shared" si="527"/>
        <v>S</v>
      </c>
      <c r="B507">
        <f t="shared" si="528"/>
        <v>0</v>
      </c>
      <c r="C507">
        <f t="shared" ca="1" si="566"/>
        <v>7</v>
      </c>
      <c r="D507">
        <f t="shared" ca="1" si="567"/>
        <v>1</v>
      </c>
      <c r="E507">
        <f t="shared" ca="1" si="568"/>
        <v>0</v>
      </c>
      <c r="F507">
        <f t="shared" ca="1" si="569"/>
        <v>0</v>
      </c>
      <c r="G507">
        <f t="shared" ca="1" si="570"/>
        <v>15</v>
      </c>
      <c r="H507">
        <f ca="1">IF(OR($A507="S",$A507=0),0,MATCH(0,OFFSET($B507,1,$A507,ROW($A$1504)-ROW($A507)),0))</f>
        <v>0</v>
      </c>
      <c r="I507">
        <f ca="1">IF(OR($A507="S",$A507=0),0,MATCH(OFFSET($B507,0,$A507)+1,OFFSET($B507,1,$A507,ROW($A$1504)-ROW($A507)),0))</f>
        <v>0</v>
      </c>
      <c r="J507" s="132" t="s">
        <v>29</v>
      </c>
      <c r="K507" s="121" t="str">
        <f t="shared" ca="1" si="534"/>
        <v>7.1.15.</v>
      </c>
      <c r="L507" s="137" t="str">
        <f t="shared" ca="1" si="571"/>
        <v>Cotação</v>
      </c>
      <c r="M507" s="122" t="s">
        <v>80</v>
      </c>
      <c r="N507" s="139" t="s">
        <v>150</v>
      </c>
      <c r="O507" s="137" t="str">
        <f t="shared" ca="1" si="572"/>
        <v>Sucos</v>
      </c>
      <c r="P507" s="138" t="str">
        <f t="shared" ca="1" si="573"/>
        <v>Unidade</v>
      </c>
      <c r="Q507" s="134">
        <v>12</v>
      </c>
      <c r="R507" s="124">
        <f t="shared" ca="1" si="574"/>
        <v>6.4</v>
      </c>
      <c r="S507" s="136" t="s">
        <v>62</v>
      </c>
      <c r="T507" s="123">
        <f t="shared" ca="1" si="575"/>
        <v>8</v>
      </c>
      <c r="U507" s="126">
        <f t="shared" ca="1" si="576"/>
        <v>96</v>
      </c>
      <c r="V507" s="1"/>
      <c r="W507" s="39" t="str">
        <f ca="1">IF(OR($A507=0,$A507="S",$A507&gt;CFF!$A$9),"",MAX(W$11:OFFSET(W507,-1,0))+1)</f>
        <v/>
      </c>
      <c r="X507" s="4" t="str">
        <f t="shared" si="577"/>
        <v>Serv. Terc.-013</v>
      </c>
      <c r="Y507" s="39">
        <f t="shared" ca="1" si="541"/>
        <v>93</v>
      </c>
      <c r="Z507" s="1"/>
      <c r="AA507" s="133">
        <f>IF($J507=$G$2,ROUND(IF(ISNUMBER(S507),S507,IF(LEFT(S507,2)="DI",HLOOKUP(S507,DADOS!$T$29:$X$30,2,FALSE),0)),4),"")</f>
        <v>0.25</v>
      </c>
      <c r="AB507" s="2"/>
    </row>
    <row r="508" spans="1:28">
      <c r="A508" t="str">
        <f>CHOOSE(1+LOG(1+2*(J508=$C$2)+4*(J508=$D$2)+8*(J508=$E$2)+16*(J508=$F$2)+32*(J508=$G$2),2),0,1,2,3,4,"S")</f>
        <v>S</v>
      </c>
      <c r="B508">
        <f>IF(OR(A508="S",A508=0),0,IF(ISERROR(I508),H508,SMALL(H508:I508,1)))</f>
        <v>0</v>
      </c>
      <c r="C508">
        <f ca="1">IF($A508=1,OFFSET(C508,-1,0)+1,OFFSET(C508,-1,0))</f>
        <v>7</v>
      </c>
      <c r="D508">
        <f ca="1">IF($A508=1,0,IF($A508=2,OFFSET(D508,-1,0)+1,OFFSET(D508,-1,0)))</f>
        <v>1</v>
      </c>
      <c r="E508">
        <f ca="1">IF(AND($A508&lt;=2,$A508&lt;&gt;0),0,IF($A508=3,OFFSET(E508,-1,0)+1,OFFSET(E508,-1,0)))</f>
        <v>0</v>
      </c>
      <c r="F508">
        <f ca="1">IF(AND($A508&lt;=3,$A508&lt;&gt;0),0,IF($A508=4,OFFSET(F508,-1,0)+1,OFFSET(F508,-1,0)))</f>
        <v>0</v>
      </c>
      <c r="G508">
        <f ca="1">IF(AND($A508&lt;=4,$A508&lt;&gt;0),0,IF($A508="S",OFFSET(G508,-1,0)+1,OFFSET(G508,-1,0)))</f>
        <v>16</v>
      </c>
      <c r="H508">
        <f ca="1">IF(OR($A508="S",$A508=0),0,MATCH(0,OFFSET($B508,1,$A508,ROW($A$1504)-ROW($A508)),0))</f>
        <v>0</v>
      </c>
      <c r="I508">
        <f ca="1">IF(OR($A508="S",$A508=0),0,MATCH(OFFSET($B508,0,$A508)+1,OFFSET($B508,1,$A508,ROW($A$1504)-ROW($A508)),0))</f>
        <v>0</v>
      </c>
      <c r="J508" s="132" t="s">
        <v>29</v>
      </c>
      <c r="K508" s="121" t="str">
        <f ca="1">IF($A508=0,"-",CONCATENATE(C508&amp;".",IF(AND($A$5&gt;=2,$A508&gt;=2),D508&amp;".",""),IF(AND($A$5&gt;=3,$A508&gt;=3),E508&amp;".",""),IF(AND($A$5&gt;=4,$A508&gt;=4),F508&amp;".",""),IF($A508="S",G508&amp;".","")))</f>
        <v>7.1.16.</v>
      </c>
      <c r="L508" s="137" t="str">
        <f ca="1">IF(NOT(ISERROR($Y508)),IF($Y508&lt;&gt;FALSE,INDEX(Banco,$Y508,4),""),"")</f>
        <v>Cotação</v>
      </c>
      <c r="M508" s="122" t="s">
        <v>80</v>
      </c>
      <c r="N508" s="139" t="s">
        <v>171</v>
      </c>
      <c r="O508" s="137" t="str">
        <f ca="1">IF(NOT(ISERROR($Y508)),IF($Y508&lt;&gt;FALSE,INDEX(Banco,$Y508,5),""),"")</f>
        <v xml:space="preserve">Refrigerantes (02 litros) </v>
      </c>
      <c r="P508" s="138" t="str">
        <f ca="1">IF(NOT(ISERROR($Y508)),IF($Y508&lt;&gt;FALSE,INDEX(Banco,$Y508,6),""),"")</f>
        <v>Unidade</v>
      </c>
      <c r="Q508" s="134">
        <v>20</v>
      </c>
      <c r="R508" s="124">
        <f ca="1">IF(NOT(ISERROR($Y508)),IF($Y508&lt;&gt;FALSE,INDEX(Banco,$Y508,7),0),0)</f>
        <v>6</v>
      </c>
      <c r="S508" s="136" t="s">
        <v>62</v>
      </c>
      <c r="T508" s="123">
        <f ca="1">IF($J508=$G$2,ROUND(ROUND($R508,2)*IF($R$9="Preço Unitário (R$)",1,1+$AA508),2),0)</f>
        <v>7.5</v>
      </c>
      <c r="U508" s="126">
        <f ca="1">IF($A508="S",VTOTAL1,IF($A508=0,0,ROUND(SomaAgrup,2)))</f>
        <v>150</v>
      </c>
      <c r="V508" s="1"/>
      <c r="W508" s="39" t="str">
        <f ca="1">IF(OR($A508=0,$A508="S",$A508&gt;CFF!$A$9),"",MAX(W$11:OFFSET(W508,-1,0))+1)</f>
        <v/>
      </c>
      <c r="X508" s="4" t="str">
        <f>IF(AND($J508=$G$2,$N508&lt;&gt;"",$M508&lt;&gt;""),CONCATENATE($M508,"-",$N508))</f>
        <v>Serv. Terc.-027</v>
      </c>
      <c r="Y508" s="39">
        <f ca="1">IF(X508&lt;&gt;FALSE,MATCH(X508,OFFSET(Banco,0,0,,1),0))</f>
        <v>107</v>
      </c>
      <c r="Z508" s="1"/>
      <c r="AA508" s="133">
        <f>IF($J508=$G$2,ROUND(IF(ISNUMBER(S508),S508,IF(LEFT(S508,2)="DI",HLOOKUP(S508,DADOS!$T$29:$X$30,2,FALSE),0)),4),"")</f>
        <v>0.25</v>
      </c>
      <c r="AB508" s="2"/>
    </row>
    <row r="509" spans="1:28">
      <c r="A509" t="str">
        <f t="shared" si="527"/>
        <v>S</v>
      </c>
      <c r="B509">
        <f t="shared" si="528"/>
        <v>0</v>
      </c>
      <c r="C509">
        <f ca="1">IF($A509=1,OFFSET(C509,-1,0)+1,OFFSET(C509,-1,0))</f>
        <v>7</v>
      </c>
      <c r="D509">
        <f ca="1">IF($A509=1,0,IF($A509=2,OFFSET(D509,-1,0)+1,OFFSET(D509,-1,0)))</f>
        <v>1</v>
      </c>
      <c r="E509">
        <f ca="1">IF(AND($A509&lt;=2,$A509&lt;&gt;0),0,IF($A509=3,OFFSET(E509,-1,0)+1,OFFSET(E509,-1,0)))</f>
        <v>0</v>
      </c>
      <c r="F509">
        <f ca="1">IF(AND($A509&lt;=3,$A509&lt;&gt;0),0,IF($A509=4,OFFSET(F509,-1,0)+1,OFFSET(F509,-1,0)))</f>
        <v>0</v>
      </c>
      <c r="G509">
        <f ca="1">IF(AND($A509&lt;=4,$A509&lt;&gt;0),0,IF($A509="S",OFFSET(G509,-1,0)+1,OFFSET(G509,-1,0)))</f>
        <v>17</v>
      </c>
      <c r="H509">
        <f ca="1">IF(OR($A509="S",$A509=0),0,MATCH(0,OFFSET($B509,1,$A509,ROW($A$1504)-ROW($A509)),0))</f>
        <v>0</v>
      </c>
      <c r="I509">
        <f ca="1">IF(OR($A509="S",$A509=0),0,MATCH(OFFSET($B509,0,$A509)+1,OFFSET($B509,1,$A509,ROW($A$1504)-ROW($A509)),0))</f>
        <v>0</v>
      </c>
      <c r="J509" s="132" t="s">
        <v>29</v>
      </c>
      <c r="K509" s="121" t="str">
        <f t="shared" ca="1" si="534"/>
        <v>7.1.17.</v>
      </c>
      <c r="L509" s="137" t="str">
        <f ca="1">IF(NOT(ISERROR($Y509)),IF($Y509&lt;&gt;FALSE,INDEX(Banco,$Y509,4),""),"")</f>
        <v xml:space="preserve">Cotação </v>
      </c>
      <c r="M509" s="122" t="s">
        <v>80</v>
      </c>
      <c r="N509" s="139" t="s">
        <v>159</v>
      </c>
      <c r="O509" s="137" t="str">
        <f ca="1">IF(NOT(ISERROR($Y509)),IF($Y509&lt;&gt;FALSE,INDEX(Banco,$Y509,5),""),"")</f>
        <v>Brindes ( descrição nos orçamentos e PTS)</v>
      </c>
      <c r="P509" s="138" t="str">
        <f ca="1">IF(NOT(ISERROR($Y509)),IF($Y509&lt;&gt;FALSE,INDEX(Banco,$Y509,6),""),"")</f>
        <v>Unidade</v>
      </c>
      <c r="Q509" s="134">
        <v>8</v>
      </c>
      <c r="R509" s="124">
        <f ca="1">IF(NOT(ISERROR($Y509)),IF($Y509&lt;&gt;FALSE,INDEX(Banco,$Y509,7),0),0)</f>
        <v>120</v>
      </c>
      <c r="S509" s="136" t="s">
        <v>62</v>
      </c>
      <c r="T509" s="123">
        <f ca="1">IF($J509=$G$2,ROUND(ROUND($R509,2)*IF($R$9="Preço Unitário (R$)",1,1+$AA509),2),0)</f>
        <v>150</v>
      </c>
      <c r="U509" s="126">
        <f ca="1">IF($A509="S",VTOTAL1,IF($A509=0,0,ROUND(SomaAgrup,2)))</f>
        <v>1200</v>
      </c>
      <c r="V509" s="1"/>
      <c r="W509" s="39" t="str">
        <f ca="1">IF(OR($A509=0,$A509="S",$A509&gt;CFF!$A$9),"",MAX(W$11:OFFSET(W509,-1,0))+1)</f>
        <v/>
      </c>
      <c r="X509" s="4" t="str">
        <f>IF(AND($J509=$G$2,$N509&lt;&gt;"",$M509&lt;&gt;""),CONCATENATE($M509,"-",$N509))</f>
        <v>Serv. Terc.-010</v>
      </c>
      <c r="Y509" s="39">
        <f t="shared" ca="1" si="541"/>
        <v>90</v>
      </c>
      <c r="Z509" s="1"/>
      <c r="AA509" s="133">
        <f>IF($J509=$G$2,ROUND(IF(ISNUMBER(S509),S509,IF(LEFT(S509,2)="DI",HLOOKUP(S509,DADOS!$T$29:$X$30,2,FALSE),0)),4),"")</f>
        <v>0.25</v>
      </c>
      <c r="AB509" s="2"/>
    </row>
    <row r="510" spans="1:28">
      <c r="A510" t="str">
        <f t="shared" si="527"/>
        <v>S</v>
      </c>
      <c r="B510">
        <f t="shared" si="528"/>
        <v>0</v>
      </c>
      <c r="C510">
        <f t="shared" ca="1" si="566"/>
        <v>7</v>
      </c>
      <c r="D510">
        <f t="shared" ca="1" si="567"/>
        <v>1</v>
      </c>
      <c r="E510">
        <f t="shared" ca="1" si="568"/>
        <v>0</v>
      </c>
      <c r="F510">
        <f t="shared" ca="1" si="569"/>
        <v>0</v>
      </c>
      <c r="G510">
        <f t="shared" ca="1" si="570"/>
        <v>18</v>
      </c>
      <c r="H510">
        <f ca="1">IF(OR($A510="S",$A510=0),0,MATCH(0,OFFSET($B510,1,$A510,ROW($A$1504)-ROW($A510)),0))</f>
        <v>0</v>
      </c>
      <c r="I510">
        <f ca="1">IF(OR($A510="S",$A510=0),0,MATCH(OFFSET($B510,0,$A510)+1,OFFSET($B510,1,$A510,ROW($A$1504)-ROW($A510)),0))</f>
        <v>0</v>
      </c>
      <c r="J510" s="132" t="s">
        <v>29</v>
      </c>
      <c r="K510" s="121" t="str">
        <f t="shared" ca="1" si="534"/>
        <v>7.1.18.</v>
      </c>
      <c r="L510" s="137" t="str">
        <f t="shared" ca="1" si="571"/>
        <v>Cotação</v>
      </c>
      <c r="M510" s="122" t="s">
        <v>80</v>
      </c>
      <c r="N510" s="139" t="s">
        <v>162</v>
      </c>
      <c r="O510" s="137" t="str">
        <f t="shared" ca="1" si="572"/>
        <v>Coffee break (salgados)</v>
      </c>
      <c r="P510" s="138" t="str">
        <f t="shared" ca="1" si="573"/>
        <v>Centro</v>
      </c>
      <c r="Q510" s="134">
        <v>15</v>
      </c>
      <c r="R510" s="124">
        <f t="shared" ca="1" si="574"/>
        <v>65</v>
      </c>
      <c r="S510" s="136" t="s">
        <v>62</v>
      </c>
      <c r="T510" s="123">
        <f t="shared" ca="1" si="575"/>
        <v>81.25</v>
      </c>
      <c r="U510" s="126">
        <f t="shared" ca="1" si="576"/>
        <v>1218.75</v>
      </c>
      <c r="V510" s="1"/>
      <c r="W510" s="39" t="str">
        <f ca="1">IF(OR($A510=0,$A510="S",$A510&gt;CFF!$A$9),"",MAX(W$11:OFFSET(W510,-1,0))+1)</f>
        <v/>
      </c>
      <c r="X510" s="4" t="str">
        <f t="shared" si="577"/>
        <v>Serv. Terc.-015</v>
      </c>
      <c r="Y510" s="39">
        <f t="shared" ca="1" si="541"/>
        <v>95</v>
      </c>
      <c r="Z510" s="1"/>
      <c r="AA510" s="133">
        <f>IF($J510=$G$2,ROUND(IF(ISNUMBER(S510),S510,IF(LEFT(S510,2)="DI",HLOOKUP(S510,DADOS!$T$29:$X$30,2,FALSE),0)),4),"")</f>
        <v>0.25</v>
      </c>
      <c r="AB510" s="2"/>
    </row>
    <row r="511" spans="1:28">
      <c r="A511" t="str">
        <f t="shared" si="527"/>
        <v>S</v>
      </c>
      <c r="B511">
        <f t="shared" si="528"/>
        <v>0</v>
      </c>
      <c r="C511">
        <f t="shared" ca="1" si="566"/>
        <v>7</v>
      </c>
      <c r="D511">
        <f t="shared" ca="1" si="567"/>
        <v>1</v>
      </c>
      <c r="E511">
        <f t="shared" ca="1" si="568"/>
        <v>0</v>
      </c>
      <c r="F511">
        <f t="shared" ca="1" si="569"/>
        <v>0</v>
      </c>
      <c r="G511">
        <f t="shared" ca="1" si="570"/>
        <v>19</v>
      </c>
      <c r="H511">
        <f ca="1">IF(OR($A511="S",$A511=0),0,MATCH(0,OFFSET($B511,1,$A511,ROW($A$1504)-ROW($A511)),0))</f>
        <v>0</v>
      </c>
      <c r="I511">
        <f ca="1">IF(OR($A511="S",$A511=0),0,MATCH(OFFSET($B511,0,$A511)+1,OFFSET($B511,1,$A511,ROW($A$1504)-ROW($A511)),0))</f>
        <v>0</v>
      </c>
      <c r="J511" s="132" t="s">
        <v>29</v>
      </c>
      <c r="K511" s="121" t="str">
        <f t="shared" ca="1" si="534"/>
        <v>7.1.19.</v>
      </c>
      <c r="L511" s="137" t="str">
        <f t="shared" ca="1" si="571"/>
        <v>Cotação</v>
      </c>
      <c r="M511" s="122" t="s">
        <v>79</v>
      </c>
      <c r="N511" s="139" t="s">
        <v>163</v>
      </c>
      <c r="O511" s="137" t="str">
        <f t="shared" ca="1" si="572"/>
        <v>Guloseimas (balas e pirulito)</v>
      </c>
      <c r="P511" s="138" t="str">
        <f t="shared" ca="1" si="573"/>
        <v>Pacote</v>
      </c>
      <c r="Q511" s="134">
        <v>8</v>
      </c>
      <c r="R511" s="124">
        <f t="shared" ca="1" si="574"/>
        <v>12</v>
      </c>
      <c r="S511" s="136" t="s">
        <v>62</v>
      </c>
      <c r="T511" s="123">
        <f t="shared" ca="1" si="575"/>
        <v>15</v>
      </c>
      <c r="U511" s="126">
        <f t="shared" ca="1" si="576"/>
        <v>120</v>
      </c>
      <c r="V511" s="1"/>
      <c r="W511" s="39" t="str">
        <f ca="1">IF(OR($A511=0,$A511="S",$A511&gt;CFF!$A$9),"",MAX(W$11:OFFSET(W511,-1,0))+1)</f>
        <v/>
      </c>
      <c r="X511" s="4" t="str">
        <f t="shared" si="577"/>
        <v>Rec. Materiais-020</v>
      </c>
      <c r="Y511" s="39">
        <f t="shared" ca="1" si="541"/>
        <v>29</v>
      </c>
      <c r="Z511" s="1"/>
      <c r="AA511" s="133">
        <f>IF($J511=$G$2,ROUND(IF(ISNUMBER(S511),S511,IF(LEFT(S511,2)="DI",HLOOKUP(S511,DADOS!$T$29:$X$30,2,FALSE),0)),4),"")</f>
        <v>0.25</v>
      </c>
      <c r="AB511" s="2"/>
    </row>
    <row r="512" spans="1:28">
      <c r="A512" t="str">
        <f>CHOOSE(1+LOG(1+2*(J512=$C$2)+4*(J512=$D$2)+8*(J512=$E$2)+16*(J512=$F$2)+32*(J512=$G$2),2),0,1,2,3,4,"S")</f>
        <v>S</v>
      </c>
      <c r="B512">
        <f>IF(OR(A512="S",A512=0),0,IF(ISERROR(I512),H512,SMALL(H512:I512,1)))</f>
        <v>0</v>
      </c>
      <c r="C512">
        <f ca="1">IF($A512=1,OFFSET(C512,-1,0)+1,OFFSET(C512,-1,0))</f>
        <v>7</v>
      </c>
      <c r="D512">
        <f ca="1">IF($A512=1,0,IF($A512=2,OFFSET(D512,-1,0)+1,OFFSET(D512,-1,0)))</f>
        <v>1</v>
      </c>
      <c r="E512">
        <f ca="1">IF(AND($A512&lt;=2,$A512&lt;&gt;0),0,IF($A512=3,OFFSET(E512,-1,0)+1,OFFSET(E512,-1,0)))</f>
        <v>0</v>
      </c>
      <c r="F512">
        <f ca="1">IF(AND($A512&lt;=3,$A512&lt;&gt;0),0,IF($A512=4,OFFSET(F512,-1,0)+1,OFFSET(F512,-1,0)))</f>
        <v>0</v>
      </c>
      <c r="G512">
        <f ca="1">IF(AND($A512&lt;=4,$A512&lt;&gt;0),0,IF($A512="S",OFFSET(G512,-1,0)+1,OFFSET(G512,-1,0)))</f>
        <v>20</v>
      </c>
      <c r="H512">
        <f ca="1">IF(OR($A512="S",$A512=0),0,MATCH(0,OFFSET($B512,1,$A512,ROW($A$1504)-ROW($A512)),0))</f>
        <v>0</v>
      </c>
      <c r="I512">
        <f ca="1">IF(OR($A512="S",$A512=0),0,MATCH(OFFSET($B512,0,$A512)+1,OFFSET($B512,1,$A512,ROW($A$1504)-ROW($A512)),0))</f>
        <v>0</v>
      </c>
      <c r="J512" s="132" t="s">
        <v>29</v>
      </c>
      <c r="K512" s="121" t="str">
        <f ca="1">IF($A512=0,"-",CONCATENATE(C512&amp;".",IF(AND($A$5&gt;=2,$A512&gt;=2),D512&amp;".",""),IF(AND($A$5&gt;=3,$A512&gt;=3),E512&amp;".",""),IF(AND($A$5&gt;=4,$A512&gt;=4),F512&amp;".",""),IF($A512="S",G512&amp;".","")))</f>
        <v>7.1.20.</v>
      </c>
      <c r="L512" s="137" t="str">
        <f ca="1">IF(NOT(ISERROR($Y512)),IF($Y512&lt;&gt;FALSE,INDEX(Banco,$Y512,4),""),"")</f>
        <v>CRESS</v>
      </c>
      <c r="M512" s="122" t="s">
        <v>80</v>
      </c>
      <c r="N512" s="139" t="s">
        <v>276</v>
      </c>
      <c r="O512" s="137" t="str">
        <f t="shared" ref="O512:O517" ca="1" si="578">IF(NOT(ISERROR($Y512)),IF($Y512&lt;&gt;FALSE,INDEX(Banco,$Y512,5),""),"")</f>
        <v>Assistente Social com especialização em politicas sociais</v>
      </c>
      <c r="P512" s="138" t="str">
        <f ca="1">IF(NOT(ISERROR($Y512)),IF($Y512&lt;&gt;FALSE,INDEX(Banco,$Y512,6),""),"")</f>
        <v>Horas</v>
      </c>
      <c r="Q512" s="134">
        <v>3</v>
      </c>
      <c r="R512" s="124">
        <f ca="1">IF(NOT(ISERROR($Y512)),IF($Y512&lt;&gt;FALSE,INDEX(Banco,$Y512,7),0),0)</f>
        <v>141.75</v>
      </c>
      <c r="S512" s="136" t="s">
        <v>62</v>
      </c>
      <c r="T512" s="123">
        <f ca="1">IF($J512=$G$2,ROUND(ROUND($R512,2)*IF($R$9="Preço Unitário (R$)",1,1+$AA512),2),0)</f>
        <v>177.19</v>
      </c>
      <c r="U512" s="126">
        <f ca="1">IF($A512="S",VTOTAL1,IF($A512=0,0,ROUND(SomaAgrup,2)))</f>
        <v>531.57000000000005</v>
      </c>
      <c r="V512" s="1"/>
      <c r="W512" s="39" t="str">
        <f ca="1">IF(OR($A512=0,$A512="S",$A512&gt;CFF!$A$9),"",MAX(W$11:OFFSET(W512,-1,0))+1)</f>
        <v/>
      </c>
      <c r="X512" s="4" t="str">
        <f>IF(AND($J512=$G$2,$N512&lt;&gt;"",$M512&lt;&gt;""),CONCATENATE($M512,"-",$N512))</f>
        <v>Serv. Terc.-065</v>
      </c>
      <c r="Y512" s="39">
        <f ca="1">IF(X512&lt;&gt;FALSE,MATCH(X512,OFFSET(Banco,0,0,,1),0))</f>
        <v>145</v>
      </c>
      <c r="Z512" s="1"/>
      <c r="AA512" s="133">
        <f>IF($J512=$G$2,ROUND(IF(ISNUMBER(S512),S512,IF(LEFT(S512,2)="DI",HLOOKUP(S512,DADOS!$T$29:$X$30,2,FALSE),0)),4),"")</f>
        <v>0.25</v>
      </c>
      <c r="AB512" s="2"/>
    </row>
    <row r="513" spans="1:28">
      <c r="A513" t="str">
        <f t="shared" ref="A513:A531" si="579">CHOOSE(1+LOG(1+2*(J513=$C$2)+4*(J513=$D$2)+8*(J513=$E$2)+16*(J513=$F$2)+32*(J513=$G$2),2),0,1,2,3,4,"S")</f>
        <v>S</v>
      </c>
      <c r="B513">
        <f t="shared" ref="B513:B531" si="580">IF(OR(A513="S",A513=0),0,IF(ISERROR(I513),H513,SMALL(H513:I513,1)))</f>
        <v>0</v>
      </c>
      <c r="C513">
        <f t="shared" ref="C513:C531" ca="1" si="581">IF($A513=1,OFFSET(C513,-1,0)+1,OFFSET(C513,-1,0))</f>
        <v>7</v>
      </c>
      <c r="D513">
        <f t="shared" ref="D513:D531" ca="1" si="582">IF($A513=1,0,IF($A513=2,OFFSET(D513,-1,0)+1,OFFSET(D513,-1,0)))</f>
        <v>1</v>
      </c>
      <c r="E513">
        <f t="shared" ref="E513:E531" ca="1" si="583">IF(AND($A513&lt;=2,$A513&lt;&gt;0),0,IF($A513=3,OFFSET(E513,-1,0)+1,OFFSET(E513,-1,0)))</f>
        <v>0</v>
      </c>
      <c r="F513">
        <f t="shared" ref="F513:F531" ca="1" si="584">IF(AND($A513&lt;=3,$A513&lt;&gt;0),0,IF($A513=4,OFFSET(F513,-1,0)+1,OFFSET(F513,-1,0)))</f>
        <v>0</v>
      </c>
      <c r="G513">
        <f t="shared" ref="G513:G531" ca="1" si="585">IF(AND($A513&lt;=4,$A513&lt;&gt;0),0,IF($A513="S",OFFSET(G513,-1,0)+1,OFFSET(G513,-1,0)))</f>
        <v>21</v>
      </c>
      <c r="H513">
        <f ca="1">IF(OR($A513="S",$A513=0),0,MATCH(0,OFFSET($B513,1,$A513,ROW($A$1504)-ROW($A513)),0))</f>
        <v>0</v>
      </c>
      <c r="I513">
        <f ca="1">IF(OR($A513="S",$A513=0),0,MATCH(OFFSET($B513,0,$A513)+1,OFFSET($B513,1,$A513,ROW($A$1504)-ROW($A513)),0))</f>
        <v>0</v>
      </c>
      <c r="J513" s="132" t="s">
        <v>29</v>
      </c>
      <c r="K513" s="121" t="str">
        <f t="shared" ref="K513:K531" ca="1" si="586">IF($A513=0,"-",CONCATENATE(C513&amp;".",IF(AND($A$5&gt;=2,$A513&gt;=2),D513&amp;".",""),IF(AND($A$5&gt;=3,$A513&gt;=3),E513&amp;".",""),IF(AND($A$5&gt;=4,$A513&gt;=4),F513&amp;".",""),IF($A513="S",G513&amp;".","")))</f>
        <v>7.1.21.</v>
      </c>
      <c r="L513" s="137" t="str">
        <f t="shared" ref="L513:L531" ca="1" si="587">IF(NOT(ISERROR($Y513)),IF($Y513&lt;&gt;FALSE,INDEX(Banco,$Y513,4),""),"")</f>
        <v>Cotação</v>
      </c>
      <c r="M513" s="122" t="s">
        <v>79</v>
      </c>
      <c r="N513" s="139" t="s">
        <v>165</v>
      </c>
      <c r="O513" s="137" t="str">
        <f t="shared" ca="1" si="578"/>
        <v>Papel de presente</v>
      </c>
      <c r="P513" s="138" t="str">
        <f t="shared" ref="P513:P531" ca="1" si="588">IF(NOT(ISERROR($Y513)),IF($Y513&lt;&gt;FALSE,INDEX(Banco,$Y513,6),""),"")</f>
        <v>Folhas</v>
      </c>
      <c r="Q513" s="134">
        <v>16</v>
      </c>
      <c r="R513" s="124">
        <f t="shared" ref="R513:R531" ca="1" si="589">IF(NOT(ISERROR($Y513)),IF($Y513&lt;&gt;FALSE,INDEX(Banco,$Y513,7),0),0)</f>
        <v>1.5</v>
      </c>
      <c r="S513" s="136" t="s">
        <v>62</v>
      </c>
      <c r="T513" s="123">
        <f t="shared" ref="T513:T531" ca="1" si="590">IF($J513=$G$2,ROUND(ROUND($R513,2)*IF($R$9="Preço Unitário (R$)",1,1+$AA513),2),0)</f>
        <v>1.88</v>
      </c>
      <c r="U513" s="126">
        <f t="shared" ref="U513:U531" ca="1" si="591">IF($A513="S",VTOTAL1,IF($A513=0,0,ROUND(SomaAgrup,2)))</f>
        <v>30.08</v>
      </c>
      <c r="V513" s="1"/>
      <c r="W513" s="39" t="str">
        <f ca="1">IF(OR($A513=0,$A513="S",$A513&gt;CFF!$A$9),"",MAX(W$11:OFFSET(W513,-1,0))+1)</f>
        <v/>
      </c>
      <c r="X513" s="4" t="str">
        <f t="shared" ref="X513:X531" si="592">IF(AND($J513=$G$2,$N513&lt;&gt;"",$M513&lt;&gt;""),CONCATENATE($M513,"-",$N513))</f>
        <v>Rec. Materiais-021</v>
      </c>
      <c r="Y513" s="39">
        <f t="shared" ref="Y513:Y531" ca="1" si="593">IF(X513&lt;&gt;FALSE,MATCH(X513,OFFSET(Banco,0,0,,1),0))</f>
        <v>30</v>
      </c>
      <c r="Z513" s="1"/>
      <c r="AA513" s="133">
        <f>IF($J513=$G$2,ROUND(IF(ISNUMBER(S513),S513,IF(LEFT(S513,2)="DI",HLOOKUP(S513,DADOS!$T$29:$X$30,2,FALSE),0)),4),"")</f>
        <v>0.25</v>
      </c>
      <c r="AB513" s="2"/>
    </row>
    <row r="514" spans="1:28">
      <c r="A514" t="str">
        <f t="shared" si="579"/>
        <v>S</v>
      </c>
      <c r="B514">
        <f t="shared" si="580"/>
        <v>0</v>
      </c>
      <c r="C514">
        <f t="shared" ca="1" si="581"/>
        <v>7</v>
      </c>
      <c r="D514">
        <f t="shared" ca="1" si="582"/>
        <v>1</v>
      </c>
      <c r="E514">
        <f t="shared" ca="1" si="583"/>
        <v>0</v>
      </c>
      <c r="F514">
        <f t="shared" ca="1" si="584"/>
        <v>0</v>
      </c>
      <c r="G514">
        <f t="shared" ca="1" si="585"/>
        <v>22</v>
      </c>
      <c r="H514">
        <f ca="1">IF(OR($A514="S",$A514=0),0,MATCH(0,OFFSET($B514,1,$A514,ROW($A$1504)-ROW($A514)),0))</f>
        <v>0</v>
      </c>
      <c r="I514">
        <f ca="1">IF(OR($A514="S",$A514=0),0,MATCH(OFFSET($B514,0,$A514)+1,OFFSET($B514,1,$A514,ROW($A$1504)-ROW($A514)),0))</f>
        <v>0</v>
      </c>
      <c r="J514" s="132" t="s">
        <v>29</v>
      </c>
      <c r="K514" s="121" t="str">
        <f t="shared" ca="1" si="586"/>
        <v>7.1.22.</v>
      </c>
      <c r="L514" s="137" t="str">
        <f t="shared" ca="1" si="587"/>
        <v>Cotação</v>
      </c>
      <c r="M514" s="122" t="s">
        <v>79</v>
      </c>
      <c r="N514" s="139" t="s">
        <v>170</v>
      </c>
      <c r="O514" s="137" t="str">
        <f t="shared" ca="1" si="578"/>
        <v>Saco de lixo (100 litros)</v>
      </c>
      <c r="P514" s="138" t="str">
        <f t="shared" ca="1" si="588"/>
        <v>Pacote</v>
      </c>
      <c r="Q514" s="134">
        <v>2</v>
      </c>
      <c r="R514" s="124">
        <f t="shared" ca="1" si="589"/>
        <v>15</v>
      </c>
      <c r="S514" s="136" t="s">
        <v>62</v>
      </c>
      <c r="T514" s="123">
        <f t="shared" ca="1" si="590"/>
        <v>18.75</v>
      </c>
      <c r="U514" s="126">
        <f t="shared" ca="1" si="591"/>
        <v>37.5</v>
      </c>
      <c r="V514" s="1"/>
      <c r="W514" s="39" t="str">
        <f ca="1">IF(OR($A514=0,$A514="S",$A514&gt;CFF!$A$9),"",MAX(W$11:OFFSET(W514,-1,0))+1)</f>
        <v/>
      </c>
      <c r="X514" s="4" t="str">
        <f t="shared" si="592"/>
        <v>Rec. Materiais-026</v>
      </c>
      <c r="Y514" s="39">
        <f t="shared" ca="1" si="593"/>
        <v>35</v>
      </c>
      <c r="Z514" s="1"/>
      <c r="AA514" s="133">
        <f>IF($J514=$G$2,ROUND(IF(ISNUMBER(S514),S514,IF(LEFT(S514,2)="DI",HLOOKUP(S514,DADOS!$T$29:$X$30,2,FALSE),0)),4),"")</f>
        <v>0.25</v>
      </c>
      <c r="AB514" s="2"/>
    </row>
    <row r="515" spans="1:28">
      <c r="A515" t="str">
        <f t="shared" si="579"/>
        <v>S</v>
      </c>
      <c r="B515">
        <f t="shared" si="580"/>
        <v>0</v>
      </c>
      <c r="C515">
        <f t="shared" ca="1" si="581"/>
        <v>7</v>
      </c>
      <c r="D515">
        <f t="shared" ca="1" si="582"/>
        <v>1</v>
      </c>
      <c r="E515">
        <f t="shared" ca="1" si="583"/>
        <v>0</v>
      </c>
      <c r="F515">
        <f t="shared" ca="1" si="584"/>
        <v>0</v>
      </c>
      <c r="G515">
        <f t="shared" ca="1" si="585"/>
        <v>23</v>
      </c>
      <c r="H515">
        <f ca="1">IF(OR($A515="S",$A515=0),0,MATCH(0,OFFSET($B515,1,$A515,ROW($A$1504)-ROW($A515)),0))</f>
        <v>0</v>
      </c>
      <c r="I515">
        <f ca="1">IF(OR($A515="S",$A515=0),0,MATCH(OFFSET($B515,0,$A515)+1,OFFSET($B515,1,$A515,ROW($A$1504)-ROW($A515)),0))</f>
        <v>0</v>
      </c>
      <c r="J515" s="132" t="s">
        <v>29</v>
      </c>
      <c r="K515" s="121" t="str">
        <f t="shared" ca="1" si="586"/>
        <v>7.1.23.</v>
      </c>
      <c r="L515" s="137" t="str">
        <f t="shared" ca="1" si="587"/>
        <v>Cotação</v>
      </c>
      <c r="M515" s="122" t="s">
        <v>79</v>
      </c>
      <c r="N515" s="139" t="s">
        <v>149</v>
      </c>
      <c r="O515" s="137" t="str">
        <f t="shared" ca="1" si="578"/>
        <v>Papel A4</v>
      </c>
      <c r="P515" s="138" t="str">
        <f t="shared" ca="1" si="588"/>
        <v>Resma</v>
      </c>
      <c r="Q515" s="134">
        <v>1</v>
      </c>
      <c r="R515" s="124">
        <f t="shared" ca="1" si="589"/>
        <v>28</v>
      </c>
      <c r="S515" s="136" t="s">
        <v>62</v>
      </c>
      <c r="T515" s="123">
        <f t="shared" ca="1" si="590"/>
        <v>35</v>
      </c>
      <c r="U515" s="126">
        <f t="shared" ca="1" si="591"/>
        <v>35</v>
      </c>
      <c r="V515" s="1"/>
      <c r="W515" s="39" t="str">
        <f ca="1">IF(OR($A515=0,$A515="S",$A515&gt;CFF!$A$9),"",MAX(W$11:OFFSET(W515,-1,0))+1)</f>
        <v/>
      </c>
      <c r="X515" s="4" t="str">
        <f t="shared" si="592"/>
        <v>Rec. Materiais-001</v>
      </c>
      <c r="Y515" s="39">
        <f t="shared" ca="1" si="593"/>
        <v>10</v>
      </c>
      <c r="Z515" s="1"/>
      <c r="AA515" s="133">
        <f>IF($J515=$G$2,ROUND(IF(ISNUMBER(S515),S515,IF(LEFT(S515,2)="DI",HLOOKUP(S515,DADOS!$T$29:$X$30,2,FALSE),0)),4),"")</f>
        <v>0.25</v>
      </c>
      <c r="AB515" s="2"/>
    </row>
    <row r="516" spans="1:28">
      <c r="A516" t="str">
        <f t="shared" si="579"/>
        <v>S</v>
      </c>
      <c r="B516">
        <f t="shared" si="580"/>
        <v>0</v>
      </c>
      <c r="C516">
        <f t="shared" ca="1" si="581"/>
        <v>7</v>
      </c>
      <c r="D516">
        <f t="shared" ca="1" si="582"/>
        <v>1</v>
      </c>
      <c r="E516">
        <f t="shared" ca="1" si="583"/>
        <v>0</v>
      </c>
      <c r="F516">
        <f t="shared" ca="1" si="584"/>
        <v>0</v>
      </c>
      <c r="G516">
        <f t="shared" ca="1" si="585"/>
        <v>24</v>
      </c>
      <c r="H516">
        <f ca="1">IF(OR($A516="S",$A516=0),0,MATCH(0,OFFSET($B516,1,$A516,ROW($A$1504)-ROW($A516)),0))</f>
        <v>0</v>
      </c>
      <c r="I516">
        <f ca="1">IF(OR($A516="S",$A516=0),0,MATCH(OFFSET($B516,0,$A516)+1,OFFSET($B516,1,$A516,ROW($A$1504)-ROW($A516)),0))</f>
        <v>0</v>
      </c>
      <c r="J516" s="132" t="s">
        <v>29</v>
      </c>
      <c r="K516" s="121" t="str">
        <f t="shared" ca="1" si="586"/>
        <v>7.1.24.</v>
      </c>
      <c r="L516" s="137" t="str">
        <f t="shared" ca="1" si="587"/>
        <v>Cotação</v>
      </c>
      <c r="M516" s="122" t="s">
        <v>79</v>
      </c>
      <c r="N516" s="139" t="s">
        <v>152</v>
      </c>
      <c r="O516" s="137" t="str">
        <f t="shared" ca="1" si="578"/>
        <v>Toner para impressora</v>
      </c>
      <c r="P516" s="138" t="str">
        <f t="shared" ca="1" si="588"/>
        <v>Unidade</v>
      </c>
      <c r="Q516" s="134">
        <v>4</v>
      </c>
      <c r="R516" s="124">
        <f t="shared" ca="1" si="589"/>
        <v>180</v>
      </c>
      <c r="S516" s="136" t="s">
        <v>62</v>
      </c>
      <c r="T516" s="123">
        <f t="shared" ca="1" si="590"/>
        <v>225</v>
      </c>
      <c r="U516" s="126">
        <f t="shared" ca="1" si="591"/>
        <v>900</v>
      </c>
      <c r="V516" s="1"/>
      <c r="W516" s="39" t="str">
        <f ca="1">IF(OR($A516=0,$A516="S",$A516&gt;CFF!$A$9),"",MAX(W$11:OFFSET(W516,-1,0))+1)</f>
        <v/>
      </c>
      <c r="X516" s="4" t="str">
        <f t="shared" si="592"/>
        <v>Rec. Materiais-002</v>
      </c>
      <c r="Y516" s="39">
        <f t="shared" ca="1" si="593"/>
        <v>11</v>
      </c>
      <c r="Z516" s="1"/>
      <c r="AA516" s="133">
        <f>IF($J516=$G$2,ROUND(IF(ISNUMBER(S516),S516,IF(LEFT(S516,2)="DI",HLOOKUP(S516,DADOS!$T$29:$X$30,2,FALSE),0)),4),"")</f>
        <v>0.25</v>
      </c>
      <c r="AB516" s="2"/>
    </row>
    <row r="517" spans="1:28">
      <c r="A517" t="str">
        <f t="shared" si="579"/>
        <v>S</v>
      </c>
      <c r="B517">
        <f t="shared" si="580"/>
        <v>0</v>
      </c>
      <c r="C517">
        <f t="shared" ca="1" si="581"/>
        <v>7</v>
      </c>
      <c r="D517">
        <f t="shared" ca="1" si="582"/>
        <v>1</v>
      </c>
      <c r="E517">
        <f t="shared" ca="1" si="583"/>
        <v>0</v>
      </c>
      <c r="F517">
        <f t="shared" ca="1" si="584"/>
        <v>0</v>
      </c>
      <c r="G517">
        <f t="shared" ca="1" si="585"/>
        <v>25</v>
      </c>
      <c r="H517">
        <f ca="1">IF(OR($A517="S",$A517=0),0,MATCH(0,OFFSET($B517,1,$A517,ROW($A$1504)-ROW($A517)),0))</f>
        <v>0</v>
      </c>
      <c r="I517">
        <f ca="1">IF(OR($A517="S",$A517=0),0,MATCH(OFFSET($B517,0,$A517)+1,OFFSET($B517,1,$A517,ROW($A$1504)-ROW($A517)),0))</f>
        <v>0</v>
      </c>
      <c r="J517" s="132" t="s">
        <v>29</v>
      </c>
      <c r="K517" s="121" t="str">
        <f t="shared" ca="1" si="586"/>
        <v>7.1.25.</v>
      </c>
      <c r="L517" s="137" t="str">
        <f t="shared" ca="1" si="587"/>
        <v>Cotação</v>
      </c>
      <c r="M517" s="122" t="s">
        <v>79</v>
      </c>
      <c r="N517" s="139" t="s">
        <v>164</v>
      </c>
      <c r="O517" s="137" t="str">
        <f t="shared" ca="1" si="578"/>
        <v>Copos descartáveis (2500 unidades)</v>
      </c>
      <c r="P517" s="138" t="str">
        <f t="shared" ca="1" si="588"/>
        <v>Caixa</v>
      </c>
      <c r="Q517" s="134">
        <v>1</v>
      </c>
      <c r="R517" s="124">
        <f t="shared" ca="1" si="589"/>
        <v>77.400000000000006</v>
      </c>
      <c r="S517" s="136" t="s">
        <v>62</v>
      </c>
      <c r="T517" s="123">
        <f t="shared" ca="1" si="590"/>
        <v>96.75</v>
      </c>
      <c r="U517" s="126">
        <f t="shared" ca="1" si="591"/>
        <v>96.75</v>
      </c>
      <c r="V517" s="1"/>
      <c r="W517" s="39" t="str">
        <f ca="1">IF(OR($A517=0,$A517="S",$A517&gt;CFF!$A$9),"",MAX(W$11:OFFSET(W517,-1,0))+1)</f>
        <v/>
      </c>
      <c r="X517" s="4" t="str">
        <f t="shared" si="592"/>
        <v>Rec. Materiais-019</v>
      </c>
      <c r="Y517" s="39">
        <f t="shared" ca="1" si="593"/>
        <v>28</v>
      </c>
      <c r="Z517" s="1"/>
      <c r="AA517" s="133">
        <f>IF($J517=$G$2,ROUND(IF(ISNUMBER(S517),S517,IF(LEFT(S517,2)="DI",HLOOKUP(S517,DADOS!$T$29:$X$30,2,FALSE),0)),4),"")</f>
        <v>0.25</v>
      </c>
      <c r="AB517" s="2"/>
    </row>
    <row r="518" spans="1:28">
      <c r="A518">
        <f>CHOOSE(1+LOG(1+2*(J518=$C$2)+4*(J518=$D$2)+8*(J518=$E$2)+16*(J518=$F$2)+32*(J518=$G$2),2),0,1,2,3,4,"S")</f>
        <v>2</v>
      </c>
      <c r="B518">
        <f ca="1">IF(OR(A518="S",A518=0),0,IF(ISERROR(I518),H518,SMALL(H518:I518,1)))</f>
        <v>9</v>
      </c>
      <c r="C518">
        <f ca="1">IF($A518=1,OFFSET(C518,-1,0)+1,OFFSET(C518,-1,0))</f>
        <v>7</v>
      </c>
      <c r="D518">
        <f ca="1">IF($A518=1,0,IF($A518=2,OFFSET(D518,-1,0)+1,OFFSET(D518,-1,0)))</f>
        <v>2</v>
      </c>
      <c r="E518">
        <f ca="1">IF(AND($A518&lt;=2,$A518&lt;&gt;0),0,IF($A518=3,OFFSET(E518,-1,0)+1,OFFSET(E518,-1,0)))</f>
        <v>0</v>
      </c>
      <c r="F518">
        <f ca="1">IF(AND($A518&lt;=3,$A518&lt;&gt;0),0,IF($A518=4,OFFSET(F518,-1,0)+1,OFFSET(F518,-1,0)))</f>
        <v>0</v>
      </c>
      <c r="G518">
        <f ca="1">IF(AND($A518&lt;=4,$A518&lt;&gt;0),0,IF($A518="S",OFFSET(G518,-1,0)+1,OFFSET(G518,-1,0)))</f>
        <v>0</v>
      </c>
      <c r="H518">
        <f ca="1">IF(OR($A518="S",$A518=0),0,MATCH(0,OFFSET($B518,1,$A518,ROW($A$1504)-ROW($A518)),0))</f>
        <v>123</v>
      </c>
      <c r="I518">
        <f ca="1">IF(OR($A518="S",$A518=0),0,MATCH(OFFSET($B518,0,$A518)+1,OFFSET($B518,1,$A518,ROW($A$1504)-ROW($A518)),0))</f>
        <v>9</v>
      </c>
      <c r="J518" s="132" t="s">
        <v>68</v>
      </c>
      <c r="K518" s="121" t="str">
        <f ca="1">IF($A518=0,"-",CONCATENATE(C518&amp;".",IF(AND($A$5&gt;=2,$A518&gt;=2),D518&amp;".",""),IF(AND($A$5&gt;=3,$A518&gt;=3),E518&amp;".",""),IF(AND($A$5&gt;=4,$A518&gt;=4),F518&amp;".",""),IF($A518="S",G518&amp;".","")))</f>
        <v>7.2.</v>
      </c>
      <c r="L518" s="137" t="str">
        <f ca="1">IF(NOT(ISERROR($Y518)),IF($Y518&lt;&gt;FALSE,INDEX(Banco,$Y518,4),""),"")</f>
        <v/>
      </c>
      <c r="M518" s="122"/>
      <c r="N518" s="139"/>
      <c r="O518" s="137" t="s">
        <v>383</v>
      </c>
      <c r="P518" s="138" t="str">
        <f ca="1">IF(NOT(ISERROR($Y518)),IF($Y518&lt;&gt;FALSE,INDEX(Banco,$Y518,6),""),"")</f>
        <v/>
      </c>
      <c r="Q518" s="134"/>
      <c r="R518" s="124">
        <f ca="1">IF(NOT(ISERROR($Y518)),IF($Y518&lt;&gt;FALSE,INDEX(Banco,$Y518,7),0),0)</f>
        <v>0</v>
      </c>
      <c r="S518" s="136" t="s">
        <v>62</v>
      </c>
      <c r="T518" s="123">
        <f>IF($J518=$G$2,ROUND(ROUND($R518,2)*IF($R$9="Preço Unitário (R$)",1,1+$AA518),2),0)</f>
        <v>0</v>
      </c>
      <c r="U518" s="126">
        <f ca="1">IF($A518="S",VTOTAL1,IF($A518=0,0,ROUND(SomaAgrup,2)))</f>
        <v>4130.74</v>
      </c>
      <c r="V518" s="1"/>
      <c r="W518" s="39">
        <f ca="1">IF(OR($A518=0,$A518="S",$A518&gt;CFF!$A$9),"",MAX(W$11:OFFSET(W518,-1,0))+1)</f>
        <v>43</v>
      </c>
      <c r="X518" s="4" t="b">
        <f>IF(AND($J518=$G$2,$N518&lt;&gt;"",$M518&lt;&gt;""),CONCATENATE($M518,"-",$N518))</f>
        <v>0</v>
      </c>
      <c r="Y518" s="39" t="b">
        <f ca="1">IF(X518&lt;&gt;FALSE,MATCH(X518,OFFSET(Banco,0,0,,1),0))</f>
        <v>0</v>
      </c>
      <c r="Z518" s="1"/>
      <c r="AA518" s="133" t="str">
        <f>IF($J518=$G$2,ROUND(IF(ISNUMBER(S518),S518,IF(LEFT(S518,2)="DI",HLOOKUP(S518,DADOS!$T$29:$X$30,2,FALSE),0)),4),"")</f>
        <v/>
      </c>
      <c r="AB518" s="2"/>
    </row>
    <row r="519" spans="1:28">
      <c r="A519" t="str">
        <f t="shared" si="579"/>
        <v>S</v>
      </c>
      <c r="B519">
        <f t="shared" si="580"/>
        <v>0</v>
      </c>
      <c r="C519">
        <f t="shared" ca="1" si="581"/>
        <v>7</v>
      </c>
      <c r="D519">
        <f t="shared" ca="1" si="582"/>
        <v>2</v>
      </c>
      <c r="E519">
        <f t="shared" ca="1" si="583"/>
        <v>0</v>
      </c>
      <c r="F519">
        <f t="shared" ca="1" si="584"/>
        <v>0</v>
      </c>
      <c r="G519">
        <f t="shared" ca="1" si="585"/>
        <v>1</v>
      </c>
      <c r="H519">
        <f ca="1">IF(OR($A519="S",$A519=0),0,MATCH(0,OFFSET($B519,1,$A519,ROW($A$1504)-ROW($A519)),0))</f>
        <v>0</v>
      </c>
      <c r="I519">
        <f ca="1">IF(OR($A519="S",$A519=0),0,MATCH(OFFSET($B519,0,$A519)+1,OFFSET($B519,1,$A519,ROW($A$1504)-ROW($A519)),0))</f>
        <v>0</v>
      </c>
      <c r="J519" s="132" t="s">
        <v>29</v>
      </c>
      <c r="K519" s="121" t="str">
        <f t="shared" ca="1" si="586"/>
        <v>7.2.1.</v>
      </c>
      <c r="L519" s="137" t="str">
        <f t="shared" ca="1" si="587"/>
        <v>CRESS</v>
      </c>
      <c r="M519" s="122" t="s">
        <v>78</v>
      </c>
      <c r="N519" s="139" t="s">
        <v>149</v>
      </c>
      <c r="O519" s="137" t="str">
        <f t="shared" ref="O519:O524" ca="1" si="594">IF(NOT(ISERROR($Y519)),IF($Y519&lt;&gt;FALSE,INDEX(Banco,$Y519,5),""),"")</f>
        <v>Responsável Técnica</v>
      </c>
      <c r="P519" s="138" t="str">
        <f t="shared" ca="1" si="588"/>
        <v>Horas</v>
      </c>
      <c r="Q519" s="134">
        <v>4</v>
      </c>
      <c r="R519" s="124">
        <f t="shared" ca="1" si="589"/>
        <v>150.28</v>
      </c>
      <c r="S519" s="136" t="s">
        <v>62</v>
      </c>
      <c r="T519" s="123">
        <f t="shared" ca="1" si="590"/>
        <v>187.85</v>
      </c>
      <c r="U519" s="126">
        <f t="shared" ca="1" si="591"/>
        <v>751.4</v>
      </c>
      <c r="V519" s="1"/>
      <c r="W519" s="39" t="str">
        <f ca="1">IF(OR($A519=0,$A519="S",$A519&gt;CFF!$A$9),"",MAX(W$11:OFFSET(W519,-1,0))+1)</f>
        <v/>
      </c>
      <c r="X519" s="4" t="str">
        <f t="shared" si="592"/>
        <v>Rec. Humanos-001</v>
      </c>
      <c r="Y519" s="39">
        <f t="shared" ca="1" si="593"/>
        <v>3</v>
      </c>
      <c r="Z519" s="1"/>
      <c r="AA519" s="133">
        <f>IF($J519=$G$2,ROUND(IF(ISNUMBER(S519),S519,IF(LEFT(S519,2)="DI",HLOOKUP(S519,DADOS!$T$29:$X$30,2,FALSE),0)),4),"")</f>
        <v>0.25</v>
      </c>
      <c r="AB519" s="2"/>
    </row>
    <row r="520" spans="1:28">
      <c r="A520" t="str">
        <f t="shared" si="579"/>
        <v>S</v>
      </c>
      <c r="B520">
        <f t="shared" si="580"/>
        <v>0</v>
      </c>
      <c r="C520">
        <f t="shared" ca="1" si="581"/>
        <v>7</v>
      </c>
      <c r="D520">
        <f t="shared" ca="1" si="582"/>
        <v>2</v>
      </c>
      <c r="E520">
        <f t="shared" ca="1" si="583"/>
        <v>0</v>
      </c>
      <c r="F520">
        <f t="shared" ca="1" si="584"/>
        <v>0</v>
      </c>
      <c r="G520">
        <f t="shared" ca="1" si="585"/>
        <v>2</v>
      </c>
      <c r="H520">
        <f ca="1">IF(OR($A520="S",$A520=0),0,MATCH(0,OFFSET($B520,1,$A520,ROW($A$1504)-ROW($A520)),0))</f>
        <v>0</v>
      </c>
      <c r="I520">
        <f ca="1">IF(OR($A520="S",$A520=0),0,MATCH(OFFSET($B520,0,$A520)+1,OFFSET($B520,1,$A520,ROW($A$1504)-ROW($A520)),0))</f>
        <v>0</v>
      </c>
      <c r="J520" s="132" t="s">
        <v>29</v>
      </c>
      <c r="K520" s="121" t="str">
        <f t="shared" ca="1" si="586"/>
        <v>7.2.2.</v>
      </c>
      <c r="L520" s="137" t="str">
        <f t="shared" ca="1" si="587"/>
        <v>CRESS</v>
      </c>
      <c r="M520" s="122" t="s">
        <v>78</v>
      </c>
      <c r="N520" s="139" t="s">
        <v>152</v>
      </c>
      <c r="O520" s="137" t="str">
        <f t="shared" ca="1" si="594"/>
        <v>Assistente Social</v>
      </c>
      <c r="P520" s="138" t="str">
        <f t="shared" ca="1" si="588"/>
        <v>Horas</v>
      </c>
      <c r="Q520" s="134">
        <v>4</v>
      </c>
      <c r="R520" s="124">
        <f t="shared" ca="1" si="589"/>
        <v>133.81</v>
      </c>
      <c r="S520" s="136" t="s">
        <v>62</v>
      </c>
      <c r="T520" s="123">
        <f t="shared" ca="1" si="590"/>
        <v>167.26</v>
      </c>
      <c r="U520" s="126">
        <f t="shared" ca="1" si="591"/>
        <v>669.04</v>
      </c>
      <c r="V520" s="1"/>
      <c r="W520" s="39" t="str">
        <f ca="1">IF(OR($A520=0,$A520="S",$A520&gt;CFF!$A$9),"",MAX(W$11:OFFSET(W520,-1,0))+1)</f>
        <v/>
      </c>
      <c r="X520" s="4" t="str">
        <f t="shared" si="592"/>
        <v>Rec. Humanos-002</v>
      </c>
      <c r="Y520" s="39">
        <f t="shared" ca="1" si="593"/>
        <v>4</v>
      </c>
      <c r="Z520" s="1"/>
      <c r="AA520" s="133">
        <f>IF($J520=$G$2,ROUND(IF(ISNUMBER(S520),S520,IF(LEFT(S520,2)="DI",HLOOKUP(S520,DADOS!$T$29:$X$30,2,FALSE),0)),4),"")</f>
        <v>0.25</v>
      </c>
      <c r="AB520" s="2"/>
    </row>
    <row r="521" spans="1:28">
      <c r="A521" t="str">
        <f t="shared" si="579"/>
        <v>S</v>
      </c>
      <c r="B521">
        <f t="shared" si="580"/>
        <v>0</v>
      </c>
      <c r="C521">
        <f t="shared" ca="1" si="581"/>
        <v>7</v>
      </c>
      <c r="D521">
        <f t="shared" ca="1" si="582"/>
        <v>2</v>
      </c>
      <c r="E521">
        <f t="shared" ca="1" si="583"/>
        <v>0</v>
      </c>
      <c r="F521">
        <f t="shared" ca="1" si="584"/>
        <v>0</v>
      </c>
      <c r="G521">
        <f t="shared" ca="1" si="585"/>
        <v>3</v>
      </c>
      <c r="H521">
        <f ca="1">IF(OR($A521="S",$A521=0),0,MATCH(0,OFFSET($B521,1,$A521,ROW($A$1504)-ROW($A521)),0))</f>
        <v>0</v>
      </c>
      <c r="I521">
        <f ca="1">IF(OR($A521="S",$A521=0),0,MATCH(OFFSET($B521,0,$A521)+1,OFFSET($B521,1,$A521,ROW($A$1504)-ROW($A521)),0))</f>
        <v>0</v>
      </c>
      <c r="J521" s="132" t="s">
        <v>29</v>
      </c>
      <c r="K521" s="121" t="str">
        <f t="shared" ca="1" si="586"/>
        <v>7.2.3.</v>
      </c>
      <c r="L521" s="137" t="str">
        <f t="shared" ca="1" si="587"/>
        <v>Cotação</v>
      </c>
      <c r="M521" s="122" t="s">
        <v>80</v>
      </c>
      <c r="N521" s="139" t="s">
        <v>201</v>
      </c>
      <c r="O521" s="137" t="str">
        <f t="shared" ca="1" si="594"/>
        <v xml:space="preserve">Coffe break (salgados) </v>
      </c>
      <c r="P521" s="138" t="str">
        <f t="shared" ca="1" si="588"/>
        <v>Centro</v>
      </c>
      <c r="Q521" s="134">
        <v>6</v>
      </c>
      <c r="R521" s="124">
        <f t="shared" ca="1" si="589"/>
        <v>65</v>
      </c>
      <c r="S521" s="136" t="s">
        <v>62</v>
      </c>
      <c r="T521" s="123">
        <f t="shared" ca="1" si="590"/>
        <v>81.25</v>
      </c>
      <c r="U521" s="126">
        <f t="shared" ca="1" si="591"/>
        <v>487.5</v>
      </c>
      <c r="V521" s="1"/>
      <c r="W521" s="39" t="str">
        <f ca="1">IF(OR($A521=0,$A521="S",$A521&gt;CFF!$A$9),"",MAX(W$11:OFFSET(W521,-1,0))+1)</f>
        <v/>
      </c>
      <c r="X521" s="4" t="str">
        <f t="shared" si="592"/>
        <v>Serv. Terc.-033</v>
      </c>
      <c r="Y521" s="39">
        <f t="shared" ca="1" si="593"/>
        <v>113</v>
      </c>
      <c r="Z521" s="1"/>
      <c r="AA521" s="133">
        <f>IF($J521=$G$2,ROUND(IF(ISNUMBER(S521),S521,IF(LEFT(S521,2)="DI",HLOOKUP(S521,DADOS!$T$29:$X$30,2,FALSE),0)),4),"")</f>
        <v>0.25</v>
      </c>
      <c r="AB521" s="2"/>
    </row>
    <row r="522" spans="1:28">
      <c r="A522" t="str">
        <f>CHOOSE(1+LOG(1+2*(J522=$C$2)+4*(J522=$D$2)+8*(J522=$E$2)+16*(J522=$F$2)+32*(J522=$G$2),2),0,1,2,3,4,"S")</f>
        <v>S</v>
      </c>
      <c r="B522">
        <f>IF(OR(A522="S",A522=0),0,IF(ISERROR(I522),H522,SMALL(H522:I522,1)))</f>
        <v>0</v>
      </c>
      <c r="C522">
        <f ca="1">IF($A522=1,OFFSET(C522,-1,0)+1,OFFSET(C522,-1,0))</f>
        <v>7</v>
      </c>
      <c r="D522">
        <f ca="1">IF($A522=1,0,IF($A522=2,OFFSET(D522,-1,0)+1,OFFSET(D522,-1,0)))</f>
        <v>2</v>
      </c>
      <c r="E522">
        <f ca="1">IF(AND($A522&lt;=2,$A522&lt;&gt;0),0,IF($A522=3,OFFSET(E522,-1,0)+1,OFFSET(E522,-1,0)))</f>
        <v>0</v>
      </c>
      <c r="F522">
        <f ca="1">IF(AND($A522&lt;=3,$A522&lt;&gt;0),0,IF($A522=4,OFFSET(F522,-1,0)+1,OFFSET(F522,-1,0)))</f>
        <v>0</v>
      </c>
      <c r="G522">
        <f ca="1">IF(AND($A522&lt;=4,$A522&lt;&gt;0),0,IF($A522="S",OFFSET(G522,-1,0)+1,OFFSET(G522,-1,0)))</f>
        <v>4</v>
      </c>
      <c r="H522">
        <f ca="1">IF(OR($A522="S",$A522=0),0,MATCH(0,OFFSET($B522,1,$A522,ROW($A$1504)-ROW($A522)),0))</f>
        <v>0</v>
      </c>
      <c r="I522">
        <f ca="1">IF(OR($A522="S",$A522=0),0,MATCH(OFFSET($B522,0,$A522)+1,OFFSET($B522,1,$A522,ROW($A$1504)-ROW($A522)),0))</f>
        <v>0</v>
      </c>
      <c r="J522" s="132" t="s">
        <v>29</v>
      </c>
      <c r="K522" s="121" t="str">
        <f ca="1">IF($A522=0,"-",CONCATENATE(C522&amp;".",IF(AND($A$5&gt;=2,$A522&gt;=2),D522&amp;".",""),IF(AND($A$5&gt;=3,$A522&gt;=3),E522&amp;".",""),IF(AND($A$5&gt;=4,$A522&gt;=4),F522&amp;".",""),IF($A522="S",G522&amp;".","")))</f>
        <v>7.2.4.</v>
      </c>
      <c r="L522" s="137" t="str">
        <f ca="1">IF(NOT(ISERROR($Y522)),IF($Y522&lt;&gt;FALSE,INDEX(Banco,$Y522,4),""),"")</f>
        <v>Cotação</v>
      </c>
      <c r="M522" s="122" t="s">
        <v>80</v>
      </c>
      <c r="N522" s="139" t="s">
        <v>171</v>
      </c>
      <c r="O522" s="137" t="str">
        <f ca="1">IF(NOT(ISERROR($Y522)),IF($Y522&lt;&gt;FALSE,INDEX(Banco,$Y522,5),""),"")</f>
        <v xml:space="preserve">Refrigerantes (02 litros) </v>
      </c>
      <c r="P522" s="138" t="str">
        <f ca="1">IF(NOT(ISERROR($Y522)),IF($Y522&lt;&gt;FALSE,INDEX(Banco,$Y522,6),""),"")</f>
        <v>Unidade</v>
      </c>
      <c r="Q522" s="134">
        <v>7</v>
      </c>
      <c r="R522" s="124">
        <f ca="1">IF(NOT(ISERROR($Y522)),IF($Y522&lt;&gt;FALSE,INDEX(Banco,$Y522,7),0),0)</f>
        <v>6</v>
      </c>
      <c r="S522" s="136" t="s">
        <v>62</v>
      </c>
      <c r="T522" s="123">
        <f ca="1">IF($J522=$G$2,ROUND(ROUND($R522,2)*IF($R$9="Preço Unitário (R$)",1,1+$AA522),2),0)</f>
        <v>7.5</v>
      </c>
      <c r="U522" s="126">
        <f ca="1">IF($A522="S",VTOTAL1,IF($A522=0,0,ROUND(SomaAgrup,2)))</f>
        <v>52.5</v>
      </c>
      <c r="V522" s="1"/>
      <c r="W522" s="39" t="str">
        <f ca="1">IF(OR($A522=0,$A522="S",$A522&gt;CFF!$A$9),"",MAX(W$11:OFFSET(W522,-1,0))+1)</f>
        <v/>
      </c>
      <c r="X522" s="4" t="str">
        <f>IF(AND($J522=$G$2,$N522&lt;&gt;"",$M522&lt;&gt;""),CONCATENATE($M522,"-",$N522))</f>
        <v>Serv. Terc.-027</v>
      </c>
      <c r="Y522" s="39">
        <f ca="1">IF(X522&lt;&gt;FALSE,MATCH(X522,OFFSET(Banco,0,0,,1),0))</f>
        <v>107</v>
      </c>
      <c r="Z522" s="1"/>
      <c r="AA522" s="133">
        <f>IF($J522=$G$2,ROUND(IF(ISNUMBER(S522),S522,IF(LEFT(S522,2)="DI",HLOOKUP(S522,DADOS!$T$29:$X$30,2,FALSE),0)),4),"")</f>
        <v>0.25</v>
      </c>
      <c r="AB522" s="2"/>
    </row>
    <row r="523" spans="1:28">
      <c r="A523" t="str">
        <f t="shared" si="579"/>
        <v>S</v>
      </c>
      <c r="B523">
        <f t="shared" si="580"/>
        <v>0</v>
      </c>
      <c r="C523">
        <f t="shared" ca="1" si="581"/>
        <v>7</v>
      </c>
      <c r="D523">
        <f t="shared" ca="1" si="582"/>
        <v>2</v>
      </c>
      <c r="E523">
        <f t="shared" ca="1" si="583"/>
        <v>0</v>
      </c>
      <c r="F523">
        <f t="shared" ca="1" si="584"/>
        <v>0</v>
      </c>
      <c r="G523">
        <f t="shared" ca="1" si="585"/>
        <v>5</v>
      </c>
      <c r="H523">
        <f ca="1">IF(OR($A523="S",$A523=0),0,MATCH(0,OFFSET($B523,1,$A523,ROW($A$1504)-ROW($A523)),0))</f>
        <v>0</v>
      </c>
      <c r="I523">
        <f ca="1">IF(OR($A523="S",$A523=0),0,MATCH(OFFSET($B523,0,$A523)+1,OFFSET($B523,1,$A523,ROW($A$1504)-ROW($A523)),0))</f>
        <v>0</v>
      </c>
      <c r="J523" s="132" t="s">
        <v>29</v>
      </c>
      <c r="K523" s="121" t="str">
        <f t="shared" ca="1" si="586"/>
        <v>7.2.5.</v>
      </c>
      <c r="L523" s="137" t="str">
        <f t="shared" ca="1" si="587"/>
        <v>CREFITO</v>
      </c>
      <c r="M523" s="122" t="s">
        <v>80</v>
      </c>
      <c r="N523" s="139" t="s">
        <v>260</v>
      </c>
      <c r="O523" s="137" t="str">
        <f t="shared" ca="1" si="594"/>
        <v>Fisioterapeuta (Massagem terapêutica)</v>
      </c>
      <c r="P523" s="138" t="str">
        <f t="shared" ca="1" si="588"/>
        <v>Vagas</v>
      </c>
      <c r="Q523" s="134">
        <v>30</v>
      </c>
      <c r="R523" s="124">
        <f t="shared" ca="1" si="589"/>
        <v>41.6</v>
      </c>
      <c r="S523" s="136" t="s">
        <v>62</v>
      </c>
      <c r="T523" s="123">
        <f t="shared" ca="1" si="590"/>
        <v>52</v>
      </c>
      <c r="U523" s="126">
        <f t="shared" ca="1" si="591"/>
        <v>1560</v>
      </c>
      <c r="V523" s="1"/>
      <c r="W523" s="39" t="str">
        <f ca="1">IF(OR($A523=0,$A523="S",$A523&gt;CFF!$A$9),"",MAX(W$11:OFFSET(W523,-1,0))+1)</f>
        <v/>
      </c>
      <c r="X523" s="4" t="str">
        <f t="shared" si="592"/>
        <v>Serv. Terc.-085</v>
      </c>
      <c r="Y523" s="39">
        <f t="shared" ca="1" si="593"/>
        <v>165</v>
      </c>
      <c r="Z523" s="1"/>
      <c r="AA523" s="133">
        <f>IF($J523=$G$2,ROUND(IF(ISNUMBER(S523),S523,IF(LEFT(S523,2)="DI",HLOOKUP(S523,DADOS!$T$29:$X$30,2,FALSE),0)),4),"")</f>
        <v>0.25</v>
      </c>
      <c r="AB523" s="2"/>
    </row>
    <row r="524" spans="1:28">
      <c r="A524" t="str">
        <f>CHOOSE(1+LOG(1+2*(J524=$C$2)+4*(J524=$D$2)+8*(J524=$E$2)+16*(J524=$F$2)+32*(J524=$G$2),2),0,1,2,3,4,"S")</f>
        <v>S</v>
      </c>
      <c r="B524">
        <f>IF(OR(A524="S",A524=0),0,IF(ISERROR(I524),H524,SMALL(H524:I524,1)))</f>
        <v>0</v>
      </c>
      <c r="C524">
        <f ca="1">IF($A524=1,OFFSET(C524,-1,0)+1,OFFSET(C524,-1,0))</f>
        <v>7</v>
      </c>
      <c r="D524">
        <f ca="1">IF($A524=1,0,IF($A524=2,OFFSET(D524,-1,0)+1,OFFSET(D524,-1,0)))</f>
        <v>2</v>
      </c>
      <c r="E524">
        <f ca="1">IF(AND($A524&lt;=2,$A524&lt;&gt;0),0,IF($A524=3,OFFSET(E524,-1,0)+1,OFFSET(E524,-1,0)))</f>
        <v>0</v>
      </c>
      <c r="F524">
        <f ca="1">IF(AND($A524&lt;=3,$A524&lt;&gt;0),0,IF($A524=4,OFFSET(F524,-1,0)+1,OFFSET(F524,-1,0)))</f>
        <v>0</v>
      </c>
      <c r="G524">
        <f ca="1">IF(AND($A524&lt;=4,$A524&lt;&gt;0),0,IF($A524="S",OFFSET(G524,-1,0)+1,OFFSET(G524,-1,0)))</f>
        <v>6</v>
      </c>
      <c r="H524">
        <f ca="1">IF(OR($A524="S",$A524=0),0,MATCH(0,OFFSET($B524,1,$A524,ROW($A$1504)-ROW($A524)),0))</f>
        <v>0</v>
      </c>
      <c r="I524">
        <f ca="1">IF(OR($A524="S",$A524=0),0,MATCH(OFFSET($B524,0,$A524)+1,OFFSET($B524,1,$A524,ROW($A$1504)-ROW($A524)),0))</f>
        <v>0</v>
      </c>
      <c r="J524" s="132" t="s">
        <v>29</v>
      </c>
      <c r="K524" s="121" t="str">
        <f ca="1">IF($A524=0,"-",CONCATENATE(C524&amp;".",IF(AND($A$5&gt;=2,$A524&gt;=2),D524&amp;".",""),IF(AND($A$5&gt;=3,$A524&gt;=3),E524&amp;".",""),IF(AND($A$5&gt;=4,$A524&gt;=4),F524&amp;".",""),IF($A524="S",G524&amp;".","")))</f>
        <v>7.2.6.</v>
      </c>
      <c r="L524" s="137" t="str">
        <f ca="1">IF(NOT(ISERROR($Y524)),IF($Y524&lt;&gt;FALSE,INDEX(Banco,$Y524,4),""),"")</f>
        <v>COREN</v>
      </c>
      <c r="M524" s="122" t="s">
        <v>80</v>
      </c>
      <c r="N524" s="139" t="s">
        <v>261</v>
      </c>
      <c r="O524" s="137" t="str">
        <f t="shared" ca="1" si="594"/>
        <v>Técnica de Enfermagem (Instrutor)</v>
      </c>
      <c r="P524" s="138" t="str">
        <f ca="1">IF(NOT(ISERROR($Y524)),IF($Y524&lt;&gt;FALSE,INDEX(Banco,$Y524,6),""),"")</f>
        <v>Horas</v>
      </c>
      <c r="Q524" s="134">
        <v>2</v>
      </c>
      <c r="R524" s="124">
        <f ca="1">IF(NOT(ISERROR($Y524)),IF($Y524&lt;&gt;FALSE,INDEX(Banco,$Y524,7),0),0)</f>
        <v>92.65</v>
      </c>
      <c r="S524" s="136" t="s">
        <v>62</v>
      </c>
      <c r="T524" s="123">
        <f ca="1">IF($J524=$G$2,ROUND(ROUND($R524,2)*IF($R$9="Preço Unitário (R$)",1,1+$AA524),2),0)</f>
        <v>115.81</v>
      </c>
      <c r="U524" s="126">
        <f ca="1">IF($A524="S",VTOTAL1,IF($A524=0,0,ROUND(SomaAgrup,2)))</f>
        <v>231.62</v>
      </c>
      <c r="V524" s="1"/>
      <c r="W524" s="39" t="str">
        <f ca="1">IF(OR($A524=0,$A524="S",$A524&gt;CFF!$A$9),"",MAX(W$11:OFFSET(W524,-1,0))+1)</f>
        <v/>
      </c>
      <c r="X524" s="4" t="str">
        <f>IF(AND($J524=$G$2,$N524&lt;&gt;"",$M524&lt;&gt;""),CONCATENATE($M524,"-",$N524))</f>
        <v>Serv. Terc.-086</v>
      </c>
      <c r="Y524" s="39">
        <f ca="1">IF(X524&lt;&gt;FALSE,MATCH(X524,OFFSET(Banco,0,0,,1),0))</f>
        <v>166</v>
      </c>
      <c r="Z524" s="1"/>
      <c r="AA524" s="133">
        <f>IF($J524=$G$2,ROUND(IF(ISNUMBER(S524),S524,IF(LEFT(S524,2)="DI",HLOOKUP(S524,DADOS!$T$29:$X$30,2,FALSE),0)),4),"")</f>
        <v>0.25</v>
      </c>
      <c r="AB524" s="2"/>
    </row>
    <row r="525" spans="1:28">
      <c r="A525" t="str">
        <f>CHOOSE(1+LOG(1+2*(J525=$C$2)+4*(J525=$D$2)+8*(J525=$E$2)+16*(J525=$F$2)+32*(J525=$G$2),2),0,1,2,3,4,"S")</f>
        <v>S</v>
      </c>
      <c r="B525">
        <f>IF(OR(A525="S",A525=0),0,IF(ISERROR(I525),H525,SMALL(H525:I525,1)))</f>
        <v>0</v>
      </c>
      <c r="C525">
        <f ca="1">IF($A525=1,OFFSET(C525,-1,0)+1,OFFSET(C525,-1,0))</f>
        <v>7</v>
      </c>
      <c r="D525">
        <f ca="1">IF($A525=1,0,IF($A525=2,OFFSET(D525,-1,0)+1,OFFSET(D525,-1,0)))</f>
        <v>2</v>
      </c>
      <c r="E525">
        <f ca="1">IF(AND($A525&lt;=2,$A525&lt;&gt;0),0,IF($A525=3,OFFSET(E525,-1,0)+1,OFFSET(E525,-1,0)))</f>
        <v>0</v>
      </c>
      <c r="F525">
        <f ca="1">IF(AND($A525&lt;=3,$A525&lt;&gt;0),0,IF($A525=4,OFFSET(F525,-1,0)+1,OFFSET(F525,-1,0)))</f>
        <v>0</v>
      </c>
      <c r="G525">
        <f ca="1">IF(AND($A525&lt;=4,$A525&lt;&gt;0),0,IF($A525="S",OFFSET(G525,-1,0)+1,OFFSET(G525,-1,0)))</f>
        <v>7</v>
      </c>
      <c r="H525">
        <f ca="1">IF(OR($A525="S",$A525=0),0,MATCH(0,OFFSET($B525,1,$A525,ROW($A$1504)-ROW($A525)),0))</f>
        <v>0</v>
      </c>
      <c r="I525">
        <f ca="1">IF(OR($A525="S",$A525=0),0,MATCH(OFFSET($B525,0,$A525)+1,OFFSET($B525,1,$A525,ROW($A$1504)-ROW($A525)),0))</f>
        <v>0</v>
      </c>
      <c r="J525" s="132" t="s">
        <v>29</v>
      </c>
      <c r="K525" s="121" t="str">
        <f ca="1">IF($A525=0,"-",CONCATENATE(C525&amp;".",IF(AND($A$5&gt;=2,$A525&gt;=2),D525&amp;".",""),IF(AND($A$5&gt;=3,$A525&gt;=3),E525&amp;".",""),IF(AND($A$5&gt;=4,$A525&gt;=4),F525&amp;".",""),IF($A525="S",G525&amp;".","")))</f>
        <v>7.2.7.</v>
      </c>
      <c r="L525" s="137" t="str">
        <f ca="1">IF(NOT(ISERROR($Y525)),IF($Y525&lt;&gt;FALSE,INDEX(Banco,$Y525,4),""),"")</f>
        <v>Cotação</v>
      </c>
      <c r="M525" s="122" t="s">
        <v>80</v>
      </c>
      <c r="N525" s="139" t="s">
        <v>256</v>
      </c>
      <c r="O525" s="137" t="str">
        <f ca="1">IF(NOT(ISERROR($Y525)),IF($Y525&lt;&gt;FALSE,INDEX(Banco,$Y525,5),""),"")</f>
        <v>Instrutor/Monitor (Educação Fisíca)</v>
      </c>
      <c r="P525" s="138" t="str">
        <f ca="1">IF(NOT(ISERROR($Y525)),IF($Y525&lt;&gt;FALSE,INDEX(Banco,$Y525,6),""),"")</f>
        <v>Horas</v>
      </c>
      <c r="Q525" s="134">
        <v>2</v>
      </c>
      <c r="R525" s="124">
        <f ca="1">IF(NOT(ISERROR($Y525)),IF($Y525&lt;&gt;FALSE,INDEX(Banco,$Y525,7),0),0)</f>
        <v>100</v>
      </c>
      <c r="S525" s="136" t="s">
        <v>62</v>
      </c>
      <c r="T525" s="123">
        <f ca="1">IF($J525=$G$2,ROUND(ROUND($R525,2)*IF($R$9="Preço Unitário (R$)",1,1+$AA525),2),0)</f>
        <v>125</v>
      </c>
      <c r="U525" s="126">
        <f ca="1">IF($A525="S",VTOTAL1,IF($A525=0,0,ROUND(SomaAgrup,2)))</f>
        <v>250</v>
      </c>
      <c r="V525" s="1"/>
      <c r="W525" s="39" t="str">
        <f ca="1">IF(OR($A525=0,$A525="S",$A525&gt;CFF!$A$9),"",MAX(W$11:OFFSET(W525,-1,0))+1)</f>
        <v/>
      </c>
      <c r="X525" s="4" t="str">
        <f>IF(AND($J525=$G$2,$N525&lt;&gt;"",$M525&lt;&gt;""),CONCATENATE($M525,"-",$N525))</f>
        <v>Serv. Terc.-017</v>
      </c>
      <c r="Y525" s="39">
        <f ca="1">IF(X525&lt;&gt;FALSE,MATCH(X525,OFFSET(Banco,0,0,,1),0))</f>
        <v>97</v>
      </c>
      <c r="Z525" s="1"/>
      <c r="AA525" s="133">
        <f>IF($J525=$G$2,ROUND(IF(ISNUMBER(S525),S525,IF(LEFT(S525,2)="DI",HLOOKUP(S525,DADOS!$T$29:$X$30,2,FALSE),0)),4),"")</f>
        <v>0.25</v>
      </c>
      <c r="AB525" s="2"/>
    </row>
    <row r="526" spans="1:28">
      <c r="A526" t="str">
        <f>CHOOSE(1+LOG(1+2*(J526=$C$2)+4*(J526=$D$2)+8*(J526=$E$2)+16*(J526=$F$2)+32*(J526=$G$2),2),0,1,2,3,4,"S")</f>
        <v>S</v>
      </c>
      <c r="B526">
        <f>IF(OR(A526="S",A526=0),0,IF(ISERROR(I526),H526,SMALL(H526:I526,1)))</f>
        <v>0</v>
      </c>
      <c r="C526">
        <f ca="1">IF($A526=1,OFFSET(C526,-1,0)+1,OFFSET(C526,-1,0))</f>
        <v>7</v>
      </c>
      <c r="D526">
        <f ca="1">IF($A526=1,0,IF($A526=2,OFFSET(D526,-1,0)+1,OFFSET(D526,-1,0)))</f>
        <v>2</v>
      </c>
      <c r="E526">
        <f ca="1">IF(AND($A526&lt;=2,$A526&lt;&gt;0),0,IF($A526=3,OFFSET(E526,-1,0)+1,OFFSET(E526,-1,0)))</f>
        <v>0</v>
      </c>
      <c r="F526">
        <f ca="1">IF(AND($A526&lt;=3,$A526&lt;&gt;0),0,IF($A526=4,OFFSET(F526,-1,0)+1,OFFSET(F526,-1,0)))</f>
        <v>0</v>
      </c>
      <c r="G526">
        <f ca="1">IF(AND($A526&lt;=4,$A526&lt;&gt;0),0,IF($A526="S",OFFSET(G526,-1,0)+1,OFFSET(G526,-1,0)))</f>
        <v>8</v>
      </c>
      <c r="H526">
        <f ca="1">IF(OR($A526="S",$A526=0),0,MATCH(0,OFFSET($B526,1,$A526,ROW($A$1504)-ROW($A526)),0))</f>
        <v>0</v>
      </c>
      <c r="I526">
        <f ca="1">IF(OR($A526="S",$A526=0),0,MATCH(OFFSET($B526,0,$A526)+1,OFFSET($B526,1,$A526,ROW($A$1504)-ROW($A526)),0))</f>
        <v>0</v>
      </c>
      <c r="J526" s="132" t="s">
        <v>29</v>
      </c>
      <c r="K526" s="121" t="str">
        <f ca="1">IF($A526=0,"-",CONCATENATE(C526&amp;".",IF(AND($A$5&gt;=2,$A526&gt;=2),D526&amp;".",""),IF(AND($A$5&gt;=3,$A526&gt;=3),E526&amp;".",""),IF(AND($A$5&gt;=4,$A526&gt;=4),F526&amp;".",""),IF($A526="S",G526&amp;".","")))</f>
        <v>7.2.8.</v>
      </c>
      <c r="L526" s="137" t="str">
        <f ca="1">IF(NOT(ISERROR($Y526)),IF($Y526&lt;&gt;FALSE,INDEX(Banco,$Y526,4),""),"")</f>
        <v>Cotação</v>
      </c>
      <c r="M526" s="122" t="s">
        <v>80</v>
      </c>
      <c r="N526" s="139" t="s">
        <v>294</v>
      </c>
      <c r="O526" s="137" t="str">
        <f ca="1">IF(NOT(ISERROR($Y526)),IF($Y526&lt;&gt;FALSE,INDEX(Banco,$Y526,5),""),"")</f>
        <v>KIT (massagem terapêutica)</v>
      </c>
      <c r="P526" s="138" t="str">
        <f ca="1">IF(NOT(ISERROR($Y526)),IF($Y526&lt;&gt;FALSE,INDEX(Banco,$Y526,6),""),"")</f>
        <v>KIT</v>
      </c>
      <c r="Q526" s="134">
        <v>1</v>
      </c>
      <c r="R526" s="124">
        <f ca="1">IF(NOT(ISERROR($Y526)),IF($Y526&lt;&gt;FALSE,INDEX(Banco,$Y526,7),0),0)</f>
        <v>102.94</v>
      </c>
      <c r="S526" s="136" t="s">
        <v>62</v>
      </c>
      <c r="T526" s="123">
        <f ca="1">IF($J526=$G$2,ROUND(ROUND($R526,2)*IF($R$9="Preço Unitário (R$)",1,1+$AA526),2),0)</f>
        <v>128.68</v>
      </c>
      <c r="U526" s="126">
        <f ca="1">IF($A526="S",VTOTAL1,IF($A526=0,0,ROUND(SomaAgrup,2)))</f>
        <v>128.68</v>
      </c>
      <c r="V526" s="1"/>
      <c r="W526" s="39" t="str">
        <f ca="1">IF(OR($A526=0,$A526="S",$A526&gt;CFF!$A$9),"",MAX(W$11:OFFSET(W526,-1,0))+1)</f>
        <v/>
      </c>
      <c r="X526" s="4" t="str">
        <f>IF(AND($J526=$G$2,$N526&lt;&gt;"",$M526&lt;&gt;""),CONCATENATE($M526,"-",$N526))</f>
        <v>Serv. Terc.-061</v>
      </c>
      <c r="Y526" s="39">
        <f ca="1">IF(X526&lt;&gt;FALSE,MATCH(X526,OFFSET(Banco,0,0,,1),0))</f>
        <v>141</v>
      </c>
      <c r="Z526" s="1"/>
      <c r="AA526" s="133">
        <f>IF($J526=$G$2,ROUND(IF(ISNUMBER(S526),S526,IF(LEFT(S526,2)="DI",HLOOKUP(S526,DADOS!$T$29:$X$30,2,FALSE),0)),4),"")</f>
        <v>0.25</v>
      </c>
      <c r="AB526" s="2"/>
    </row>
    <row r="527" spans="1:28">
      <c r="A527">
        <f>CHOOSE(1+LOG(1+2*(J527=$C$2)+4*(J527=$D$2)+8*(J527=$E$2)+16*(J527=$F$2)+32*(J527=$G$2),2),0,1,2,3,4,"S")</f>
        <v>2</v>
      </c>
      <c r="B527">
        <f ca="1">IF(OR(A527="S",A527=0),0,IF(ISERROR(I527),H527,SMALL(H527:I527,1)))</f>
        <v>3</v>
      </c>
      <c r="C527">
        <f ca="1">IF($A527=1,OFFSET(C527,-1,0)+1,OFFSET(C527,-1,0))</f>
        <v>7</v>
      </c>
      <c r="D527">
        <f ca="1">IF($A527=1,0,IF($A527=2,OFFSET(D527,-1,0)+1,OFFSET(D527,-1,0)))</f>
        <v>3</v>
      </c>
      <c r="E527">
        <f ca="1">IF(AND($A527&lt;=2,$A527&lt;&gt;0),0,IF($A527=3,OFFSET(E527,-1,0)+1,OFFSET(E527,-1,0)))</f>
        <v>0</v>
      </c>
      <c r="F527">
        <f ca="1">IF(AND($A527&lt;=3,$A527&lt;&gt;0),0,IF($A527=4,OFFSET(F527,-1,0)+1,OFFSET(F527,-1,0)))</f>
        <v>0</v>
      </c>
      <c r="G527">
        <f ca="1">IF(AND($A527&lt;=4,$A527&lt;&gt;0),0,IF($A527="S",OFFSET(G527,-1,0)+1,OFFSET(G527,-1,0)))</f>
        <v>0</v>
      </c>
      <c r="H527">
        <f ca="1">IF(OR($A527="S",$A527=0),0,MATCH(0,OFFSET($B527,1,$A527,ROW($A$1504)-ROW($A527)),0))</f>
        <v>114</v>
      </c>
      <c r="I527">
        <f ca="1">IF(OR($A527="S",$A527=0),0,MATCH(OFFSET($B527,0,$A527)+1,OFFSET($B527,1,$A527,ROW($A$1504)-ROW($A527)),0))</f>
        <v>3</v>
      </c>
      <c r="J527" s="132" t="s">
        <v>68</v>
      </c>
      <c r="K527" s="121" t="str">
        <f ca="1">IF($A527=0,"-",CONCATENATE(C527&amp;".",IF(AND($A$5&gt;=2,$A527&gt;=2),D527&amp;".",""),IF(AND($A$5&gt;=3,$A527&gt;=3),E527&amp;".",""),IF(AND($A$5&gt;=4,$A527&gt;=4),F527&amp;".",""),IF($A527="S",G527&amp;".","")))</f>
        <v>7.3.</v>
      </c>
      <c r="L527" s="137" t="str">
        <f ca="1">IF(NOT(ISERROR($Y527)),IF($Y527&lt;&gt;FALSE,INDEX(Banco,$Y527,4),""),"")</f>
        <v/>
      </c>
      <c r="M527" s="122"/>
      <c r="N527" s="139"/>
      <c r="O527" s="137" t="s">
        <v>384</v>
      </c>
      <c r="P527" s="138" t="str">
        <f ca="1">IF(NOT(ISERROR($Y527)),IF($Y527&lt;&gt;FALSE,INDEX(Banco,$Y527,6),""),"")</f>
        <v/>
      </c>
      <c r="Q527" s="134"/>
      <c r="R527" s="124">
        <f ca="1">IF(NOT(ISERROR($Y527)),IF($Y527&lt;&gt;FALSE,INDEX(Banco,$Y527,7),0),0)</f>
        <v>0</v>
      </c>
      <c r="S527" s="136" t="s">
        <v>62</v>
      </c>
      <c r="T527" s="123">
        <f>IF($J527=$G$2,ROUND(ROUND($R527,2)*IF($R$9="Preço Unitário (R$)",1,1+$AA527),2),0)</f>
        <v>0</v>
      </c>
      <c r="U527" s="126">
        <f ca="1">IF($A527="S",VTOTAL1,IF($A527=0,0,ROUND(SomaAgrup,2)))</f>
        <v>3427.56</v>
      </c>
      <c r="V527" s="1"/>
      <c r="W527" s="39">
        <f ca="1">IF(OR($A527=0,$A527="S",$A527&gt;CFF!$A$9),"",MAX(W$11:OFFSET(W527,-1,0))+1)</f>
        <v>44</v>
      </c>
      <c r="X527" s="4" t="b">
        <f>IF(AND($J527=$G$2,$N527&lt;&gt;"",$M527&lt;&gt;""),CONCATENATE($M527,"-",$N527))</f>
        <v>0</v>
      </c>
      <c r="Y527" s="39" t="b">
        <f ca="1">IF(X527&lt;&gt;FALSE,MATCH(X527,OFFSET(Banco,0,0,,1),0))</f>
        <v>0</v>
      </c>
      <c r="Z527" s="1"/>
      <c r="AA527" s="133" t="str">
        <f>IF($J527=$G$2,ROUND(IF(ISNUMBER(S527),S527,IF(LEFT(S527,2)="DI",HLOOKUP(S527,DADOS!$T$29:$X$30,2,FALSE),0)),4),"")</f>
        <v/>
      </c>
      <c r="AB527" s="2"/>
    </row>
    <row r="528" spans="1:28">
      <c r="A528" t="str">
        <f t="shared" si="579"/>
        <v>S</v>
      </c>
      <c r="B528">
        <f t="shared" si="580"/>
        <v>0</v>
      </c>
      <c r="C528">
        <f t="shared" ca="1" si="581"/>
        <v>7</v>
      </c>
      <c r="D528">
        <f t="shared" ca="1" si="582"/>
        <v>3</v>
      </c>
      <c r="E528">
        <f t="shared" ca="1" si="583"/>
        <v>0</v>
      </c>
      <c r="F528">
        <f t="shared" ca="1" si="584"/>
        <v>0</v>
      </c>
      <c r="G528">
        <f t="shared" ca="1" si="585"/>
        <v>1</v>
      </c>
      <c r="H528">
        <f ca="1">IF(OR($A528="S",$A528=0),0,MATCH(0,OFFSET($B528,1,$A528,ROW($A$1504)-ROW($A528)),0))</f>
        <v>0</v>
      </c>
      <c r="I528">
        <f ca="1">IF(OR($A528="S",$A528=0),0,MATCH(OFFSET($B528,0,$A528)+1,OFFSET($B528,1,$A528,ROW($A$1504)-ROW($A528)),0))</f>
        <v>0</v>
      </c>
      <c r="J528" s="132" t="s">
        <v>29</v>
      </c>
      <c r="K528" s="121" t="str">
        <f t="shared" ca="1" si="586"/>
        <v>7.3.1.</v>
      </c>
      <c r="L528" s="137" t="str">
        <f t="shared" ca="1" si="587"/>
        <v>CRESS</v>
      </c>
      <c r="M528" s="122" t="s">
        <v>78</v>
      </c>
      <c r="N528" s="139" t="s">
        <v>149</v>
      </c>
      <c r="O528" s="137" t="str">
        <f ca="1">IF(NOT(ISERROR($Y528)),IF($Y528&lt;&gt;FALSE,INDEX(Banco,$Y528,5),""),"")</f>
        <v>Responsável Técnica</v>
      </c>
      <c r="P528" s="138" t="str">
        <f t="shared" ca="1" si="588"/>
        <v>Horas</v>
      </c>
      <c r="Q528" s="134">
        <v>4</v>
      </c>
      <c r="R528" s="124">
        <f t="shared" ca="1" si="589"/>
        <v>150.28</v>
      </c>
      <c r="S528" s="136" t="s">
        <v>62</v>
      </c>
      <c r="T528" s="123">
        <f t="shared" ca="1" si="590"/>
        <v>187.85</v>
      </c>
      <c r="U528" s="126">
        <f t="shared" ca="1" si="591"/>
        <v>751.4</v>
      </c>
      <c r="V528" s="1"/>
      <c r="W528" s="39" t="str">
        <f ca="1">IF(OR($A528=0,$A528="S",$A528&gt;CFF!$A$9),"",MAX(W$11:OFFSET(W528,-1,0))+1)</f>
        <v/>
      </c>
      <c r="X528" s="4" t="str">
        <f t="shared" si="592"/>
        <v>Rec. Humanos-001</v>
      </c>
      <c r="Y528" s="39">
        <f t="shared" ca="1" si="593"/>
        <v>3</v>
      </c>
      <c r="Z528" s="1"/>
      <c r="AA528" s="133">
        <f>IF($J528=$G$2,ROUND(IF(ISNUMBER(S528),S528,IF(LEFT(S528,2)="DI",HLOOKUP(S528,DADOS!$T$29:$X$30,2,FALSE),0)),4),"")</f>
        <v>0.25</v>
      </c>
      <c r="AB528" s="2"/>
    </row>
    <row r="529" spans="1:28">
      <c r="A529" t="str">
        <f t="shared" si="579"/>
        <v>S</v>
      </c>
      <c r="B529">
        <f t="shared" si="580"/>
        <v>0</v>
      </c>
      <c r="C529">
        <f t="shared" ca="1" si="581"/>
        <v>7</v>
      </c>
      <c r="D529">
        <f t="shared" ca="1" si="582"/>
        <v>3</v>
      </c>
      <c r="E529">
        <f t="shared" ca="1" si="583"/>
        <v>0</v>
      </c>
      <c r="F529">
        <f t="shared" ca="1" si="584"/>
        <v>0</v>
      </c>
      <c r="G529">
        <f t="shared" ca="1" si="585"/>
        <v>2</v>
      </c>
      <c r="H529">
        <f ca="1">IF(OR($A529="S",$A529=0),0,MATCH(0,OFFSET($B529,1,$A529,ROW($A$1504)-ROW($A529)),0))</f>
        <v>0</v>
      </c>
      <c r="I529">
        <f ca="1">IF(OR($A529="S",$A529=0),0,MATCH(OFFSET($B529,0,$A529)+1,OFFSET($B529,1,$A529,ROW($A$1504)-ROW($A529)),0))</f>
        <v>0</v>
      </c>
      <c r="J529" s="132" t="s">
        <v>29</v>
      </c>
      <c r="K529" s="121" t="str">
        <f t="shared" ca="1" si="586"/>
        <v>7.3.2.</v>
      </c>
      <c r="L529" s="137" t="str">
        <f t="shared" ca="1" si="587"/>
        <v>CRESS</v>
      </c>
      <c r="M529" s="122" t="s">
        <v>78</v>
      </c>
      <c r="N529" s="139" t="s">
        <v>152</v>
      </c>
      <c r="O529" s="137" t="str">
        <f ca="1">IF(NOT(ISERROR($Y529)),IF($Y529&lt;&gt;FALSE,INDEX(Banco,$Y529,5),""),"")</f>
        <v>Assistente Social</v>
      </c>
      <c r="P529" s="138" t="str">
        <f t="shared" ca="1" si="588"/>
        <v>Horas</v>
      </c>
      <c r="Q529" s="134">
        <v>16</v>
      </c>
      <c r="R529" s="124">
        <f t="shared" ca="1" si="589"/>
        <v>133.81</v>
      </c>
      <c r="S529" s="136" t="s">
        <v>62</v>
      </c>
      <c r="T529" s="123">
        <f t="shared" ca="1" si="590"/>
        <v>167.26</v>
      </c>
      <c r="U529" s="126">
        <f t="shared" ca="1" si="591"/>
        <v>2676.16</v>
      </c>
      <c r="V529" s="1"/>
      <c r="W529" s="39" t="str">
        <f ca="1">IF(OR($A529=0,$A529="S",$A529&gt;CFF!$A$9),"",MAX(W$11:OFFSET(W529,-1,0))+1)</f>
        <v/>
      </c>
      <c r="X529" s="4" t="str">
        <f t="shared" si="592"/>
        <v>Rec. Humanos-002</v>
      </c>
      <c r="Y529" s="39">
        <f t="shared" ca="1" si="593"/>
        <v>4</v>
      </c>
      <c r="Z529" s="1"/>
      <c r="AA529" s="133">
        <f>IF($J529=$G$2,ROUND(IF(ISNUMBER(S529),S529,IF(LEFT(S529,2)="DI",HLOOKUP(S529,DADOS!$T$29:$X$30,2,FALSE),0)),4),"")</f>
        <v>0.25</v>
      </c>
      <c r="AB529" s="2"/>
    </row>
    <row r="530" spans="1:28" ht="25.5">
      <c r="A530">
        <f>CHOOSE(1+LOG(1+2*(J530=$C$2)+4*(J530=$D$2)+8*(J530=$E$2)+16*(J530=$F$2)+32*(J530=$G$2),2),0,1,2,3,4,"S")</f>
        <v>2</v>
      </c>
      <c r="B530">
        <f ca="1">IF(OR(A530="S",A530=0),0,IF(ISERROR(I530),H530,SMALL(H530:I530,1)))</f>
        <v>19</v>
      </c>
      <c r="C530">
        <f ca="1">IF($A530=1,OFFSET(C530,-1,0)+1,OFFSET(C530,-1,0))</f>
        <v>7</v>
      </c>
      <c r="D530">
        <f ca="1">IF($A530=1,0,IF($A530=2,OFFSET(D530,-1,0)+1,OFFSET(D530,-1,0)))</f>
        <v>4</v>
      </c>
      <c r="E530">
        <f ca="1">IF(AND($A530&lt;=2,$A530&lt;&gt;0),0,IF($A530=3,OFFSET(E530,-1,0)+1,OFFSET(E530,-1,0)))</f>
        <v>0</v>
      </c>
      <c r="F530">
        <f ca="1">IF(AND($A530&lt;=3,$A530&lt;&gt;0),0,IF($A530=4,OFFSET(F530,-1,0)+1,OFFSET(F530,-1,0)))</f>
        <v>0</v>
      </c>
      <c r="G530">
        <f ca="1">IF(AND($A530&lt;=4,$A530&lt;&gt;0),0,IF($A530="S",OFFSET(G530,-1,0)+1,OFFSET(G530,-1,0)))</f>
        <v>0</v>
      </c>
      <c r="H530">
        <f ca="1">IF(OR($A530="S",$A530=0),0,MATCH(0,OFFSET($B530,1,$A530,ROW($A$1504)-ROW($A530)),0))</f>
        <v>111</v>
      </c>
      <c r="I530">
        <f ca="1">IF(OR($A530="S",$A530=0),0,MATCH(OFFSET($B530,0,$A530)+1,OFFSET($B530,1,$A530,ROW($A$1504)-ROW($A530)),0))</f>
        <v>19</v>
      </c>
      <c r="J530" s="132" t="s">
        <v>68</v>
      </c>
      <c r="K530" s="121" t="str">
        <f ca="1">IF($A530=0,"-",CONCATENATE(C530&amp;".",IF(AND($A$5&gt;=2,$A530&gt;=2),D530&amp;".",""),IF(AND($A$5&gt;=3,$A530&gt;=3),E530&amp;".",""),IF(AND($A$5&gt;=4,$A530&gt;=4),F530&amp;".",""),IF($A530="S",G530&amp;".","")))</f>
        <v>7.4.</v>
      </c>
      <c r="L530" s="137" t="str">
        <f ca="1">IF(NOT(ISERROR($Y530)),IF($Y530&lt;&gt;FALSE,INDEX(Banco,$Y530,4),""),"")</f>
        <v/>
      </c>
      <c r="M530" s="122"/>
      <c r="N530" s="139"/>
      <c r="O530" s="137" t="s">
        <v>385</v>
      </c>
      <c r="P530" s="138" t="str">
        <f ca="1">IF(NOT(ISERROR($Y530)),IF($Y530&lt;&gt;FALSE,INDEX(Banco,$Y530,6),""),"")</f>
        <v/>
      </c>
      <c r="Q530" s="134"/>
      <c r="R530" s="124">
        <f ca="1">IF(NOT(ISERROR($Y530)),IF($Y530&lt;&gt;FALSE,INDEX(Banco,$Y530,7),0),0)</f>
        <v>0</v>
      </c>
      <c r="S530" s="136" t="s">
        <v>62</v>
      </c>
      <c r="T530" s="123">
        <f>IF($J530=$G$2,ROUND(ROUND($R530,2)*IF($R$9="Preço Unitário (R$)",1,1+$AA530),2),0)</f>
        <v>0</v>
      </c>
      <c r="U530" s="126">
        <f ca="1">IF($A530="S",VTOTAL1,IF($A530=0,0,ROUND(SomaAgrup,2)))</f>
        <v>9305.68</v>
      </c>
      <c r="V530" s="1"/>
      <c r="W530" s="39">
        <f ca="1">IF(OR($A530=0,$A530="S",$A530&gt;CFF!$A$9),"",MAX(W$11:OFFSET(W530,-1,0))+1)</f>
        <v>45</v>
      </c>
      <c r="X530" s="4" t="b">
        <f>IF(AND($J530=$G$2,$N530&lt;&gt;"",$M530&lt;&gt;""),CONCATENATE($M530,"-",$N530))</f>
        <v>0</v>
      </c>
      <c r="Y530" s="39" t="b">
        <f ca="1">IF(X530&lt;&gt;FALSE,MATCH(X530,OFFSET(Banco,0,0,,1),0))</f>
        <v>0</v>
      </c>
      <c r="Z530" s="1"/>
      <c r="AA530" s="133" t="str">
        <f>IF($J530=$G$2,ROUND(IF(ISNUMBER(S530),S530,IF(LEFT(S530,2)="DI",HLOOKUP(S530,DADOS!$T$29:$X$30,2,FALSE),0)),4),"")</f>
        <v/>
      </c>
      <c r="AB530" s="2"/>
    </row>
    <row r="531" spans="1:28">
      <c r="A531" t="str">
        <f t="shared" si="579"/>
        <v>S</v>
      </c>
      <c r="B531">
        <f t="shared" si="580"/>
        <v>0</v>
      </c>
      <c r="C531">
        <f t="shared" ca="1" si="581"/>
        <v>7</v>
      </c>
      <c r="D531">
        <f t="shared" ca="1" si="582"/>
        <v>4</v>
      </c>
      <c r="E531">
        <f t="shared" ca="1" si="583"/>
        <v>0</v>
      </c>
      <c r="F531">
        <f t="shared" ca="1" si="584"/>
        <v>0</v>
      </c>
      <c r="G531">
        <f t="shared" ca="1" si="585"/>
        <v>1</v>
      </c>
      <c r="H531">
        <f ca="1">IF(OR($A531="S",$A531=0),0,MATCH(0,OFFSET($B531,1,$A531,ROW($A$1504)-ROW($A531)),0))</f>
        <v>0</v>
      </c>
      <c r="I531">
        <f ca="1">IF(OR($A531="S",$A531=0),0,MATCH(OFFSET($B531,0,$A531)+1,OFFSET($B531,1,$A531,ROW($A$1504)-ROW($A531)),0))</f>
        <v>0</v>
      </c>
      <c r="J531" s="132" t="s">
        <v>29</v>
      </c>
      <c r="K531" s="121" t="str">
        <f t="shared" ca="1" si="586"/>
        <v>7.4.1.</v>
      </c>
      <c r="L531" s="137" t="str">
        <f t="shared" ca="1" si="587"/>
        <v>CRESS</v>
      </c>
      <c r="M531" s="122" t="s">
        <v>78</v>
      </c>
      <c r="N531" s="139" t="s">
        <v>149</v>
      </c>
      <c r="O531" s="137" t="str">
        <f ca="1">IF(NOT(ISERROR($Y531)),IF($Y531&lt;&gt;FALSE,INDEX(Banco,$Y531,5),""),"")</f>
        <v>Responsável Técnica</v>
      </c>
      <c r="P531" s="138" t="str">
        <f t="shared" ca="1" si="588"/>
        <v>Horas</v>
      </c>
      <c r="Q531" s="134">
        <v>12</v>
      </c>
      <c r="R531" s="124">
        <f t="shared" ca="1" si="589"/>
        <v>150.28</v>
      </c>
      <c r="S531" s="136" t="s">
        <v>62</v>
      </c>
      <c r="T531" s="123">
        <f t="shared" ca="1" si="590"/>
        <v>187.85</v>
      </c>
      <c r="U531" s="126">
        <f t="shared" ca="1" si="591"/>
        <v>2254.1999999999998</v>
      </c>
      <c r="V531" s="1"/>
      <c r="W531" s="39" t="str">
        <f ca="1">IF(OR($A531=0,$A531="S",$A531&gt;CFF!$A$9),"",MAX(W$11:OFFSET(W531,-1,0))+1)</f>
        <v/>
      </c>
      <c r="X531" s="4" t="str">
        <f t="shared" si="592"/>
        <v>Rec. Humanos-001</v>
      </c>
      <c r="Y531" s="39">
        <f t="shared" ca="1" si="593"/>
        <v>3</v>
      </c>
      <c r="Z531" s="1"/>
      <c r="AA531" s="133">
        <f>IF($J531=$G$2,ROUND(IF(ISNUMBER(S531),S531,IF(LEFT(S531,2)="DI",HLOOKUP(S531,DADOS!$T$29:$X$30,2,FALSE),0)),4),"")</f>
        <v>0.25</v>
      </c>
      <c r="AB531" s="2"/>
    </row>
    <row r="532" spans="1:28">
      <c r="A532" t="str">
        <f t="shared" ref="A532:A541" si="595">CHOOSE(1+LOG(1+2*(J532=$C$2)+4*(J532=$D$2)+8*(J532=$E$2)+16*(J532=$F$2)+32*(J532=$G$2),2),0,1,2,3,4,"S")</f>
        <v>S</v>
      </c>
      <c r="B532">
        <f t="shared" ref="B532:B541" si="596">IF(OR(A532="S",A532=0),0,IF(ISERROR(I532),H532,SMALL(H532:I532,1)))</f>
        <v>0</v>
      </c>
      <c r="C532">
        <f t="shared" ref="C532:C546" ca="1" si="597">IF($A532=1,OFFSET(C532,-1,0)+1,OFFSET(C532,-1,0))</f>
        <v>7</v>
      </c>
      <c r="D532">
        <f t="shared" ref="D532:D546" ca="1" si="598">IF($A532=1,0,IF($A532=2,OFFSET(D532,-1,0)+1,OFFSET(D532,-1,0)))</f>
        <v>4</v>
      </c>
      <c r="E532">
        <f t="shared" ref="E532:E546" ca="1" si="599">IF(AND($A532&lt;=2,$A532&lt;&gt;0),0,IF($A532=3,OFFSET(E532,-1,0)+1,OFFSET(E532,-1,0)))</f>
        <v>0</v>
      </c>
      <c r="F532">
        <f t="shared" ref="F532:F546" ca="1" si="600">IF(AND($A532&lt;=3,$A532&lt;&gt;0),0,IF($A532=4,OFFSET(F532,-1,0)+1,OFFSET(F532,-1,0)))</f>
        <v>0</v>
      </c>
      <c r="G532">
        <f t="shared" ref="G532:G546" ca="1" si="601">IF(AND($A532&lt;=4,$A532&lt;&gt;0),0,IF($A532="S",OFFSET(G532,-1,0)+1,OFFSET(G532,-1,0)))</f>
        <v>2</v>
      </c>
      <c r="H532">
        <f ca="1">IF(OR($A532="S",$A532=0),0,MATCH(0,OFFSET($B532,1,$A532,ROW($A$1504)-ROW($A532)),0))</f>
        <v>0</v>
      </c>
      <c r="I532">
        <f ca="1">IF(OR($A532="S",$A532=0),0,MATCH(OFFSET($B532,0,$A532)+1,OFFSET($B532,1,$A532,ROW($A$1504)-ROW($A532)),0))</f>
        <v>0</v>
      </c>
      <c r="J532" s="132" t="s">
        <v>29</v>
      </c>
      <c r="K532" s="121" t="str">
        <f t="shared" ref="K532:K541" ca="1" si="602">IF($A532=0,"-",CONCATENATE(C532&amp;".",IF(AND($A$5&gt;=2,$A532&gt;=2),D532&amp;".",""),IF(AND($A$5&gt;=3,$A532&gt;=3),E532&amp;".",""),IF(AND($A$5&gt;=4,$A532&gt;=4),F532&amp;".",""),IF($A532="S",G532&amp;".","")))</f>
        <v>7.4.2.</v>
      </c>
      <c r="L532" s="137" t="str">
        <f t="shared" ref="L532:L546" ca="1" si="603">IF(NOT(ISERROR($Y532)),IF($Y532&lt;&gt;FALSE,INDEX(Banco,$Y532,4),""),"")</f>
        <v>CRESS</v>
      </c>
      <c r="M532" s="122" t="s">
        <v>78</v>
      </c>
      <c r="N532" s="139" t="s">
        <v>152</v>
      </c>
      <c r="O532" s="137" t="str">
        <f t="shared" ref="O532:O546" ca="1" si="604">IF(NOT(ISERROR($Y532)),IF($Y532&lt;&gt;FALSE,INDEX(Banco,$Y532,5),""),"")</f>
        <v>Assistente Social</v>
      </c>
      <c r="P532" s="138" t="str">
        <f t="shared" ref="P532:P546" ca="1" si="605">IF(NOT(ISERROR($Y532)),IF($Y532&lt;&gt;FALSE,INDEX(Banco,$Y532,6),""),"")</f>
        <v>Horas</v>
      </c>
      <c r="Q532" s="134">
        <v>10</v>
      </c>
      <c r="R532" s="124">
        <f t="shared" ref="R532:R546" ca="1" si="606">IF(NOT(ISERROR($Y532)),IF($Y532&lt;&gt;FALSE,INDEX(Banco,$Y532,7),0),0)</f>
        <v>133.81</v>
      </c>
      <c r="S532" s="136" t="s">
        <v>62</v>
      </c>
      <c r="T532" s="123">
        <f t="shared" ref="T532:T546" ca="1" si="607">IF($J532=$G$2,ROUND(ROUND($R532,2)*IF($R$9="Preço Unitário (R$)",1,1+$AA532),2),0)</f>
        <v>167.26</v>
      </c>
      <c r="U532" s="126">
        <f t="shared" ref="U532:U546" ca="1" si="608">IF($A532="S",VTOTAL1,IF($A532=0,0,ROUND(SomaAgrup,2)))</f>
        <v>1672.6</v>
      </c>
      <c r="V532" s="1"/>
      <c r="W532" s="39" t="str">
        <f ca="1">IF(OR($A532=0,$A532="S",$A532&gt;CFF!$A$9),"",MAX(W$11:OFFSET(W532,-1,0))+1)</f>
        <v/>
      </c>
      <c r="X532" s="4" t="str">
        <f t="shared" ref="X532:X546" si="609">IF(AND($J532=$G$2,$N532&lt;&gt;"",$M532&lt;&gt;""),CONCATENATE($M532,"-",$N532))</f>
        <v>Rec. Humanos-002</v>
      </c>
      <c r="Y532" s="39">
        <f t="shared" ref="Y532:Y541" ca="1" si="610">IF(X532&lt;&gt;FALSE,MATCH(X532,OFFSET(Banco,0,0,,1),0))</f>
        <v>4</v>
      </c>
      <c r="Z532" s="1"/>
      <c r="AA532" s="133">
        <f>IF($J532=$G$2,ROUND(IF(ISNUMBER(S532),S532,IF(LEFT(S532,2)="DI",HLOOKUP(S532,DADOS!$T$29:$X$30,2,FALSE),0)),4),"")</f>
        <v>0.25</v>
      </c>
      <c r="AB532" s="2"/>
    </row>
    <row r="533" spans="1:28">
      <c r="A533" t="str">
        <f t="shared" si="595"/>
        <v>S</v>
      </c>
      <c r="B533">
        <f t="shared" si="596"/>
        <v>0</v>
      </c>
      <c r="C533">
        <f t="shared" ca="1" si="597"/>
        <v>7</v>
      </c>
      <c r="D533">
        <f t="shared" ca="1" si="598"/>
        <v>4</v>
      </c>
      <c r="E533">
        <f t="shared" ca="1" si="599"/>
        <v>0</v>
      </c>
      <c r="F533">
        <f t="shared" ca="1" si="600"/>
        <v>0</v>
      </c>
      <c r="G533">
        <f t="shared" ca="1" si="601"/>
        <v>3</v>
      </c>
      <c r="H533">
        <f ca="1">IF(OR($A533="S",$A533=0),0,MATCH(0,OFFSET($B533,1,$A533,ROW($A$1504)-ROW($A533)),0))</f>
        <v>0</v>
      </c>
      <c r="I533">
        <f ca="1">IF(OR($A533="S",$A533=0),0,MATCH(OFFSET($B533,0,$A533)+1,OFFSET($B533,1,$A533,ROW($A$1504)-ROW($A533)),0))</f>
        <v>0</v>
      </c>
      <c r="J533" s="132" t="s">
        <v>29</v>
      </c>
      <c r="K533" s="121" t="str">
        <f t="shared" ca="1" si="602"/>
        <v>7.4.3.</v>
      </c>
      <c r="L533" s="137" t="str">
        <f t="shared" ca="1" si="603"/>
        <v>Cotação</v>
      </c>
      <c r="M533" s="122" t="s">
        <v>78</v>
      </c>
      <c r="N533" s="139" t="s">
        <v>151</v>
      </c>
      <c r="O533" s="137" t="str">
        <f t="shared" ca="1" si="604"/>
        <v xml:space="preserve">Administrador (Técnico de Apoio) </v>
      </c>
      <c r="P533" s="138" t="str">
        <f t="shared" ca="1" si="605"/>
        <v>Horas</v>
      </c>
      <c r="Q533" s="134">
        <v>4</v>
      </c>
      <c r="R533" s="124">
        <f t="shared" ca="1" si="606"/>
        <v>103.65</v>
      </c>
      <c r="S533" s="136" t="s">
        <v>62</v>
      </c>
      <c r="T533" s="123">
        <f t="shared" ca="1" si="607"/>
        <v>129.56</v>
      </c>
      <c r="U533" s="126">
        <f t="shared" ca="1" si="608"/>
        <v>518.24</v>
      </c>
      <c r="V533" s="1"/>
      <c r="W533" s="39" t="str">
        <f ca="1">IF(OR($A533=0,$A533="S",$A533&gt;CFF!$A$9),"",MAX(W$11:OFFSET(W533,-1,0))+1)</f>
        <v/>
      </c>
      <c r="X533" s="4" t="str">
        <f t="shared" si="609"/>
        <v>Rec. Humanos-003</v>
      </c>
      <c r="Y533" s="39">
        <f t="shared" ca="1" si="610"/>
        <v>5</v>
      </c>
      <c r="Z533" s="1"/>
      <c r="AA533" s="133">
        <f>IF($J533=$G$2,ROUND(IF(ISNUMBER(S533),S533,IF(LEFT(S533,2)="DI",HLOOKUP(S533,DADOS!$T$29:$X$30,2,FALSE),0)),4),"")</f>
        <v>0.25</v>
      </c>
      <c r="AB533" s="2"/>
    </row>
    <row r="534" spans="1:28">
      <c r="A534" t="str">
        <f t="shared" si="595"/>
        <v>S</v>
      </c>
      <c r="B534">
        <f t="shared" si="596"/>
        <v>0</v>
      </c>
      <c r="C534">
        <f t="shared" ca="1" si="597"/>
        <v>7</v>
      </c>
      <c r="D534">
        <f t="shared" ca="1" si="598"/>
        <v>4</v>
      </c>
      <c r="E534">
        <f t="shared" ca="1" si="599"/>
        <v>0</v>
      </c>
      <c r="F534">
        <f t="shared" ca="1" si="600"/>
        <v>0</v>
      </c>
      <c r="G534">
        <f t="shared" ca="1" si="601"/>
        <v>4</v>
      </c>
      <c r="H534">
        <f ca="1">IF(OR($A534="S",$A534=0),0,MATCH(0,OFFSET($B534,1,$A534,ROW($A$1504)-ROW($A534)),0))</f>
        <v>0</v>
      </c>
      <c r="I534">
        <f ca="1">IF(OR($A534="S",$A534=0),0,MATCH(OFFSET($B534,0,$A534)+1,OFFSET($B534,1,$A534,ROW($A$1504)-ROW($A534)),0))</f>
        <v>0</v>
      </c>
      <c r="J534" s="132" t="s">
        <v>29</v>
      </c>
      <c r="K534" s="121" t="str">
        <f t="shared" ca="1" si="602"/>
        <v>7.4.4.</v>
      </c>
      <c r="L534" s="137" t="str">
        <f t="shared" ca="1" si="603"/>
        <v>SINE</v>
      </c>
      <c r="M534" s="122" t="s">
        <v>78</v>
      </c>
      <c r="N534" s="139" t="s">
        <v>153</v>
      </c>
      <c r="O534" s="137" t="str">
        <f t="shared" ca="1" si="604"/>
        <v>Estagiários</v>
      </c>
      <c r="P534" s="138" t="str">
        <f t="shared" ca="1" si="605"/>
        <v>Horas</v>
      </c>
      <c r="Q534" s="134">
        <v>22</v>
      </c>
      <c r="R534" s="124">
        <f t="shared" ca="1" si="606"/>
        <v>9.7899999999999991</v>
      </c>
      <c r="S534" s="136" t="s">
        <v>62</v>
      </c>
      <c r="T534" s="123">
        <f t="shared" ca="1" si="607"/>
        <v>12.24</v>
      </c>
      <c r="U534" s="126">
        <f t="shared" ca="1" si="608"/>
        <v>269.27999999999997</v>
      </c>
      <c r="V534" s="1"/>
      <c r="W534" s="39" t="str">
        <f ca="1">IF(OR($A534=0,$A534="S",$A534&gt;CFF!$A$9),"",MAX(W$11:OFFSET(W534,-1,0))+1)</f>
        <v/>
      </c>
      <c r="X534" s="4" t="str">
        <f t="shared" si="609"/>
        <v>Rec. Humanos-004</v>
      </c>
      <c r="Y534" s="39">
        <f t="shared" ca="1" si="610"/>
        <v>6</v>
      </c>
      <c r="Z534" s="1"/>
      <c r="AA534" s="133">
        <f>IF($J534=$G$2,ROUND(IF(ISNUMBER(S534),S534,IF(LEFT(S534,2)="DI",HLOOKUP(S534,DADOS!$T$29:$X$30,2,FALSE),0)),4),"")</f>
        <v>0.25</v>
      </c>
      <c r="AB534" s="2"/>
    </row>
    <row r="535" spans="1:28">
      <c r="A535" t="str">
        <f t="shared" si="595"/>
        <v>S</v>
      </c>
      <c r="B535">
        <f t="shared" si="596"/>
        <v>0</v>
      </c>
      <c r="C535">
        <f t="shared" ca="1" si="597"/>
        <v>7</v>
      </c>
      <c r="D535">
        <f t="shared" ca="1" si="598"/>
        <v>4</v>
      </c>
      <c r="E535">
        <f t="shared" ca="1" si="599"/>
        <v>0</v>
      </c>
      <c r="F535">
        <f t="shared" ca="1" si="600"/>
        <v>0</v>
      </c>
      <c r="G535">
        <f t="shared" ca="1" si="601"/>
        <v>5</v>
      </c>
      <c r="H535">
        <f ca="1">IF(OR($A535="S",$A535=0),0,MATCH(0,OFFSET($B535,1,$A535,ROW($A$1504)-ROW($A535)),0))</f>
        <v>0</v>
      </c>
      <c r="I535">
        <f ca="1">IF(OR($A535="S",$A535=0),0,MATCH(OFFSET($B535,0,$A535)+1,OFFSET($B535,1,$A535,ROW($A$1504)-ROW($A535)),0))</f>
        <v>0</v>
      </c>
      <c r="J535" s="132" t="s">
        <v>29</v>
      </c>
      <c r="K535" s="121" t="str">
        <f t="shared" ca="1" si="602"/>
        <v>7.4.5.</v>
      </c>
      <c r="L535" s="137" t="str">
        <f t="shared" ca="1" si="603"/>
        <v>Cotação</v>
      </c>
      <c r="M535" s="122" t="s">
        <v>80</v>
      </c>
      <c r="N535" s="139" t="s">
        <v>149</v>
      </c>
      <c r="O535" s="137" t="str">
        <f t="shared" ca="1" si="604"/>
        <v>Fotocópias</v>
      </c>
      <c r="P535" s="138" t="str">
        <f t="shared" ca="1" si="605"/>
        <v>Unidade</v>
      </c>
      <c r="Q535" s="134">
        <v>125</v>
      </c>
      <c r="R535" s="124">
        <f t="shared" ca="1" si="606"/>
        <v>0.3</v>
      </c>
      <c r="S535" s="136" t="s">
        <v>62</v>
      </c>
      <c r="T535" s="123">
        <f t="shared" ca="1" si="607"/>
        <v>0.38</v>
      </c>
      <c r="U535" s="126">
        <f t="shared" ca="1" si="608"/>
        <v>47.5</v>
      </c>
      <c r="V535" s="1"/>
      <c r="W535" s="39" t="str">
        <f ca="1">IF(OR($A535=0,$A535="S",$A535&gt;CFF!$A$9),"",MAX(W$11:OFFSET(W535,-1,0))+1)</f>
        <v/>
      </c>
      <c r="X535" s="4" t="str">
        <f t="shared" si="609"/>
        <v>Serv. Terc.-001</v>
      </c>
      <c r="Y535" s="39">
        <f t="shared" ca="1" si="610"/>
        <v>81</v>
      </c>
      <c r="Z535" s="1"/>
      <c r="AA535" s="133">
        <f>IF($J535=$G$2,ROUND(IF(ISNUMBER(S535),S535,IF(LEFT(S535,2)="DI",HLOOKUP(S535,DADOS!$T$29:$X$30,2,FALSE),0)),4),"")</f>
        <v>0.25</v>
      </c>
      <c r="AB535" s="2"/>
    </row>
    <row r="536" spans="1:28">
      <c r="A536" t="str">
        <f>CHOOSE(1+LOG(1+2*(J536=$C$2)+4*(J536=$D$2)+8*(J536=$E$2)+16*(J536=$F$2)+32*(J536=$G$2),2),0,1,2,3,4,"S")</f>
        <v>S</v>
      </c>
      <c r="B536">
        <f>IF(OR(A536="S",A536=0),0,IF(ISERROR(I536),H536,SMALL(H536:I536,1)))</f>
        <v>0</v>
      </c>
      <c r="C536">
        <f ca="1">IF($A536=1,OFFSET(C536,-1,0)+1,OFFSET(C536,-1,0))</f>
        <v>7</v>
      </c>
      <c r="D536">
        <f ca="1">IF($A536=1,0,IF($A536=2,OFFSET(D536,-1,0)+1,OFFSET(D536,-1,0)))</f>
        <v>4</v>
      </c>
      <c r="E536">
        <f ca="1">IF(AND($A536&lt;=2,$A536&lt;&gt;0),0,IF($A536=3,OFFSET(E536,-1,0)+1,OFFSET(E536,-1,0)))</f>
        <v>0</v>
      </c>
      <c r="F536">
        <f ca="1">IF(AND($A536&lt;=3,$A536&lt;&gt;0),0,IF($A536=4,OFFSET(F536,-1,0)+1,OFFSET(F536,-1,0)))</f>
        <v>0</v>
      </c>
      <c r="G536">
        <f ca="1">IF(AND($A536&lt;=4,$A536&lt;&gt;0),0,IF($A536="S",OFFSET(G536,-1,0)+1,OFFSET(G536,-1,0)))</f>
        <v>6</v>
      </c>
      <c r="H536">
        <f ca="1">IF(OR($A536="S",$A536=0),0,MATCH(0,OFFSET($B536,1,$A536,ROW($A$1504)-ROW($A536)),0))</f>
        <v>0</v>
      </c>
      <c r="I536">
        <f ca="1">IF(OR($A536="S",$A536=0),0,MATCH(OFFSET($B536,0,$A536)+1,OFFSET($B536,1,$A536,ROW($A$1504)-ROW($A536)),0))</f>
        <v>0</v>
      </c>
      <c r="J536" s="132" t="s">
        <v>29</v>
      </c>
      <c r="K536" s="121" t="str">
        <f ca="1">IF($A536=0,"-",CONCATENATE(C536&amp;".",IF(AND($A$5&gt;=2,$A536&gt;=2),D536&amp;".",""),IF(AND($A$5&gt;=3,$A536&gt;=3),E536&amp;".",""),IF(AND($A$5&gt;=4,$A536&gt;=4),F536&amp;".",""),IF($A536="S",G536&amp;".","")))</f>
        <v>7.4.6.</v>
      </c>
      <c r="L536" s="137" t="str">
        <f ca="1">IF(NOT(ISERROR($Y536)),IF($Y536&lt;&gt;FALSE,INDEX(Banco,$Y536,4),""),"")</f>
        <v>Cotação</v>
      </c>
      <c r="M536" s="122" t="s">
        <v>80</v>
      </c>
      <c r="N536" s="139" t="s">
        <v>256</v>
      </c>
      <c r="O536" s="137" t="str">
        <f ca="1">IF(NOT(ISERROR($Y536)),IF($Y536&lt;&gt;FALSE,INDEX(Banco,$Y536,5),""),"")</f>
        <v>Instrutor/Monitor (Educação Fisíca)</v>
      </c>
      <c r="P536" s="138" t="str">
        <f ca="1">IF(NOT(ISERROR($Y536)),IF($Y536&lt;&gt;FALSE,INDEX(Banco,$Y536,6),""),"")</f>
        <v>Horas</v>
      </c>
      <c r="Q536" s="134">
        <v>3</v>
      </c>
      <c r="R536" s="124">
        <f ca="1">IF(NOT(ISERROR($Y536)),IF($Y536&lt;&gt;FALSE,INDEX(Banco,$Y536,7),0),0)</f>
        <v>100</v>
      </c>
      <c r="S536" s="136" t="s">
        <v>62</v>
      </c>
      <c r="T536" s="123">
        <f ca="1">IF($J536=$G$2,ROUND(ROUND($R536,2)*IF($R$9="Preço Unitário (R$)",1,1+$AA536),2),0)</f>
        <v>125</v>
      </c>
      <c r="U536" s="126">
        <f ca="1">IF($A536="S",VTOTAL1,IF($A536=0,0,ROUND(SomaAgrup,2)))</f>
        <v>375</v>
      </c>
      <c r="V536" s="1"/>
      <c r="W536" s="39" t="str">
        <f ca="1">IF(OR($A536=0,$A536="S",$A536&gt;CFF!$A$9),"",MAX(W$11:OFFSET(W536,-1,0))+1)</f>
        <v/>
      </c>
      <c r="X536" s="4" t="str">
        <f>IF(AND($J536=$G$2,$N536&lt;&gt;"",$M536&lt;&gt;""),CONCATENATE($M536,"-",$N536))</f>
        <v>Serv. Terc.-017</v>
      </c>
      <c r="Y536" s="39">
        <f ca="1">IF(X536&lt;&gt;FALSE,MATCH(X536,OFFSET(Banco,0,0,,1),0))</f>
        <v>97</v>
      </c>
      <c r="Z536" s="1"/>
      <c r="AA536" s="133">
        <f>IF($J536=$G$2,ROUND(IF(ISNUMBER(S536),S536,IF(LEFT(S536,2)="DI",HLOOKUP(S536,DADOS!$T$29:$X$30,2,FALSE),0)),4),"")</f>
        <v>0.25</v>
      </c>
      <c r="AB536" s="2"/>
    </row>
    <row r="537" spans="1:28">
      <c r="A537" t="str">
        <f t="shared" si="595"/>
        <v>S</v>
      </c>
      <c r="B537">
        <f t="shared" si="596"/>
        <v>0</v>
      </c>
      <c r="C537">
        <f t="shared" ca="1" si="597"/>
        <v>7</v>
      </c>
      <c r="D537">
        <f t="shared" ca="1" si="598"/>
        <v>4</v>
      </c>
      <c r="E537">
        <f t="shared" ca="1" si="599"/>
        <v>0</v>
      </c>
      <c r="F537">
        <f t="shared" ca="1" si="600"/>
        <v>0</v>
      </c>
      <c r="G537">
        <f t="shared" ca="1" si="601"/>
        <v>7</v>
      </c>
      <c r="H537">
        <f ca="1">IF(OR($A537="S",$A537=0),0,MATCH(0,OFFSET($B537,1,$A537,ROW($A$1504)-ROW($A537)),0))</f>
        <v>0</v>
      </c>
      <c r="I537">
        <f ca="1">IF(OR($A537="S",$A537=0),0,MATCH(OFFSET($B537,0,$A537)+1,OFFSET($B537,1,$A537,ROW($A$1504)-ROW($A537)),0))</f>
        <v>0</v>
      </c>
      <c r="J537" s="132" t="s">
        <v>29</v>
      </c>
      <c r="K537" s="121" t="str">
        <f t="shared" ca="1" si="602"/>
        <v>7.4.7.</v>
      </c>
      <c r="L537" s="137" t="str">
        <f t="shared" ca="1" si="603"/>
        <v>Cotação</v>
      </c>
      <c r="M537" s="122" t="s">
        <v>80</v>
      </c>
      <c r="N537" s="139" t="s">
        <v>152</v>
      </c>
      <c r="O537" s="137" t="str">
        <f t="shared" ca="1" si="604"/>
        <v>Carro de som com gravação de vinheta</v>
      </c>
      <c r="P537" s="138" t="str">
        <f t="shared" ca="1" si="605"/>
        <v>Horas</v>
      </c>
      <c r="Q537" s="134">
        <v>3</v>
      </c>
      <c r="R537" s="124">
        <f t="shared" ca="1" si="606"/>
        <v>200</v>
      </c>
      <c r="S537" s="136" t="s">
        <v>62</v>
      </c>
      <c r="T537" s="123">
        <f t="shared" ca="1" si="607"/>
        <v>250</v>
      </c>
      <c r="U537" s="126">
        <f t="shared" ca="1" si="608"/>
        <v>750</v>
      </c>
      <c r="V537" s="1"/>
      <c r="W537" s="39" t="str">
        <f ca="1">IF(OR($A537=0,$A537="S",$A537&gt;CFF!$A$9),"",MAX(W$11:OFFSET(W537,-1,0))+1)</f>
        <v/>
      </c>
      <c r="X537" s="4" t="str">
        <f t="shared" si="609"/>
        <v>Serv. Terc.-002</v>
      </c>
      <c r="Y537" s="39">
        <f t="shared" ca="1" si="610"/>
        <v>82</v>
      </c>
      <c r="Z537" s="1"/>
      <c r="AA537" s="133">
        <f>IF($J537=$G$2,ROUND(IF(ISNUMBER(S537),S537,IF(LEFT(S537,2)="DI",HLOOKUP(S537,DADOS!$T$29:$X$30,2,FALSE),0)),4),"")</f>
        <v>0.25</v>
      </c>
      <c r="AB537" s="2"/>
    </row>
    <row r="538" spans="1:28">
      <c r="A538" t="str">
        <f t="shared" si="595"/>
        <v>S</v>
      </c>
      <c r="B538">
        <f t="shared" si="596"/>
        <v>0</v>
      </c>
      <c r="C538">
        <f t="shared" ca="1" si="597"/>
        <v>7</v>
      </c>
      <c r="D538">
        <f t="shared" ca="1" si="598"/>
        <v>4</v>
      </c>
      <c r="E538">
        <f t="shared" ca="1" si="599"/>
        <v>0</v>
      </c>
      <c r="F538">
        <f t="shared" ca="1" si="600"/>
        <v>0</v>
      </c>
      <c r="G538">
        <f t="shared" ca="1" si="601"/>
        <v>8</v>
      </c>
      <c r="H538">
        <f ca="1">IF(OR($A538="S",$A538=0),0,MATCH(0,OFFSET($B538,1,$A538,ROW($A$1504)-ROW($A538)),0))</f>
        <v>0</v>
      </c>
      <c r="I538">
        <f ca="1">IF(OR($A538="S",$A538=0),0,MATCH(OFFSET($B538,0,$A538)+1,OFFSET($B538,1,$A538,ROW($A$1504)-ROW($A538)),0))</f>
        <v>0</v>
      </c>
      <c r="J538" s="132" t="s">
        <v>29</v>
      </c>
      <c r="K538" s="121" t="str">
        <f t="shared" ca="1" si="602"/>
        <v>7.4.8.</v>
      </c>
      <c r="L538" s="137" t="str">
        <f t="shared" ca="1" si="603"/>
        <v>Cotação</v>
      </c>
      <c r="M538" s="122" t="s">
        <v>80</v>
      </c>
      <c r="N538" s="139" t="s">
        <v>154</v>
      </c>
      <c r="O538" s="137" t="str">
        <f t="shared" ca="1" si="604"/>
        <v>Locação de caixa térmica</v>
      </c>
      <c r="P538" s="138" t="str">
        <f t="shared" ca="1" si="605"/>
        <v>Unidade</v>
      </c>
      <c r="Q538" s="134">
        <v>2</v>
      </c>
      <c r="R538" s="124">
        <f t="shared" ca="1" si="606"/>
        <v>40</v>
      </c>
      <c r="S538" s="136" t="s">
        <v>62</v>
      </c>
      <c r="T538" s="123">
        <f t="shared" ca="1" si="607"/>
        <v>50</v>
      </c>
      <c r="U538" s="126">
        <f t="shared" ca="1" si="608"/>
        <v>100</v>
      </c>
      <c r="V538" s="1"/>
      <c r="W538" s="39" t="str">
        <f ca="1">IF(OR($A538=0,$A538="S",$A538&gt;CFF!$A$9),"",MAX(W$11:OFFSET(W538,-1,0))+1)</f>
        <v/>
      </c>
      <c r="X538" s="4" t="str">
        <f t="shared" si="609"/>
        <v>Serv. Terc.-005</v>
      </c>
      <c r="Y538" s="39">
        <f t="shared" ca="1" si="610"/>
        <v>85</v>
      </c>
      <c r="Z538" s="1"/>
      <c r="AA538" s="133">
        <f>IF($J538=$G$2,ROUND(IF(ISNUMBER(S538),S538,IF(LEFT(S538,2)="DI",HLOOKUP(S538,DADOS!$T$29:$X$30,2,FALSE),0)),4),"")</f>
        <v>0.25</v>
      </c>
      <c r="AB538" s="2"/>
    </row>
    <row r="539" spans="1:28">
      <c r="A539" t="str">
        <f t="shared" si="595"/>
        <v>S</v>
      </c>
      <c r="B539">
        <f t="shared" si="596"/>
        <v>0</v>
      </c>
      <c r="C539">
        <f t="shared" ca="1" si="597"/>
        <v>7</v>
      </c>
      <c r="D539">
        <f t="shared" ca="1" si="598"/>
        <v>4</v>
      </c>
      <c r="E539">
        <f t="shared" ca="1" si="599"/>
        <v>0</v>
      </c>
      <c r="F539">
        <f t="shared" ca="1" si="600"/>
        <v>0</v>
      </c>
      <c r="G539">
        <f t="shared" ca="1" si="601"/>
        <v>9</v>
      </c>
      <c r="H539">
        <f ca="1">IF(OR($A539="S",$A539=0),0,MATCH(0,OFFSET($B539,1,$A539,ROW($A$1504)-ROW($A539)),0))</f>
        <v>0</v>
      </c>
      <c r="I539">
        <f ca="1">IF(OR($A539="S",$A539=0),0,MATCH(OFFSET($B539,0,$A539)+1,OFFSET($B539,1,$A539,ROW($A$1504)-ROW($A539)),0))</f>
        <v>0</v>
      </c>
      <c r="J539" s="132" t="s">
        <v>29</v>
      </c>
      <c r="K539" s="121" t="str">
        <f t="shared" ca="1" si="602"/>
        <v>7.4.9.</v>
      </c>
      <c r="L539" s="137" t="str">
        <f t="shared" ca="1" si="603"/>
        <v>Cotação</v>
      </c>
      <c r="M539" s="122" t="s">
        <v>80</v>
      </c>
      <c r="N539" s="139" t="s">
        <v>157</v>
      </c>
      <c r="O539" s="137" t="str">
        <f t="shared" ca="1" si="604"/>
        <v>Locação de pula-pula com monitor</v>
      </c>
      <c r="P539" s="138" t="str">
        <f t="shared" ca="1" si="605"/>
        <v>Unidade</v>
      </c>
      <c r="Q539" s="134">
        <v>2</v>
      </c>
      <c r="R539" s="124">
        <f t="shared" ca="1" si="606"/>
        <v>220</v>
      </c>
      <c r="S539" s="136" t="s">
        <v>62</v>
      </c>
      <c r="T539" s="123">
        <f t="shared" ca="1" si="607"/>
        <v>275</v>
      </c>
      <c r="U539" s="126">
        <f t="shared" ca="1" si="608"/>
        <v>550</v>
      </c>
      <c r="V539" s="1"/>
      <c r="W539" s="39" t="str">
        <f ca="1">IF(OR($A539=0,$A539="S",$A539&gt;CFF!$A$9),"",MAX(W$11:OFFSET(W539,-1,0))+1)</f>
        <v/>
      </c>
      <c r="X539" s="4" t="str">
        <f t="shared" si="609"/>
        <v>Serv. Terc.-008</v>
      </c>
      <c r="Y539" s="39">
        <f t="shared" ca="1" si="610"/>
        <v>88</v>
      </c>
      <c r="Z539" s="1"/>
      <c r="AA539" s="133">
        <f>IF($J539=$G$2,ROUND(IF(ISNUMBER(S539),S539,IF(LEFT(S539,2)="DI",HLOOKUP(S539,DADOS!$T$29:$X$30,2,FALSE),0)),4),"")</f>
        <v>0.25</v>
      </c>
      <c r="AB539" s="2"/>
    </row>
    <row r="540" spans="1:28">
      <c r="A540" t="str">
        <f t="shared" si="595"/>
        <v>S</v>
      </c>
      <c r="B540">
        <f t="shared" si="596"/>
        <v>0</v>
      </c>
      <c r="C540">
        <f t="shared" ca="1" si="597"/>
        <v>7</v>
      </c>
      <c r="D540">
        <f t="shared" ca="1" si="598"/>
        <v>4</v>
      </c>
      <c r="E540">
        <f t="shared" ca="1" si="599"/>
        <v>0</v>
      </c>
      <c r="F540">
        <f t="shared" ca="1" si="600"/>
        <v>0</v>
      </c>
      <c r="G540">
        <f t="shared" ca="1" si="601"/>
        <v>10</v>
      </c>
      <c r="H540">
        <f ca="1">IF(OR($A540="S",$A540=0),0,MATCH(0,OFFSET($B540,1,$A540,ROW($A$1504)-ROW($A540)),0))</f>
        <v>0</v>
      </c>
      <c r="I540">
        <f ca="1">IF(OR($A540="S",$A540=0),0,MATCH(OFFSET($B540,0,$A540)+1,OFFSET($B540,1,$A540,ROW($A$1504)-ROW($A540)),0))</f>
        <v>0</v>
      </c>
      <c r="J540" s="132" t="s">
        <v>29</v>
      </c>
      <c r="K540" s="121" t="str">
        <f t="shared" ca="1" si="602"/>
        <v>7.4.10.</v>
      </c>
      <c r="L540" s="137" t="str">
        <f t="shared" ca="1" si="603"/>
        <v xml:space="preserve">Cotação </v>
      </c>
      <c r="M540" s="122" t="s">
        <v>80</v>
      </c>
      <c r="N540" s="139" t="s">
        <v>160</v>
      </c>
      <c r="O540" s="137" t="str">
        <f t="shared" ca="1" si="604"/>
        <v>Barra de gelo</v>
      </c>
      <c r="P540" s="138" t="str">
        <f t="shared" ca="1" si="605"/>
        <v>Unidade</v>
      </c>
      <c r="Q540" s="134">
        <v>4</v>
      </c>
      <c r="R540" s="124">
        <f t="shared" ca="1" si="606"/>
        <v>12</v>
      </c>
      <c r="S540" s="136" t="s">
        <v>62</v>
      </c>
      <c r="T540" s="123">
        <f t="shared" ca="1" si="607"/>
        <v>15</v>
      </c>
      <c r="U540" s="126">
        <f t="shared" ca="1" si="608"/>
        <v>60</v>
      </c>
      <c r="V540" s="1"/>
      <c r="W540" s="39" t="str">
        <f ca="1">IF(OR($A540=0,$A540="S",$A540&gt;CFF!$A$9),"",MAX(W$11:OFFSET(W540,-1,0))+1)</f>
        <v/>
      </c>
      <c r="X540" s="4" t="str">
        <f t="shared" si="609"/>
        <v>Serv. Terc.-011</v>
      </c>
      <c r="Y540" s="39">
        <f t="shared" ca="1" si="610"/>
        <v>91</v>
      </c>
      <c r="Z540" s="1"/>
      <c r="AA540" s="133">
        <f>IF($J540=$G$2,ROUND(IF(ISNUMBER(S540),S540,IF(LEFT(S540,2)="DI",HLOOKUP(S540,DADOS!$T$29:$X$30,2,FALSE),0)),4),"")</f>
        <v>0.25</v>
      </c>
      <c r="AB540" s="2"/>
    </row>
    <row r="541" spans="1:28">
      <c r="A541" t="str">
        <f t="shared" si="595"/>
        <v>S</v>
      </c>
      <c r="B541">
        <f t="shared" si="596"/>
        <v>0</v>
      </c>
      <c r="C541">
        <f t="shared" ca="1" si="597"/>
        <v>7</v>
      </c>
      <c r="D541">
        <f t="shared" ca="1" si="598"/>
        <v>4</v>
      </c>
      <c r="E541">
        <f t="shared" ca="1" si="599"/>
        <v>0</v>
      </c>
      <c r="F541">
        <f t="shared" ca="1" si="600"/>
        <v>0</v>
      </c>
      <c r="G541">
        <f t="shared" ca="1" si="601"/>
        <v>11</v>
      </c>
      <c r="H541">
        <f ca="1">IF(OR($A541="S",$A541=0),0,MATCH(0,OFFSET($B541,1,$A541,ROW($A$1504)-ROW($A541)),0))</f>
        <v>0</v>
      </c>
      <c r="I541">
        <f ca="1">IF(OR($A541="S",$A541=0),0,MATCH(OFFSET($B541,0,$A541)+1,OFFSET($B541,1,$A541,ROW($A$1504)-ROW($A541)),0))</f>
        <v>0</v>
      </c>
      <c r="J541" s="132" t="s">
        <v>29</v>
      </c>
      <c r="K541" s="121" t="str">
        <f t="shared" ca="1" si="602"/>
        <v>7.4.11.</v>
      </c>
      <c r="L541" s="137" t="str">
        <f t="shared" ca="1" si="603"/>
        <v>Cotação</v>
      </c>
      <c r="M541" s="122" t="s">
        <v>80</v>
      </c>
      <c r="N541" s="139" t="s">
        <v>150</v>
      </c>
      <c r="O541" s="137" t="str">
        <f t="shared" ca="1" si="604"/>
        <v>Sucos</v>
      </c>
      <c r="P541" s="138" t="str">
        <f t="shared" ca="1" si="605"/>
        <v>Unidade</v>
      </c>
      <c r="Q541" s="134">
        <v>12</v>
      </c>
      <c r="R541" s="124">
        <f t="shared" ca="1" si="606"/>
        <v>6.4</v>
      </c>
      <c r="S541" s="136" t="s">
        <v>62</v>
      </c>
      <c r="T541" s="123">
        <f t="shared" ca="1" si="607"/>
        <v>8</v>
      </c>
      <c r="U541" s="126">
        <f t="shared" ca="1" si="608"/>
        <v>96</v>
      </c>
      <c r="V541" s="1"/>
      <c r="W541" s="39" t="str">
        <f ca="1">IF(OR($A541=0,$A541="S",$A541&gt;CFF!$A$9),"",MAX(W$11:OFFSET(W541,-1,0))+1)</f>
        <v/>
      </c>
      <c r="X541" s="4" t="str">
        <f t="shared" si="609"/>
        <v>Serv. Terc.-013</v>
      </c>
      <c r="Y541" s="39">
        <f t="shared" ca="1" si="610"/>
        <v>93</v>
      </c>
      <c r="Z541" s="1"/>
      <c r="AA541" s="133">
        <f>IF($J541=$G$2,ROUND(IF(ISNUMBER(S541),S541,IF(LEFT(S541,2)="DI",HLOOKUP(S541,DADOS!$T$29:$X$30,2,FALSE),0)),4),"")</f>
        <v>0.25</v>
      </c>
      <c r="AB541" s="2"/>
    </row>
    <row r="542" spans="1:28">
      <c r="A542" t="str">
        <f t="shared" ref="A542:A547" si="611">CHOOSE(1+LOG(1+2*(J542=$C$2)+4*(J542=$D$2)+8*(J542=$E$2)+16*(J542=$F$2)+32*(J542=$G$2),2),0,1,2,3,4,"S")</f>
        <v>S</v>
      </c>
      <c r="B542">
        <f t="shared" ref="B542:B547" si="612">IF(OR(A542="S",A542=0),0,IF(ISERROR(I542),H542,SMALL(H542:I542,1)))</f>
        <v>0</v>
      </c>
      <c r="C542">
        <f ca="1">IF($A542=1,OFFSET(C542,-1,0)+1,OFFSET(C542,-1,0))</f>
        <v>7</v>
      </c>
      <c r="D542">
        <f ca="1">IF($A542=1,0,IF($A542=2,OFFSET(D542,-1,0)+1,OFFSET(D542,-1,0)))</f>
        <v>4</v>
      </c>
      <c r="E542">
        <f ca="1">IF(AND($A542&lt;=2,$A542&lt;&gt;0),0,IF($A542=3,OFFSET(E542,-1,0)+1,OFFSET(E542,-1,0)))</f>
        <v>0</v>
      </c>
      <c r="F542">
        <f ca="1">IF(AND($A542&lt;=3,$A542&lt;&gt;0),0,IF($A542=4,OFFSET(F542,-1,0)+1,OFFSET(F542,-1,0)))</f>
        <v>0</v>
      </c>
      <c r="G542">
        <f ca="1">IF(AND($A542&lt;=4,$A542&lt;&gt;0),0,IF($A542="S",OFFSET(G542,-1,0)+1,OFFSET(G542,-1,0)))</f>
        <v>12</v>
      </c>
      <c r="H542">
        <f ca="1">IF(OR($A542="S",$A542=0),0,MATCH(0,OFFSET($B542,1,$A542,ROW($A$1504)-ROW($A542)),0))</f>
        <v>0</v>
      </c>
      <c r="I542">
        <f ca="1">IF(OR($A542="S",$A542=0),0,MATCH(OFFSET($B542,0,$A542)+1,OFFSET($B542,1,$A542,ROW($A$1504)-ROW($A542)),0))</f>
        <v>0</v>
      </c>
      <c r="J542" s="132" t="s">
        <v>29</v>
      </c>
      <c r="K542" s="121" t="str">
        <f t="shared" ref="K542:K547" ca="1" si="613">IF($A542=0,"-",CONCATENATE(C542&amp;".",IF(AND($A$5&gt;=2,$A542&gt;=2),D542&amp;".",""),IF(AND($A$5&gt;=3,$A542&gt;=3),E542&amp;".",""),IF(AND($A$5&gt;=4,$A542&gt;=4),F542&amp;".",""),IF($A542="S",G542&amp;".","")))</f>
        <v>7.4.12.</v>
      </c>
      <c r="L542" s="137" t="str">
        <f ca="1">IF(NOT(ISERROR($Y542)),IF($Y542&lt;&gt;FALSE,INDEX(Banco,$Y542,4),""),"")</f>
        <v>Cotação</v>
      </c>
      <c r="M542" s="122" t="s">
        <v>80</v>
      </c>
      <c r="N542" s="139" t="s">
        <v>171</v>
      </c>
      <c r="O542" s="137" t="str">
        <f ca="1">IF(NOT(ISERROR($Y542)),IF($Y542&lt;&gt;FALSE,INDEX(Banco,$Y542,5),""),"")</f>
        <v xml:space="preserve">Refrigerantes (02 litros) </v>
      </c>
      <c r="P542" s="138" t="str">
        <f ca="1">IF(NOT(ISERROR($Y542)),IF($Y542&lt;&gt;FALSE,INDEX(Banco,$Y542,6),""),"")</f>
        <v>Unidade</v>
      </c>
      <c r="Q542" s="134">
        <v>20</v>
      </c>
      <c r="R542" s="124">
        <f ca="1">IF(NOT(ISERROR($Y542)),IF($Y542&lt;&gt;FALSE,INDEX(Banco,$Y542,7),0),0)</f>
        <v>6</v>
      </c>
      <c r="S542" s="136" t="s">
        <v>62</v>
      </c>
      <c r="T542" s="123">
        <f ca="1">IF($J542=$G$2,ROUND(ROUND($R542,2)*IF($R$9="Preço Unitário (R$)",1,1+$AA542),2),0)</f>
        <v>7.5</v>
      </c>
      <c r="U542" s="126">
        <f ca="1">IF($A542="S",VTOTAL1,IF($A542=0,0,ROUND(SomaAgrup,2)))</f>
        <v>150</v>
      </c>
      <c r="V542" s="1"/>
      <c r="W542" s="39" t="str">
        <f ca="1">IF(OR($A542=0,$A542="S",$A542&gt;CFF!$A$9),"",MAX(W$11:OFFSET(W542,-1,0))+1)</f>
        <v/>
      </c>
      <c r="X542" s="4" t="str">
        <f>IF(AND($J542=$G$2,$N542&lt;&gt;"",$M542&lt;&gt;""),CONCATENATE($M542,"-",$N542))</f>
        <v>Serv. Terc.-027</v>
      </c>
      <c r="Y542" s="39">
        <f t="shared" ref="Y542:Y547" ca="1" si="614">IF(X542&lt;&gt;FALSE,MATCH(X542,OFFSET(Banco,0,0,,1),0))</f>
        <v>107</v>
      </c>
      <c r="Z542" s="1"/>
      <c r="AA542" s="133">
        <f>IF($J542=$G$2,ROUND(IF(ISNUMBER(S542),S542,IF(LEFT(S542,2)="DI",HLOOKUP(S542,DADOS!$T$29:$X$30,2,FALSE),0)),4),"")</f>
        <v>0.25</v>
      </c>
      <c r="AB542" s="2"/>
    </row>
    <row r="543" spans="1:28">
      <c r="A543" t="str">
        <f t="shared" si="611"/>
        <v>S</v>
      </c>
      <c r="B543">
        <f t="shared" si="612"/>
        <v>0</v>
      </c>
      <c r="C543">
        <f ca="1">IF($A543=1,OFFSET(C543,-1,0)+1,OFFSET(C543,-1,0))</f>
        <v>7</v>
      </c>
      <c r="D543">
        <f ca="1">IF($A543=1,0,IF($A543=2,OFFSET(D543,-1,0)+1,OFFSET(D543,-1,0)))</f>
        <v>4</v>
      </c>
      <c r="E543">
        <f ca="1">IF(AND($A543&lt;=2,$A543&lt;&gt;0),0,IF($A543=3,OFFSET(E543,-1,0)+1,OFFSET(E543,-1,0)))</f>
        <v>0</v>
      </c>
      <c r="F543">
        <f ca="1">IF(AND($A543&lt;=3,$A543&lt;&gt;0),0,IF($A543=4,OFFSET(F543,-1,0)+1,OFFSET(F543,-1,0)))</f>
        <v>0</v>
      </c>
      <c r="G543">
        <f ca="1">IF(AND($A543&lt;=4,$A543&lt;&gt;0),0,IF($A543="S",OFFSET(G543,-1,0)+1,OFFSET(G543,-1,0)))</f>
        <v>13</v>
      </c>
      <c r="H543">
        <f ca="1">IF(OR($A543="S",$A543=0),0,MATCH(0,OFFSET($B543,1,$A543,ROW($A$1504)-ROW($A543)),0))</f>
        <v>0</v>
      </c>
      <c r="I543">
        <f ca="1">IF(OR($A543="S",$A543=0),0,MATCH(OFFSET($B543,0,$A543)+1,OFFSET($B543,1,$A543,ROW($A$1504)-ROW($A543)),0))</f>
        <v>0</v>
      </c>
      <c r="J543" s="132" t="s">
        <v>29</v>
      </c>
      <c r="K543" s="121" t="str">
        <f t="shared" ca="1" si="613"/>
        <v>7.4.13.</v>
      </c>
      <c r="L543" s="137" t="str">
        <f ca="1">IF(NOT(ISERROR($Y543)),IF($Y543&lt;&gt;FALSE,INDEX(Banco,$Y543,4),""),"")</f>
        <v xml:space="preserve">Cotação </v>
      </c>
      <c r="M543" s="122" t="s">
        <v>80</v>
      </c>
      <c r="N543" s="139" t="s">
        <v>159</v>
      </c>
      <c r="O543" s="137" t="str">
        <f ca="1">IF(NOT(ISERROR($Y543)),IF($Y543&lt;&gt;FALSE,INDEX(Banco,$Y543,5),""),"")</f>
        <v>Brindes ( descrição nos orçamentos e PTS)</v>
      </c>
      <c r="P543" s="138" t="str">
        <f ca="1">IF(NOT(ISERROR($Y543)),IF($Y543&lt;&gt;FALSE,INDEX(Banco,$Y543,6),""),"")</f>
        <v>Unidade</v>
      </c>
      <c r="Q543" s="134">
        <v>4</v>
      </c>
      <c r="R543" s="124">
        <f ca="1">IF(NOT(ISERROR($Y543)),IF($Y543&lt;&gt;FALSE,INDEX(Banco,$Y543,7),0),0)</f>
        <v>120</v>
      </c>
      <c r="S543" s="136" t="s">
        <v>62</v>
      </c>
      <c r="T543" s="123">
        <f ca="1">IF($J543=$G$2,ROUND(ROUND($R543,2)*IF($R$9="Preço Unitário (R$)",1,1+$AA543),2),0)</f>
        <v>150</v>
      </c>
      <c r="U543" s="126">
        <f ca="1">IF($A543="S",VTOTAL1,IF($A543=0,0,ROUND(SomaAgrup,2)))</f>
        <v>600</v>
      </c>
      <c r="V543" s="1"/>
      <c r="W543" s="39" t="str">
        <f ca="1">IF(OR($A543=0,$A543="S",$A543&gt;CFF!$A$9),"",MAX(W$11:OFFSET(W543,-1,0))+1)</f>
        <v/>
      </c>
      <c r="X543" s="4" t="str">
        <f>IF(AND($J543=$G$2,$N543&lt;&gt;"",$M543&lt;&gt;""),CONCATENATE($M543,"-",$N543))</f>
        <v>Serv. Terc.-010</v>
      </c>
      <c r="Y543" s="39">
        <f t="shared" ca="1" si="614"/>
        <v>90</v>
      </c>
      <c r="Z543" s="1"/>
      <c r="AA543" s="133">
        <f>IF($J543=$G$2,ROUND(IF(ISNUMBER(S543),S543,IF(LEFT(S543,2)="DI",HLOOKUP(S543,DADOS!$T$29:$X$30,2,FALSE),0)),4),"")</f>
        <v>0.25</v>
      </c>
      <c r="AB543" s="2"/>
    </row>
    <row r="544" spans="1:28">
      <c r="A544" t="str">
        <f t="shared" si="611"/>
        <v>S</v>
      </c>
      <c r="B544">
        <f t="shared" si="612"/>
        <v>0</v>
      </c>
      <c r="C544">
        <f t="shared" ca="1" si="597"/>
        <v>7</v>
      </c>
      <c r="D544">
        <f t="shared" ca="1" si="598"/>
        <v>4</v>
      </c>
      <c r="E544">
        <f t="shared" ca="1" si="599"/>
        <v>0</v>
      </c>
      <c r="F544">
        <f t="shared" ca="1" si="600"/>
        <v>0</v>
      </c>
      <c r="G544">
        <f t="shared" ca="1" si="601"/>
        <v>14</v>
      </c>
      <c r="H544">
        <f ca="1">IF(OR($A544="S",$A544=0),0,MATCH(0,OFFSET($B544,1,$A544,ROW($A$1504)-ROW($A544)),0))</f>
        <v>0</v>
      </c>
      <c r="I544">
        <f ca="1">IF(OR($A544="S",$A544=0),0,MATCH(OFFSET($B544,0,$A544)+1,OFFSET($B544,1,$A544,ROW($A$1504)-ROW($A544)),0))</f>
        <v>0</v>
      </c>
      <c r="J544" s="132" t="s">
        <v>29</v>
      </c>
      <c r="K544" s="121" t="str">
        <f t="shared" ca="1" si="613"/>
        <v>7.4.14.</v>
      </c>
      <c r="L544" s="137" t="str">
        <f t="shared" ca="1" si="603"/>
        <v>Cotação</v>
      </c>
      <c r="M544" s="122" t="s">
        <v>80</v>
      </c>
      <c r="N544" s="139" t="s">
        <v>162</v>
      </c>
      <c r="O544" s="137" t="str">
        <f t="shared" ca="1" si="604"/>
        <v>Coffee break (salgados)</v>
      </c>
      <c r="P544" s="138" t="str">
        <f t="shared" ca="1" si="605"/>
        <v>Centro</v>
      </c>
      <c r="Q544" s="134">
        <v>15</v>
      </c>
      <c r="R544" s="124">
        <f t="shared" ca="1" si="606"/>
        <v>65</v>
      </c>
      <c r="S544" s="136" t="s">
        <v>62</v>
      </c>
      <c r="T544" s="123">
        <f t="shared" ca="1" si="607"/>
        <v>81.25</v>
      </c>
      <c r="U544" s="126">
        <f t="shared" ca="1" si="608"/>
        <v>1218.75</v>
      </c>
      <c r="V544" s="1"/>
      <c r="W544" s="39" t="str">
        <f ca="1">IF(OR($A544=0,$A544="S",$A544&gt;CFF!$A$9),"",MAX(W$11:OFFSET(W544,-1,0))+1)</f>
        <v/>
      </c>
      <c r="X544" s="4" t="str">
        <f t="shared" si="609"/>
        <v>Serv. Terc.-015</v>
      </c>
      <c r="Y544" s="39">
        <f t="shared" ca="1" si="614"/>
        <v>95</v>
      </c>
      <c r="Z544" s="1"/>
      <c r="AA544" s="133">
        <f>IF($J544=$G$2,ROUND(IF(ISNUMBER(S544),S544,IF(LEFT(S544,2)="DI",HLOOKUP(S544,DADOS!$T$29:$X$30,2,FALSE),0)),4),"")</f>
        <v>0.25</v>
      </c>
      <c r="AB544" s="2"/>
    </row>
    <row r="545" spans="1:28">
      <c r="A545" t="str">
        <f t="shared" si="611"/>
        <v>S</v>
      </c>
      <c r="B545">
        <f t="shared" si="612"/>
        <v>0</v>
      </c>
      <c r="C545">
        <f ca="1">IF($A545=1,OFFSET(C545,-1,0)+1,OFFSET(C545,-1,0))</f>
        <v>7</v>
      </c>
      <c r="D545">
        <f ca="1">IF($A545=1,0,IF($A545=2,OFFSET(D545,-1,0)+1,OFFSET(D545,-1,0)))</f>
        <v>4</v>
      </c>
      <c r="E545">
        <f ca="1">IF(AND($A545&lt;=2,$A545&lt;&gt;0),0,IF($A545=3,OFFSET(E545,-1,0)+1,OFFSET(E545,-1,0)))</f>
        <v>0</v>
      </c>
      <c r="F545">
        <f ca="1">IF(AND($A545&lt;=3,$A545&lt;&gt;0),0,IF($A545=4,OFFSET(F545,-1,0)+1,OFFSET(F545,-1,0)))</f>
        <v>0</v>
      </c>
      <c r="G545">
        <f ca="1">IF(AND($A545&lt;=4,$A545&lt;&gt;0),0,IF($A545="S",OFFSET(G545,-1,0)+1,OFFSET(G545,-1,0)))</f>
        <v>15</v>
      </c>
      <c r="H545">
        <f ca="1">IF(OR($A545="S",$A545=0),0,MATCH(0,OFFSET($B545,1,$A545,ROW($A$1504)-ROW($A545)),0))</f>
        <v>0</v>
      </c>
      <c r="I545">
        <f ca="1">IF(OR($A545="S",$A545=0),0,MATCH(OFFSET($B545,0,$A545)+1,OFFSET($B545,1,$A545,ROW($A$1504)-ROW($A545)),0))</f>
        <v>0</v>
      </c>
      <c r="J545" s="132" t="s">
        <v>29</v>
      </c>
      <c r="K545" s="121" t="str">
        <f t="shared" ca="1" si="613"/>
        <v>7.4.15.</v>
      </c>
      <c r="L545" s="137" t="str">
        <f ca="1">IF(NOT(ISERROR($Y545)),IF($Y545&lt;&gt;FALSE,INDEX(Banco,$Y545,4),""),"")</f>
        <v>CRESS</v>
      </c>
      <c r="M545" s="122" t="s">
        <v>80</v>
      </c>
      <c r="N545" s="139" t="s">
        <v>276</v>
      </c>
      <c r="O545" s="137" t="str">
        <f ca="1">IF(NOT(ISERROR($Y545)),IF($Y545&lt;&gt;FALSE,INDEX(Banco,$Y545,5),""),"")</f>
        <v>Assistente Social com especialização em politicas sociais</v>
      </c>
      <c r="P545" s="138" t="str">
        <f ca="1">IF(NOT(ISERROR($Y545)),IF($Y545&lt;&gt;FALSE,INDEX(Banco,$Y545,6),""),"")</f>
        <v>Horas</v>
      </c>
      <c r="Q545" s="134">
        <v>3</v>
      </c>
      <c r="R545" s="124">
        <f ca="1">IF(NOT(ISERROR($Y545)),IF($Y545&lt;&gt;FALSE,INDEX(Banco,$Y545,7),0),0)</f>
        <v>141.75</v>
      </c>
      <c r="S545" s="136" t="s">
        <v>62</v>
      </c>
      <c r="T545" s="123">
        <f ca="1">IF($J545=$G$2,ROUND(ROUND($R545,2)*IF($R$9="Preço Unitário (R$)",1,1+$AA545),2),0)</f>
        <v>177.19</v>
      </c>
      <c r="U545" s="126">
        <f ca="1">IF($A545="S",VTOTAL1,IF($A545=0,0,ROUND(SomaAgrup,2)))</f>
        <v>531.57000000000005</v>
      </c>
      <c r="V545" s="1"/>
      <c r="W545" s="39" t="str">
        <f ca="1">IF(OR($A545=0,$A545="S",$A545&gt;CFF!$A$9),"",MAX(W$11:OFFSET(W545,-1,0))+1)</f>
        <v/>
      </c>
      <c r="X545" s="4" t="str">
        <f>IF(AND($J545=$G$2,$N545&lt;&gt;"",$M545&lt;&gt;""),CONCATENATE($M545,"-",$N545))</f>
        <v>Serv. Terc.-065</v>
      </c>
      <c r="Y545" s="39">
        <f t="shared" ca="1" si="614"/>
        <v>145</v>
      </c>
      <c r="Z545" s="1"/>
      <c r="AA545" s="133">
        <f>IF($J545=$G$2,ROUND(IF(ISNUMBER(S545),S545,IF(LEFT(S545,2)="DI",HLOOKUP(S545,DADOS!$T$29:$X$30,2,FALSE),0)),4),"")</f>
        <v>0.25</v>
      </c>
      <c r="AB545" s="2"/>
    </row>
    <row r="546" spans="1:28">
      <c r="A546" t="str">
        <f t="shared" si="611"/>
        <v>S</v>
      </c>
      <c r="B546">
        <f t="shared" si="612"/>
        <v>0</v>
      </c>
      <c r="C546">
        <f t="shared" ca="1" si="597"/>
        <v>7</v>
      </c>
      <c r="D546">
        <f t="shared" ca="1" si="598"/>
        <v>4</v>
      </c>
      <c r="E546">
        <f t="shared" ca="1" si="599"/>
        <v>0</v>
      </c>
      <c r="F546">
        <f t="shared" ca="1" si="600"/>
        <v>0</v>
      </c>
      <c r="G546">
        <f t="shared" ca="1" si="601"/>
        <v>16</v>
      </c>
      <c r="H546">
        <f ca="1">IF(OR($A546="S",$A546=0),0,MATCH(0,OFFSET($B546,1,$A546,ROW($A$1504)-ROW($A546)),0))</f>
        <v>0</v>
      </c>
      <c r="I546">
        <f ca="1">IF(OR($A546="S",$A546=0),0,MATCH(OFFSET($B546,0,$A546)+1,OFFSET($B546,1,$A546,ROW($A$1504)-ROW($A546)),0))</f>
        <v>0</v>
      </c>
      <c r="J546" s="132" t="s">
        <v>29</v>
      </c>
      <c r="K546" s="121" t="str">
        <f t="shared" ca="1" si="613"/>
        <v>7.4.16.</v>
      </c>
      <c r="L546" s="137" t="str">
        <f t="shared" ca="1" si="603"/>
        <v>Cotação</v>
      </c>
      <c r="M546" s="122" t="s">
        <v>79</v>
      </c>
      <c r="N546" s="139" t="s">
        <v>163</v>
      </c>
      <c r="O546" s="137" t="str">
        <f t="shared" ca="1" si="604"/>
        <v>Guloseimas (balas e pirulito)</v>
      </c>
      <c r="P546" s="138" t="str">
        <f t="shared" ca="1" si="605"/>
        <v>Pacote</v>
      </c>
      <c r="Q546" s="134">
        <v>4</v>
      </c>
      <c r="R546" s="124">
        <f t="shared" ca="1" si="606"/>
        <v>12</v>
      </c>
      <c r="S546" s="136" t="s">
        <v>62</v>
      </c>
      <c r="T546" s="123">
        <f t="shared" ca="1" si="607"/>
        <v>15</v>
      </c>
      <c r="U546" s="126">
        <f t="shared" ca="1" si="608"/>
        <v>60</v>
      </c>
      <c r="V546" s="1"/>
      <c r="W546" s="39" t="str">
        <f ca="1">IF(OR($A546=0,$A546="S",$A546&gt;CFF!$A$9),"",MAX(W$11:OFFSET(W546,-1,0))+1)</f>
        <v/>
      </c>
      <c r="X546" s="4" t="str">
        <f t="shared" si="609"/>
        <v>Rec. Materiais-020</v>
      </c>
      <c r="Y546" s="39">
        <f t="shared" ca="1" si="614"/>
        <v>29</v>
      </c>
      <c r="Z546" s="1"/>
      <c r="AA546" s="133">
        <f>IF($J546=$G$2,ROUND(IF(ISNUMBER(S546),S546,IF(LEFT(S546,2)="DI",HLOOKUP(S546,DADOS!$T$29:$X$30,2,FALSE),0)),4),"")</f>
        <v>0.25</v>
      </c>
      <c r="AB546" s="2"/>
    </row>
    <row r="547" spans="1:28">
      <c r="A547" t="str">
        <f t="shared" si="611"/>
        <v>S</v>
      </c>
      <c r="B547">
        <f t="shared" si="612"/>
        <v>0</v>
      </c>
      <c r="C547">
        <f t="shared" ref="C547:C557" ca="1" si="615">IF($A547=1,OFFSET(C547,-1,0)+1,OFFSET(C547,-1,0))</f>
        <v>7</v>
      </c>
      <c r="D547">
        <f t="shared" ref="D547:D557" ca="1" si="616">IF($A547=1,0,IF($A547=2,OFFSET(D547,-1,0)+1,OFFSET(D547,-1,0)))</f>
        <v>4</v>
      </c>
      <c r="E547">
        <f t="shared" ref="E547:E557" ca="1" si="617">IF(AND($A547&lt;=2,$A547&lt;&gt;0),0,IF($A547=3,OFFSET(E547,-1,0)+1,OFFSET(E547,-1,0)))</f>
        <v>0</v>
      </c>
      <c r="F547">
        <f t="shared" ref="F547:F557" ca="1" si="618">IF(AND($A547&lt;=3,$A547&lt;&gt;0),0,IF($A547=4,OFFSET(F547,-1,0)+1,OFFSET(F547,-1,0)))</f>
        <v>0</v>
      </c>
      <c r="G547">
        <f t="shared" ref="G547:G557" ca="1" si="619">IF(AND($A547&lt;=4,$A547&lt;&gt;0),0,IF($A547="S",OFFSET(G547,-1,0)+1,OFFSET(G547,-1,0)))</f>
        <v>17</v>
      </c>
      <c r="H547">
        <f ca="1">IF(OR($A547="S",$A547=0),0,MATCH(0,OFFSET($B547,1,$A547,ROW($A$1504)-ROW($A547)),0))</f>
        <v>0</v>
      </c>
      <c r="I547">
        <f ca="1">IF(OR($A547="S",$A547=0),0,MATCH(OFFSET($B547,0,$A547)+1,OFFSET($B547,1,$A547,ROW($A$1504)-ROW($A547)),0))</f>
        <v>0</v>
      </c>
      <c r="J547" s="132" t="s">
        <v>29</v>
      </c>
      <c r="K547" s="121" t="str">
        <f t="shared" ca="1" si="613"/>
        <v>7.4.17.</v>
      </c>
      <c r="L547" s="137" t="str">
        <f t="shared" ref="L547:L557" ca="1" si="620">IF(NOT(ISERROR($Y547)),IF($Y547&lt;&gt;FALSE,INDEX(Banco,$Y547,4),""),"")</f>
        <v>Cotação</v>
      </c>
      <c r="M547" s="122" t="s">
        <v>79</v>
      </c>
      <c r="N547" s="139" t="s">
        <v>165</v>
      </c>
      <c r="O547" s="137" t="str">
        <f ca="1">IF(NOT(ISERROR($Y547)),IF($Y547&lt;&gt;FALSE,INDEX(Banco,$Y547,5),""),"")</f>
        <v>Papel de presente</v>
      </c>
      <c r="P547" s="138" t="str">
        <f t="shared" ref="P547:P557" ca="1" si="621">IF(NOT(ISERROR($Y547)),IF($Y547&lt;&gt;FALSE,INDEX(Banco,$Y547,6),""),"")</f>
        <v>Folhas</v>
      </c>
      <c r="Q547" s="134">
        <v>8</v>
      </c>
      <c r="R547" s="124">
        <f t="shared" ref="R547:R557" ca="1" si="622">IF(NOT(ISERROR($Y547)),IF($Y547&lt;&gt;FALSE,INDEX(Banco,$Y547,7),0),0)</f>
        <v>1.5</v>
      </c>
      <c r="S547" s="136" t="s">
        <v>62</v>
      </c>
      <c r="T547" s="123">
        <f t="shared" ref="T547:T557" ca="1" si="623">IF($J547=$G$2,ROUND(ROUND($R547,2)*IF($R$9="Preço Unitário (R$)",1,1+$AA547),2),0)</f>
        <v>1.88</v>
      </c>
      <c r="U547" s="126">
        <f t="shared" ref="U547:U557" ca="1" si="624">IF($A547="S",VTOTAL1,IF($A547=0,0,ROUND(SomaAgrup,2)))</f>
        <v>15.04</v>
      </c>
      <c r="V547" s="1"/>
      <c r="W547" s="39" t="str">
        <f ca="1">IF(OR($A547=0,$A547="S",$A547&gt;CFF!$A$9),"",MAX(W$11:OFFSET(W547,-1,0))+1)</f>
        <v/>
      </c>
      <c r="X547" s="4" t="str">
        <f t="shared" ref="X547:X557" si="625">IF(AND($J547=$G$2,$N547&lt;&gt;"",$M547&lt;&gt;""),CONCATENATE($M547,"-",$N547))</f>
        <v>Rec. Materiais-021</v>
      </c>
      <c r="Y547" s="39">
        <f t="shared" ca="1" si="614"/>
        <v>30</v>
      </c>
      <c r="Z547" s="1"/>
      <c r="AA547" s="133">
        <f>IF($J547=$G$2,ROUND(IF(ISNUMBER(S547),S547,IF(LEFT(S547,2)="DI",HLOOKUP(S547,DADOS!$T$29:$X$30,2,FALSE),0)),4),"")</f>
        <v>0.25</v>
      </c>
      <c r="AB547" s="2"/>
    </row>
    <row r="548" spans="1:28">
      <c r="A548" t="str">
        <f t="shared" ref="A548:A554" si="626">CHOOSE(1+LOG(1+2*(J548=$C$2)+4*(J548=$D$2)+8*(J548=$E$2)+16*(J548=$F$2)+32*(J548=$G$2),2),0,1,2,3,4,"S")</f>
        <v>S</v>
      </c>
      <c r="B548">
        <f t="shared" ref="B548:B554" si="627">IF(OR(A548="S",A548=0),0,IF(ISERROR(I548),H548,SMALL(H548:I548,1)))</f>
        <v>0</v>
      </c>
      <c r="C548">
        <f t="shared" ca="1" si="615"/>
        <v>7</v>
      </c>
      <c r="D548">
        <f t="shared" ca="1" si="616"/>
        <v>4</v>
      </c>
      <c r="E548">
        <f t="shared" ca="1" si="617"/>
        <v>0</v>
      </c>
      <c r="F548">
        <f t="shared" ca="1" si="618"/>
        <v>0</v>
      </c>
      <c r="G548">
        <f t="shared" ca="1" si="619"/>
        <v>18</v>
      </c>
      <c r="H548">
        <f ca="1">IF(OR($A548="S",$A548=0),0,MATCH(0,OFFSET($B548,1,$A548,ROW($A$1504)-ROW($A548)),0))</f>
        <v>0</v>
      </c>
      <c r="I548">
        <f ca="1">IF(OR($A548="S",$A548=0),0,MATCH(OFFSET($B548,0,$A548)+1,OFFSET($B548,1,$A548,ROW($A$1504)-ROW($A548)),0))</f>
        <v>0</v>
      </c>
      <c r="J548" s="132" t="s">
        <v>29</v>
      </c>
      <c r="K548" s="121" t="str">
        <f t="shared" ref="K548:K554" ca="1" si="628">IF($A548=0,"-",CONCATENATE(C548&amp;".",IF(AND($A$5&gt;=2,$A548&gt;=2),D548&amp;".",""),IF(AND($A$5&gt;=3,$A548&gt;=3),E548&amp;".",""),IF(AND($A$5&gt;=4,$A548&gt;=4),F548&amp;".",""),IF($A548="S",G548&amp;".","")))</f>
        <v>7.4.18.</v>
      </c>
      <c r="L548" s="137" t="str">
        <f t="shared" ca="1" si="620"/>
        <v>Cotação</v>
      </c>
      <c r="M548" s="122" t="s">
        <v>79</v>
      </c>
      <c r="N548" s="139" t="s">
        <v>170</v>
      </c>
      <c r="O548" s="137" t="str">
        <f ca="1">IF(NOT(ISERROR($Y548)),IF($Y548&lt;&gt;FALSE,INDEX(Banco,$Y548,5),""),"")</f>
        <v>Saco de lixo (100 litros)</v>
      </c>
      <c r="P548" s="138" t="str">
        <f t="shared" ca="1" si="621"/>
        <v>Pacote</v>
      </c>
      <c r="Q548" s="134">
        <v>2</v>
      </c>
      <c r="R548" s="124">
        <f t="shared" ca="1" si="622"/>
        <v>15</v>
      </c>
      <c r="S548" s="136" t="s">
        <v>62</v>
      </c>
      <c r="T548" s="123">
        <f t="shared" ca="1" si="623"/>
        <v>18.75</v>
      </c>
      <c r="U548" s="126">
        <f t="shared" ca="1" si="624"/>
        <v>37.5</v>
      </c>
      <c r="V548" s="1"/>
      <c r="W548" s="39" t="str">
        <f ca="1">IF(OR($A548=0,$A548="S",$A548&gt;CFF!$A$9),"",MAX(W$11:OFFSET(W548,-1,0))+1)</f>
        <v/>
      </c>
      <c r="X548" s="4" t="str">
        <f t="shared" si="625"/>
        <v>Rec. Materiais-026</v>
      </c>
      <c r="Y548" s="39">
        <f t="shared" ref="Y548:Y554" ca="1" si="629">IF(X548&lt;&gt;FALSE,MATCH(X548,OFFSET(Banco,0,0,,1),0))</f>
        <v>35</v>
      </c>
      <c r="Z548" s="1"/>
      <c r="AA548" s="133">
        <f>IF($J548=$G$2,ROUND(IF(ISNUMBER(S548),S548,IF(LEFT(S548,2)="DI",HLOOKUP(S548,DADOS!$T$29:$X$30,2,FALSE),0)),4),"")</f>
        <v>0.25</v>
      </c>
      <c r="AB548" s="2"/>
    </row>
    <row r="549" spans="1:28">
      <c r="A549">
        <f>CHOOSE(1+LOG(1+2*(J549=$C$2)+4*(J549=$D$2)+8*(J549=$E$2)+16*(J549=$F$2)+32*(J549=$G$2),2),0,1,2,3,4,"S")</f>
        <v>2</v>
      </c>
      <c r="B549">
        <f ca="1">IF(OR(A549="S",A549=0),0,IF(ISERROR(I549),H549,SMALL(H549:I549,1)))</f>
        <v>9</v>
      </c>
      <c r="C549">
        <f ca="1">IF($A549=1,OFFSET(C549,-1,0)+1,OFFSET(C549,-1,0))</f>
        <v>7</v>
      </c>
      <c r="D549">
        <f ca="1">IF($A549=1,0,IF($A549=2,OFFSET(D549,-1,0)+1,OFFSET(D549,-1,0)))</f>
        <v>5</v>
      </c>
      <c r="E549">
        <f ca="1">IF(AND($A549&lt;=2,$A549&lt;&gt;0),0,IF($A549=3,OFFSET(E549,-1,0)+1,OFFSET(E549,-1,0)))</f>
        <v>0</v>
      </c>
      <c r="F549">
        <f ca="1">IF(AND($A549&lt;=3,$A549&lt;&gt;0),0,IF($A549=4,OFFSET(F549,-1,0)+1,OFFSET(F549,-1,0)))</f>
        <v>0</v>
      </c>
      <c r="G549">
        <f ca="1">IF(AND($A549&lt;=4,$A549&lt;&gt;0),0,IF($A549="S",OFFSET(G549,-1,0)+1,OFFSET(G549,-1,0)))</f>
        <v>0</v>
      </c>
      <c r="H549">
        <f ca="1">IF(OR($A549="S",$A549=0),0,MATCH(0,OFFSET($B549,1,$A549,ROW($A$1504)-ROW($A549)),0))</f>
        <v>92</v>
      </c>
      <c r="I549">
        <f ca="1">IF(OR($A549="S",$A549=0),0,MATCH(OFFSET($B549,0,$A549)+1,OFFSET($B549,1,$A549,ROW($A$1504)-ROW($A549)),0))</f>
        <v>9</v>
      </c>
      <c r="J549" s="132" t="s">
        <v>68</v>
      </c>
      <c r="K549" s="121" t="str">
        <f ca="1">IF($A549=0,"-",CONCATENATE(C549&amp;".",IF(AND($A$5&gt;=2,$A549&gt;=2),D549&amp;".",""),IF(AND($A$5&gt;=3,$A549&gt;=3),E549&amp;".",""),IF(AND($A$5&gt;=4,$A549&gt;=4),F549&amp;".",""),IF($A549="S",G549&amp;".","")))</f>
        <v>7.5.</v>
      </c>
      <c r="L549" s="137" t="str">
        <f ca="1">IF(NOT(ISERROR($Y549)),IF($Y549&lt;&gt;FALSE,INDEX(Banco,$Y549,4),""),"")</f>
        <v/>
      </c>
      <c r="M549" s="122"/>
      <c r="N549" s="139"/>
      <c r="O549" s="137" t="s">
        <v>386</v>
      </c>
      <c r="P549" s="138" t="str">
        <f ca="1">IF(NOT(ISERROR($Y549)),IF($Y549&lt;&gt;FALSE,INDEX(Banco,$Y549,6),""),"")</f>
        <v/>
      </c>
      <c r="Q549" s="134"/>
      <c r="R549" s="124">
        <f ca="1">IF(NOT(ISERROR($Y549)),IF($Y549&lt;&gt;FALSE,INDEX(Banco,$Y549,7),0),0)</f>
        <v>0</v>
      </c>
      <c r="S549" s="136" t="s">
        <v>62</v>
      </c>
      <c r="T549" s="123">
        <f>IF($J549=$G$2,ROUND(ROUND($R549,2)*IF($R$9="Preço Unitário (R$)",1,1+$AA549),2),0)</f>
        <v>0</v>
      </c>
      <c r="U549" s="126">
        <f ca="1">IF($A549="S",VTOTAL1,IF($A549=0,0,ROUND(SomaAgrup,2)))</f>
        <v>4465.74</v>
      </c>
      <c r="V549" s="1"/>
      <c r="W549" s="39">
        <f ca="1">IF(OR($A549=0,$A549="S",$A549&gt;CFF!$A$9),"",MAX(W$11:OFFSET(W549,-1,0))+1)</f>
        <v>46</v>
      </c>
      <c r="X549" s="4" t="b">
        <f>IF(AND($J549=$G$2,$N549&lt;&gt;"",$M549&lt;&gt;""),CONCATENATE($M549,"-",$N549))</f>
        <v>0</v>
      </c>
      <c r="Y549" s="39" t="b">
        <f ca="1">IF(X549&lt;&gt;FALSE,MATCH(X549,OFFSET(Banco,0,0,,1),0))</f>
        <v>0</v>
      </c>
      <c r="Z549" s="1"/>
      <c r="AA549" s="133" t="str">
        <f>IF($J549=$G$2,ROUND(IF(ISNUMBER(S549),S549,IF(LEFT(S549,2)="DI",HLOOKUP(S549,DADOS!$T$29:$X$30,2,FALSE),0)),4),"")</f>
        <v/>
      </c>
      <c r="AB549" s="2"/>
    </row>
    <row r="550" spans="1:28">
      <c r="A550" t="str">
        <f t="shared" si="626"/>
        <v>S</v>
      </c>
      <c r="B550">
        <f t="shared" si="627"/>
        <v>0</v>
      </c>
      <c r="C550">
        <f t="shared" ca="1" si="615"/>
        <v>7</v>
      </c>
      <c r="D550">
        <f t="shared" ca="1" si="616"/>
        <v>5</v>
      </c>
      <c r="E550">
        <f t="shared" ca="1" si="617"/>
        <v>0</v>
      </c>
      <c r="F550">
        <f t="shared" ca="1" si="618"/>
        <v>0</v>
      </c>
      <c r="G550">
        <f t="shared" ca="1" si="619"/>
        <v>1</v>
      </c>
      <c r="H550">
        <f ca="1">IF(OR($A550="S",$A550=0),0,MATCH(0,OFFSET($B550,1,$A550,ROW($A$1504)-ROW($A550)),0))</f>
        <v>0</v>
      </c>
      <c r="I550">
        <f ca="1">IF(OR($A550="S",$A550=0),0,MATCH(OFFSET($B550,0,$A550)+1,OFFSET($B550,1,$A550,ROW($A$1504)-ROW($A550)),0))</f>
        <v>0</v>
      </c>
      <c r="J550" s="132" t="s">
        <v>29</v>
      </c>
      <c r="K550" s="121" t="str">
        <f t="shared" ca="1" si="628"/>
        <v>7.5.1.</v>
      </c>
      <c r="L550" s="137" t="str">
        <f t="shared" ca="1" si="620"/>
        <v>CRESS</v>
      </c>
      <c r="M550" s="122" t="s">
        <v>78</v>
      </c>
      <c r="N550" s="139" t="s">
        <v>149</v>
      </c>
      <c r="O550" s="137" t="str">
        <f t="shared" ref="O550:O556" ca="1" si="630">IF(NOT(ISERROR($Y550)),IF($Y550&lt;&gt;FALSE,INDEX(Banco,$Y550,5),""),"")</f>
        <v>Responsável Técnica</v>
      </c>
      <c r="P550" s="138" t="str">
        <f t="shared" ca="1" si="621"/>
        <v>Horas</v>
      </c>
      <c r="Q550" s="134">
        <v>4</v>
      </c>
      <c r="R550" s="124">
        <f t="shared" ca="1" si="622"/>
        <v>150.28</v>
      </c>
      <c r="S550" s="136" t="s">
        <v>62</v>
      </c>
      <c r="T550" s="123">
        <f t="shared" ca="1" si="623"/>
        <v>187.85</v>
      </c>
      <c r="U550" s="126">
        <f t="shared" ca="1" si="624"/>
        <v>751.4</v>
      </c>
      <c r="V550" s="1"/>
      <c r="W550" s="39" t="str">
        <f ca="1">IF(OR($A550=0,$A550="S",$A550&gt;CFF!$A$9),"",MAX(W$11:OFFSET(W550,-1,0))+1)</f>
        <v/>
      </c>
      <c r="X550" s="4" t="str">
        <f t="shared" si="625"/>
        <v>Rec. Humanos-001</v>
      </c>
      <c r="Y550" s="39">
        <f t="shared" ca="1" si="629"/>
        <v>3</v>
      </c>
      <c r="Z550" s="1"/>
      <c r="AA550" s="133">
        <f>IF($J550=$G$2,ROUND(IF(ISNUMBER(S550),S550,IF(LEFT(S550,2)="DI",HLOOKUP(S550,DADOS!$T$29:$X$30,2,FALSE),0)),4),"")</f>
        <v>0.25</v>
      </c>
      <c r="AB550" s="2"/>
    </row>
    <row r="551" spans="1:28">
      <c r="A551" t="str">
        <f t="shared" si="626"/>
        <v>S</v>
      </c>
      <c r="B551">
        <f t="shared" si="627"/>
        <v>0</v>
      </c>
      <c r="C551">
        <f t="shared" ca="1" si="615"/>
        <v>7</v>
      </c>
      <c r="D551">
        <f t="shared" ca="1" si="616"/>
        <v>5</v>
      </c>
      <c r="E551">
        <f t="shared" ca="1" si="617"/>
        <v>0</v>
      </c>
      <c r="F551">
        <f t="shared" ca="1" si="618"/>
        <v>0</v>
      </c>
      <c r="G551">
        <f t="shared" ca="1" si="619"/>
        <v>2</v>
      </c>
      <c r="H551">
        <f ca="1">IF(OR($A551="S",$A551=0),0,MATCH(0,OFFSET($B551,1,$A551,ROW($A$1504)-ROW($A551)),0))</f>
        <v>0</v>
      </c>
      <c r="I551">
        <f ca="1">IF(OR($A551="S",$A551=0),0,MATCH(OFFSET($B551,0,$A551)+1,OFFSET($B551,1,$A551,ROW($A$1504)-ROW($A551)),0))</f>
        <v>0</v>
      </c>
      <c r="J551" s="132" t="s">
        <v>29</v>
      </c>
      <c r="K551" s="121" t="str">
        <f t="shared" ca="1" si="628"/>
        <v>7.5.2.</v>
      </c>
      <c r="L551" s="137" t="str">
        <f t="shared" ca="1" si="620"/>
        <v>CRESS</v>
      </c>
      <c r="M551" s="122" t="s">
        <v>78</v>
      </c>
      <c r="N551" s="139" t="s">
        <v>152</v>
      </c>
      <c r="O551" s="137" t="str">
        <f t="shared" ca="1" si="630"/>
        <v>Assistente Social</v>
      </c>
      <c r="P551" s="138" t="str">
        <f t="shared" ca="1" si="621"/>
        <v>Horas</v>
      </c>
      <c r="Q551" s="134">
        <v>4</v>
      </c>
      <c r="R551" s="124">
        <f t="shared" ca="1" si="622"/>
        <v>133.81</v>
      </c>
      <c r="S551" s="136" t="s">
        <v>62</v>
      </c>
      <c r="T551" s="123">
        <f t="shared" ca="1" si="623"/>
        <v>167.26</v>
      </c>
      <c r="U551" s="126">
        <f t="shared" ca="1" si="624"/>
        <v>669.04</v>
      </c>
      <c r="V551" s="1"/>
      <c r="W551" s="39" t="str">
        <f ca="1">IF(OR($A551=0,$A551="S",$A551&gt;CFF!$A$9),"",MAX(W$11:OFFSET(W551,-1,0))+1)</f>
        <v/>
      </c>
      <c r="X551" s="4" t="str">
        <f t="shared" si="625"/>
        <v>Rec. Humanos-002</v>
      </c>
      <c r="Y551" s="39">
        <f t="shared" ca="1" si="629"/>
        <v>4</v>
      </c>
      <c r="Z551" s="1"/>
      <c r="AA551" s="133">
        <f>IF($J551=$G$2,ROUND(IF(ISNUMBER(S551),S551,IF(LEFT(S551,2)="DI",HLOOKUP(S551,DADOS!$T$29:$X$30,2,FALSE),0)),4),"")</f>
        <v>0.25</v>
      </c>
      <c r="AB551" s="2"/>
    </row>
    <row r="552" spans="1:28">
      <c r="A552" t="str">
        <f t="shared" si="626"/>
        <v>S</v>
      </c>
      <c r="B552">
        <f t="shared" si="627"/>
        <v>0</v>
      </c>
      <c r="C552">
        <f t="shared" ca="1" si="615"/>
        <v>7</v>
      </c>
      <c r="D552">
        <f t="shared" ca="1" si="616"/>
        <v>5</v>
      </c>
      <c r="E552">
        <f t="shared" ca="1" si="617"/>
        <v>0</v>
      </c>
      <c r="F552">
        <f t="shared" ca="1" si="618"/>
        <v>0</v>
      </c>
      <c r="G552">
        <f t="shared" ca="1" si="619"/>
        <v>3</v>
      </c>
      <c r="H552">
        <f ca="1">IF(OR($A552="S",$A552=0),0,MATCH(0,OFFSET($B552,1,$A552,ROW($A$1504)-ROW($A552)),0))</f>
        <v>0</v>
      </c>
      <c r="I552">
        <f ca="1">IF(OR($A552="S",$A552=0),0,MATCH(OFFSET($B552,0,$A552)+1,OFFSET($B552,1,$A552,ROW($A$1504)-ROW($A552)),0))</f>
        <v>0</v>
      </c>
      <c r="J552" s="132" t="s">
        <v>29</v>
      </c>
      <c r="K552" s="121" t="str">
        <f t="shared" ca="1" si="628"/>
        <v>7.5.3.</v>
      </c>
      <c r="L552" s="137" t="str">
        <f t="shared" ca="1" si="620"/>
        <v>Cotação</v>
      </c>
      <c r="M552" s="122" t="s">
        <v>80</v>
      </c>
      <c r="N552" s="139" t="s">
        <v>201</v>
      </c>
      <c r="O552" s="137" t="str">
        <f t="shared" ca="1" si="630"/>
        <v xml:space="preserve">Coffe break (salgados) </v>
      </c>
      <c r="P552" s="138" t="str">
        <f t="shared" ca="1" si="621"/>
        <v>Centro</v>
      </c>
      <c r="Q552" s="134">
        <v>4</v>
      </c>
      <c r="R552" s="124">
        <f t="shared" ca="1" si="622"/>
        <v>65</v>
      </c>
      <c r="S552" s="136" t="s">
        <v>62</v>
      </c>
      <c r="T552" s="123">
        <f t="shared" ca="1" si="623"/>
        <v>81.25</v>
      </c>
      <c r="U552" s="126">
        <f t="shared" ca="1" si="624"/>
        <v>325</v>
      </c>
      <c r="V552" s="1"/>
      <c r="W552" s="39" t="str">
        <f ca="1">IF(OR($A552=0,$A552="S",$A552&gt;CFF!$A$9),"",MAX(W$11:OFFSET(W552,-1,0))+1)</f>
        <v/>
      </c>
      <c r="X552" s="4" t="str">
        <f t="shared" si="625"/>
        <v>Serv. Terc.-033</v>
      </c>
      <c r="Y552" s="39">
        <f t="shared" ca="1" si="629"/>
        <v>113</v>
      </c>
      <c r="Z552" s="1"/>
      <c r="AA552" s="133">
        <f>IF($J552=$G$2,ROUND(IF(ISNUMBER(S552),S552,IF(LEFT(S552,2)="DI",HLOOKUP(S552,DADOS!$T$29:$X$30,2,FALSE),0)),4),"")</f>
        <v>0.25</v>
      </c>
      <c r="AB552" s="2"/>
    </row>
    <row r="553" spans="1:28">
      <c r="A553" t="str">
        <f>CHOOSE(1+LOG(1+2*(J553=$C$2)+4*(J553=$D$2)+8*(J553=$E$2)+16*(J553=$F$2)+32*(J553=$G$2),2),0,1,2,3,4,"S")</f>
        <v>S</v>
      </c>
      <c r="B553">
        <f>IF(OR(A553="S",A553=0),0,IF(ISERROR(I553),H553,SMALL(H553:I553,1)))</f>
        <v>0</v>
      </c>
      <c r="C553">
        <f t="shared" ca="1" si="615"/>
        <v>7</v>
      </c>
      <c r="D553">
        <f t="shared" ca="1" si="616"/>
        <v>5</v>
      </c>
      <c r="E553">
        <f t="shared" ca="1" si="617"/>
        <v>0</v>
      </c>
      <c r="F553">
        <f t="shared" ca="1" si="618"/>
        <v>0</v>
      </c>
      <c r="G553">
        <f t="shared" ca="1" si="619"/>
        <v>4</v>
      </c>
      <c r="H553">
        <f ca="1">IF(OR($A553="S",$A553=0),0,MATCH(0,OFFSET($B553,1,$A553,ROW($A$1504)-ROW($A553)),0))</f>
        <v>0</v>
      </c>
      <c r="I553">
        <f ca="1">IF(OR($A553="S",$A553=0),0,MATCH(OFFSET($B553,0,$A553)+1,OFFSET($B553,1,$A553,ROW($A$1504)-ROW($A553)),0))</f>
        <v>0</v>
      </c>
      <c r="J553" s="132" t="s">
        <v>29</v>
      </c>
      <c r="K553" s="121" t="str">
        <f ca="1">IF($A553=0,"-",CONCATENATE(C553&amp;".",IF(AND($A$5&gt;=2,$A553&gt;=2),D553&amp;".",""),IF(AND($A$5&gt;=3,$A553&gt;=3),E553&amp;".",""),IF(AND($A$5&gt;=4,$A553&gt;=4),F553&amp;".",""),IF($A553="S",G553&amp;".","")))</f>
        <v>7.5.4.</v>
      </c>
      <c r="L553" s="137" t="str">
        <f t="shared" ca="1" si="620"/>
        <v>Cotação</v>
      </c>
      <c r="M553" s="122" t="s">
        <v>80</v>
      </c>
      <c r="N553" s="139" t="s">
        <v>171</v>
      </c>
      <c r="O553" s="137" t="str">
        <f ca="1">IF(NOT(ISERROR($Y553)),IF($Y553&lt;&gt;FALSE,INDEX(Banco,$Y553,5),""),"")</f>
        <v xml:space="preserve">Refrigerantes (02 litros) </v>
      </c>
      <c r="P553" s="138" t="str">
        <f t="shared" ca="1" si="621"/>
        <v>Unidade</v>
      </c>
      <c r="Q553" s="134">
        <v>4</v>
      </c>
      <c r="R553" s="124">
        <f t="shared" ca="1" si="622"/>
        <v>6</v>
      </c>
      <c r="S553" s="136" t="s">
        <v>62</v>
      </c>
      <c r="T553" s="123">
        <f t="shared" ca="1" si="623"/>
        <v>7.5</v>
      </c>
      <c r="U553" s="126">
        <f t="shared" ca="1" si="624"/>
        <v>30</v>
      </c>
      <c r="V553" s="1"/>
      <c r="W553" s="39" t="str">
        <f ca="1">IF(OR($A553=0,$A553="S",$A553&gt;CFF!$A$9),"",MAX(W$11:OFFSET(W553,-1,0))+1)</f>
        <v/>
      </c>
      <c r="X553" s="4" t="str">
        <f t="shared" si="625"/>
        <v>Serv. Terc.-027</v>
      </c>
      <c r="Y553" s="39">
        <f ca="1">IF(X553&lt;&gt;FALSE,MATCH(X553,OFFSET(Banco,0,0,,1),0))</f>
        <v>107</v>
      </c>
      <c r="Z553" s="1"/>
      <c r="AA553" s="133">
        <f>IF($J553=$G$2,ROUND(IF(ISNUMBER(S553),S553,IF(LEFT(S553,2)="DI",HLOOKUP(S553,DADOS!$T$29:$X$30,2,FALSE),0)),4),"")</f>
        <v>0.25</v>
      </c>
      <c r="AB553" s="2"/>
    </row>
    <row r="554" spans="1:28">
      <c r="A554" t="str">
        <f t="shared" si="626"/>
        <v>S</v>
      </c>
      <c r="B554">
        <f t="shared" si="627"/>
        <v>0</v>
      </c>
      <c r="C554">
        <f t="shared" ca="1" si="615"/>
        <v>7</v>
      </c>
      <c r="D554">
        <f t="shared" ca="1" si="616"/>
        <v>5</v>
      </c>
      <c r="E554">
        <f t="shared" ca="1" si="617"/>
        <v>0</v>
      </c>
      <c r="F554">
        <f t="shared" ca="1" si="618"/>
        <v>0</v>
      </c>
      <c r="G554">
        <f t="shared" ca="1" si="619"/>
        <v>5</v>
      </c>
      <c r="H554">
        <f ca="1">IF(OR($A554="S",$A554=0),0,MATCH(0,OFFSET($B554,1,$A554,ROW($A$1504)-ROW($A554)),0))</f>
        <v>0</v>
      </c>
      <c r="I554">
        <f ca="1">IF(OR($A554="S",$A554=0),0,MATCH(OFFSET($B554,0,$A554)+1,OFFSET($B554,1,$A554,ROW($A$1504)-ROW($A554)),0))</f>
        <v>0</v>
      </c>
      <c r="J554" s="132" t="s">
        <v>29</v>
      </c>
      <c r="K554" s="121" t="str">
        <f t="shared" ca="1" si="628"/>
        <v>7.5.5.</v>
      </c>
      <c r="L554" s="137" t="str">
        <f t="shared" ca="1" si="620"/>
        <v>CREFITO</v>
      </c>
      <c r="M554" s="122" t="s">
        <v>80</v>
      </c>
      <c r="N554" s="139" t="s">
        <v>260</v>
      </c>
      <c r="O554" s="137" t="str">
        <f t="shared" ca="1" si="630"/>
        <v>Fisioterapeuta (Massagem terapêutica)</v>
      </c>
      <c r="P554" s="138" t="str">
        <f t="shared" ca="1" si="621"/>
        <v>Vagas</v>
      </c>
      <c r="Q554" s="134">
        <v>40</v>
      </c>
      <c r="R554" s="124">
        <f t="shared" ca="1" si="622"/>
        <v>41.6</v>
      </c>
      <c r="S554" s="136" t="s">
        <v>62</v>
      </c>
      <c r="T554" s="123">
        <f t="shared" ca="1" si="623"/>
        <v>52</v>
      </c>
      <c r="U554" s="126">
        <f t="shared" ca="1" si="624"/>
        <v>2080</v>
      </c>
      <c r="V554" s="1"/>
      <c r="W554" s="39" t="str">
        <f ca="1">IF(OR($A554=0,$A554="S",$A554&gt;CFF!$A$9),"",MAX(W$11:OFFSET(W554,-1,0))+1)</f>
        <v/>
      </c>
      <c r="X554" s="4" t="str">
        <f t="shared" si="625"/>
        <v>Serv. Terc.-085</v>
      </c>
      <c r="Y554" s="39">
        <f t="shared" ca="1" si="629"/>
        <v>165</v>
      </c>
      <c r="Z554" s="1"/>
      <c r="AA554" s="133">
        <f>IF($J554=$G$2,ROUND(IF(ISNUMBER(S554),S554,IF(LEFT(S554,2)="DI",HLOOKUP(S554,DADOS!$T$29:$X$30,2,FALSE),0)),4),"")</f>
        <v>0.25</v>
      </c>
      <c r="AB554" s="2"/>
    </row>
    <row r="555" spans="1:28">
      <c r="A555" t="str">
        <f>CHOOSE(1+LOG(1+2*(J555=$C$2)+4*(J555=$D$2)+8*(J555=$E$2)+16*(J555=$F$2)+32*(J555=$G$2),2),0,1,2,3,4,"S")</f>
        <v>S</v>
      </c>
      <c r="B555">
        <f>IF(OR(A555="S",A555=0),0,IF(ISERROR(I555),H555,SMALL(H555:I555,1)))</f>
        <v>0</v>
      </c>
      <c r="C555">
        <f t="shared" ca="1" si="615"/>
        <v>7</v>
      </c>
      <c r="D555">
        <f t="shared" ca="1" si="616"/>
        <v>5</v>
      </c>
      <c r="E555">
        <f t="shared" ca="1" si="617"/>
        <v>0</v>
      </c>
      <c r="F555">
        <f t="shared" ca="1" si="618"/>
        <v>0</v>
      </c>
      <c r="G555">
        <f t="shared" ca="1" si="619"/>
        <v>6</v>
      </c>
      <c r="H555">
        <f ca="1">IF(OR($A555="S",$A555=0),0,MATCH(0,OFFSET($B555,1,$A555,ROW($A$1504)-ROW($A555)),0))</f>
        <v>0</v>
      </c>
      <c r="I555">
        <f ca="1">IF(OR($A555="S",$A555=0),0,MATCH(OFFSET($B555,0,$A555)+1,OFFSET($B555,1,$A555,ROW($A$1504)-ROW($A555)),0))</f>
        <v>0</v>
      </c>
      <c r="J555" s="132" t="s">
        <v>29</v>
      </c>
      <c r="K555" s="121" t="str">
        <f ca="1">IF($A555=0,"-",CONCATENATE(C555&amp;".",IF(AND($A$5&gt;=2,$A555&gt;=2),D555&amp;".",""),IF(AND($A$5&gt;=3,$A555&gt;=3),E555&amp;".",""),IF(AND($A$5&gt;=4,$A555&gt;=4),F555&amp;".",""),IF($A555="S",G555&amp;".","")))</f>
        <v>7.5.6.</v>
      </c>
      <c r="L555" s="137" t="str">
        <f t="shared" ca="1" si="620"/>
        <v>Cotação</v>
      </c>
      <c r="M555" s="122" t="s">
        <v>80</v>
      </c>
      <c r="N555" s="139" t="s">
        <v>256</v>
      </c>
      <c r="O555" s="137" t="str">
        <f ca="1">IF(NOT(ISERROR($Y555)),IF($Y555&lt;&gt;FALSE,INDEX(Banco,$Y555,5),""),"")</f>
        <v>Instrutor/Monitor (Educação Fisíca)</v>
      </c>
      <c r="P555" s="138" t="str">
        <f t="shared" ca="1" si="621"/>
        <v>Horas</v>
      </c>
      <c r="Q555" s="134">
        <v>2</v>
      </c>
      <c r="R555" s="124">
        <f t="shared" ca="1" si="622"/>
        <v>100</v>
      </c>
      <c r="S555" s="136" t="s">
        <v>62</v>
      </c>
      <c r="T555" s="123">
        <f t="shared" ca="1" si="623"/>
        <v>125</v>
      </c>
      <c r="U555" s="126">
        <f t="shared" ca="1" si="624"/>
        <v>250</v>
      </c>
      <c r="V555" s="1"/>
      <c r="W555" s="39" t="str">
        <f ca="1">IF(OR($A555=0,$A555="S",$A555&gt;CFF!$A$9),"",MAX(W$11:OFFSET(W555,-1,0))+1)</f>
        <v/>
      </c>
      <c r="X555" s="4" t="str">
        <f t="shared" si="625"/>
        <v>Serv. Terc.-017</v>
      </c>
      <c r="Y555" s="39">
        <f ca="1">IF(X555&lt;&gt;FALSE,MATCH(X555,OFFSET(Banco,0,0,,1),0))</f>
        <v>97</v>
      </c>
      <c r="Z555" s="1"/>
      <c r="AA555" s="133">
        <f>IF($J555=$G$2,ROUND(IF(ISNUMBER(S555),S555,IF(LEFT(S555,2)="DI",HLOOKUP(S555,DADOS!$T$29:$X$30,2,FALSE),0)),4),"")</f>
        <v>0.25</v>
      </c>
      <c r="AB555" s="2"/>
    </row>
    <row r="556" spans="1:28">
      <c r="A556" t="str">
        <f>CHOOSE(1+LOG(1+2*(J556=$C$2)+4*(J556=$D$2)+8*(J556=$E$2)+16*(J556=$F$2)+32*(J556=$G$2),2),0,1,2,3,4,"S")</f>
        <v>S</v>
      </c>
      <c r="B556">
        <f>IF(OR(A556="S",A556=0),0,IF(ISERROR(I556),H556,SMALL(H556:I556,1)))</f>
        <v>0</v>
      </c>
      <c r="C556">
        <f t="shared" ca="1" si="615"/>
        <v>7</v>
      </c>
      <c r="D556">
        <f t="shared" ca="1" si="616"/>
        <v>5</v>
      </c>
      <c r="E556">
        <f t="shared" ca="1" si="617"/>
        <v>0</v>
      </c>
      <c r="F556">
        <f t="shared" ca="1" si="618"/>
        <v>0</v>
      </c>
      <c r="G556">
        <f t="shared" ca="1" si="619"/>
        <v>7</v>
      </c>
      <c r="H556">
        <f ca="1">IF(OR($A556="S",$A556=0),0,MATCH(0,OFFSET($B556,1,$A556,ROW($A$1504)-ROW($A556)),0))</f>
        <v>0</v>
      </c>
      <c r="I556">
        <f ca="1">IF(OR($A556="S",$A556=0),0,MATCH(OFFSET($B556,0,$A556)+1,OFFSET($B556,1,$A556,ROW($A$1504)-ROW($A556)),0))</f>
        <v>0</v>
      </c>
      <c r="J556" s="132" t="s">
        <v>29</v>
      </c>
      <c r="K556" s="121" t="str">
        <f ca="1">IF($A556=0,"-",CONCATENATE(C556&amp;".",IF(AND($A$5&gt;=2,$A556&gt;=2),D556&amp;".",""),IF(AND($A$5&gt;=3,$A556&gt;=3),E556&amp;".",""),IF(AND($A$5&gt;=4,$A556&gt;=4),F556&amp;".",""),IF($A556="S",G556&amp;".","")))</f>
        <v>7.5.7.</v>
      </c>
      <c r="L556" s="137" t="str">
        <f t="shared" ca="1" si="620"/>
        <v>COREN</v>
      </c>
      <c r="M556" s="122" t="s">
        <v>80</v>
      </c>
      <c r="N556" s="139" t="s">
        <v>261</v>
      </c>
      <c r="O556" s="137" t="str">
        <f t="shared" ca="1" si="630"/>
        <v>Técnica de Enfermagem (Instrutor)</v>
      </c>
      <c r="P556" s="138" t="str">
        <f t="shared" ca="1" si="621"/>
        <v>Horas</v>
      </c>
      <c r="Q556" s="134">
        <v>2</v>
      </c>
      <c r="R556" s="124">
        <f t="shared" ca="1" si="622"/>
        <v>92.65</v>
      </c>
      <c r="S556" s="136" t="s">
        <v>62</v>
      </c>
      <c r="T556" s="123">
        <f t="shared" ca="1" si="623"/>
        <v>115.81</v>
      </c>
      <c r="U556" s="126">
        <f t="shared" ca="1" si="624"/>
        <v>231.62</v>
      </c>
      <c r="V556" s="1"/>
      <c r="W556" s="39" t="str">
        <f ca="1">IF(OR($A556=0,$A556="S",$A556&gt;CFF!$A$9),"",MAX(W$11:OFFSET(W556,-1,0))+1)</f>
        <v/>
      </c>
      <c r="X556" s="4" t="str">
        <f t="shared" si="625"/>
        <v>Serv. Terc.-086</v>
      </c>
      <c r="Y556" s="39">
        <f ca="1">IF(X556&lt;&gt;FALSE,MATCH(X556,OFFSET(Banco,0,0,,1),0))</f>
        <v>166</v>
      </c>
      <c r="Z556" s="1"/>
      <c r="AA556" s="133">
        <f>IF($J556=$G$2,ROUND(IF(ISNUMBER(S556),S556,IF(LEFT(S556,2)="DI",HLOOKUP(S556,DADOS!$T$29:$X$30,2,FALSE),0)),4),"")</f>
        <v>0.25</v>
      </c>
      <c r="AB556" s="2"/>
    </row>
    <row r="557" spans="1:28">
      <c r="A557" t="str">
        <f>CHOOSE(1+LOG(1+2*(J557=$C$2)+4*(J557=$D$2)+8*(J557=$E$2)+16*(J557=$F$2)+32*(J557=$G$2),2),0,1,2,3,4,"S")</f>
        <v>S</v>
      </c>
      <c r="B557">
        <f>IF(OR(A557="S",A557=0),0,IF(ISERROR(I557),H557,SMALL(H557:I557,1)))</f>
        <v>0</v>
      </c>
      <c r="C557">
        <f t="shared" ca="1" si="615"/>
        <v>7</v>
      </c>
      <c r="D557">
        <f t="shared" ca="1" si="616"/>
        <v>5</v>
      </c>
      <c r="E557">
        <f t="shared" ca="1" si="617"/>
        <v>0</v>
      </c>
      <c r="F557">
        <f t="shared" ca="1" si="618"/>
        <v>0</v>
      </c>
      <c r="G557">
        <f t="shared" ca="1" si="619"/>
        <v>8</v>
      </c>
      <c r="H557">
        <f ca="1">IF(OR($A557="S",$A557=0),0,MATCH(0,OFFSET($B557,1,$A557,ROW($A$1504)-ROW($A557)),0))</f>
        <v>0</v>
      </c>
      <c r="I557">
        <f ca="1">IF(OR($A557="S",$A557=0),0,MATCH(OFFSET($B557,0,$A557)+1,OFFSET($B557,1,$A557,ROW($A$1504)-ROW($A557)),0))</f>
        <v>0</v>
      </c>
      <c r="J557" s="132" t="s">
        <v>29</v>
      </c>
      <c r="K557" s="121" t="str">
        <f ca="1">IF($A557=0,"-",CONCATENATE(C557&amp;".",IF(AND($A$5&gt;=2,$A557&gt;=2),D557&amp;".",""),IF(AND($A$5&gt;=3,$A557&gt;=3),E557&amp;".",""),IF(AND($A$5&gt;=4,$A557&gt;=4),F557&amp;".",""),IF($A557="S",G557&amp;".","")))</f>
        <v>7.5.8.</v>
      </c>
      <c r="L557" s="137" t="str">
        <f t="shared" ca="1" si="620"/>
        <v>Cotação</v>
      </c>
      <c r="M557" s="122" t="s">
        <v>80</v>
      </c>
      <c r="N557" s="139" t="s">
        <v>294</v>
      </c>
      <c r="O557" s="137" t="str">
        <f ca="1">IF(NOT(ISERROR($Y557)),IF($Y557&lt;&gt;FALSE,INDEX(Banco,$Y557,5),""),"")</f>
        <v>KIT (massagem terapêutica)</v>
      </c>
      <c r="P557" s="138" t="str">
        <f t="shared" ca="1" si="621"/>
        <v>KIT</v>
      </c>
      <c r="Q557" s="134">
        <v>1</v>
      </c>
      <c r="R557" s="124">
        <f t="shared" ca="1" si="622"/>
        <v>102.94</v>
      </c>
      <c r="S557" s="136" t="s">
        <v>62</v>
      </c>
      <c r="T557" s="123">
        <f t="shared" ca="1" si="623"/>
        <v>128.68</v>
      </c>
      <c r="U557" s="126">
        <f t="shared" ca="1" si="624"/>
        <v>128.68</v>
      </c>
      <c r="V557" s="1"/>
      <c r="W557" s="39" t="str">
        <f ca="1">IF(OR($A557=0,$A557="S",$A557&gt;CFF!$A$9),"",MAX(W$11:OFFSET(W557,-1,0))+1)</f>
        <v/>
      </c>
      <c r="X557" s="4" t="str">
        <f t="shared" si="625"/>
        <v>Serv. Terc.-061</v>
      </c>
      <c r="Y557" s="39">
        <f ca="1">IF(X557&lt;&gt;FALSE,MATCH(X557,OFFSET(Banco,0,0,,1),0))</f>
        <v>141</v>
      </c>
      <c r="Z557" s="1"/>
      <c r="AA557" s="133">
        <f>IF($J557=$G$2,ROUND(IF(ISNUMBER(S557),S557,IF(LEFT(S557,2)="DI",HLOOKUP(S557,DADOS!$T$29:$X$30,2,FALSE),0)),4),"")</f>
        <v>0.25</v>
      </c>
      <c r="AB557" s="2"/>
    </row>
    <row r="558" spans="1:28">
      <c r="A558">
        <f>CHOOSE(1+LOG(1+2*(J558=$C$2)+4*(J558=$D$2)+8*(J558=$E$2)+16*(J558=$F$2)+32*(J558=$G$2),2),0,1,2,3,4,"S")</f>
        <v>2</v>
      </c>
      <c r="B558">
        <f ca="1">IF(OR(A558="S",A558=0),0,IF(ISERROR(I558),H558,SMALL(H558:I558,1)))</f>
        <v>3</v>
      </c>
      <c r="C558">
        <f ca="1">IF($A558=1,OFFSET(C558,-1,0)+1,OFFSET(C558,-1,0))</f>
        <v>7</v>
      </c>
      <c r="D558">
        <f ca="1">IF($A558=1,0,IF($A558=2,OFFSET(D558,-1,0)+1,OFFSET(D558,-1,0)))</f>
        <v>6</v>
      </c>
      <c r="E558">
        <f ca="1">IF(AND($A558&lt;=2,$A558&lt;&gt;0),0,IF($A558=3,OFFSET(E558,-1,0)+1,OFFSET(E558,-1,0)))</f>
        <v>0</v>
      </c>
      <c r="F558">
        <f ca="1">IF(AND($A558&lt;=3,$A558&lt;&gt;0),0,IF($A558=4,OFFSET(F558,-1,0)+1,OFFSET(F558,-1,0)))</f>
        <v>0</v>
      </c>
      <c r="G558">
        <f ca="1">IF(AND($A558&lt;=4,$A558&lt;&gt;0),0,IF($A558="S",OFFSET(G558,-1,0)+1,OFFSET(G558,-1,0)))</f>
        <v>0</v>
      </c>
      <c r="H558">
        <f ca="1">IF(OR($A558="S",$A558=0),0,MATCH(0,OFFSET($B558,1,$A558,ROW($A$1504)-ROW($A558)),0))</f>
        <v>83</v>
      </c>
      <c r="I558">
        <f ca="1">IF(OR($A558="S",$A558=0),0,MATCH(OFFSET($B558,0,$A558)+1,OFFSET($B558,1,$A558,ROW($A$1504)-ROW($A558)),0))</f>
        <v>3</v>
      </c>
      <c r="J558" s="132" t="s">
        <v>68</v>
      </c>
      <c r="K558" s="121" t="str">
        <f ca="1">IF($A558=0,"-",CONCATENATE(C558&amp;".",IF(AND($A$5&gt;=2,$A558&gt;=2),D558&amp;".",""),IF(AND($A$5&gt;=3,$A558&gt;=3),E558&amp;".",""),IF(AND($A$5&gt;=4,$A558&gt;=4),F558&amp;".",""),IF($A558="S",G558&amp;".","")))</f>
        <v>7.6.</v>
      </c>
      <c r="L558" s="137" t="str">
        <f ca="1">IF(NOT(ISERROR($Y558)),IF($Y558&lt;&gt;FALSE,INDEX(Banco,$Y558,4),""),"")</f>
        <v/>
      </c>
      <c r="M558" s="122"/>
      <c r="N558" s="139"/>
      <c r="O558" s="137" t="s">
        <v>387</v>
      </c>
      <c r="P558" s="138" t="str">
        <f ca="1">IF(NOT(ISERROR($Y558)),IF($Y558&lt;&gt;FALSE,INDEX(Banco,$Y558,6),""),"")</f>
        <v/>
      </c>
      <c r="Q558" s="134"/>
      <c r="R558" s="124">
        <f ca="1">IF(NOT(ISERROR($Y558)),IF($Y558&lt;&gt;FALSE,INDEX(Banco,$Y558,7),0),0)</f>
        <v>0</v>
      </c>
      <c r="S558" s="136" t="s">
        <v>62</v>
      </c>
      <c r="T558" s="123">
        <f>IF($J558=$G$2,ROUND(ROUND($R558,2)*IF($R$9="Preço Unitário (R$)",1,1+$AA558),2),0)</f>
        <v>0</v>
      </c>
      <c r="U558" s="126">
        <f ca="1">IF($A558="S",VTOTAL1,IF($A558=0,0,ROUND(SomaAgrup,2)))</f>
        <v>3427.56</v>
      </c>
      <c r="V558" s="1"/>
      <c r="W558" s="39">
        <f ca="1">IF(OR($A558=0,$A558="S",$A558&gt;CFF!$A$9),"",MAX(W$11:OFFSET(W558,-1,0))+1)</f>
        <v>47</v>
      </c>
      <c r="X558" s="4" t="b">
        <f>IF(AND($J558=$G$2,$N558&lt;&gt;"",$M558&lt;&gt;""),CONCATENATE($M558,"-",$N558))</f>
        <v>0</v>
      </c>
      <c r="Y558" s="39" t="b">
        <f ca="1">IF(X558&lt;&gt;FALSE,MATCH(X558,OFFSET(Banco,0,0,,1),0))</f>
        <v>0</v>
      </c>
      <c r="Z558" s="1"/>
      <c r="AA558" s="133" t="str">
        <f>IF($J558=$G$2,ROUND(IF(ISNUMBER(S558),S558,IF(LEFT(S558,2)="DI",HLOOKUP(S558,DADOS!$T$29:$X$30,2,FALSE),0)),4),"")</f>
        <v/>
      </c>
      <c r="AB558" s="2"/>
    </row>
    <row r="559" spans="1:28">
      <c r="A559" t="str">
        <f t="shared" ref="A559:A560" si="631">CHOOSE(1+LOG(1+2*(J559=$C$2)+4*(J559=$D$2)+8*(J559=$E$2)+16*(J559=$F$2)+32*(J559=$G$2),2),0,1,2,3,4,"S")</f>
        <v>S</v>
      </c>
      <c r="B559">
        <f t="shared" ref="B559:B560" si="632">IF(OR(A559="S",A559=0),0,IF(ISERROR(I559),H559,SMALL(H559:I559,1)))</f>
        <v>0</v>
      </c>
      <c r="C559">
        <f t="shared" ref="C559:C560" ca="1" si="633">IF($A559=1,OFFSET(C559,-1,0)+1,OFFSET(C559,-1,0))</f>
        <v>7</v>
      </c>
      <c r="D559">
        <f t="shared" ref="D559:D560" ca="1" si="634">IF($A559=1,0,IF($A559=2,OFFSET(D559,-1,0)+1,OFFSET(D559,-1,0)))</f>
        <v>6</v>
      </c>
      <c r="E559">
        <f t="shared" ref="E559:E560" ca="1" si="635">IF(AND($A559&lt;=2,$A559&lt;&gt;0),0,IF($A559=3,OFFSET(E559,-1,0)+1,OFFSET(E559,-1,0)))</f>
        <v>0</v>
      </c>
      <c r="F559">
        <f t="shared" ref="F559:F560" ca="1" si="636">IF(AND($A559&lt;=3,$A559&lt;&gt;0),0,IF($A559=4,OFFSET(F559,-1,0)+1,OFFSET(F559,-1,0)))</f>
        <v>0</v>
      </c>
      <c r="G559">
        <f t="shared" ref="G559:G560" ca="1" si="637">IF(AND($A559&lt;=4,$A559&lt;&gt;0),0,IF($A559="S",OFFSET(G559,-1,0)+1,OFFSET(G559,-1,0)))</f>
        <v>1</v>
      </c>
      <c r="H559">
        <f ca="1">IF(OR($A559="S",$A559=0),0,MATCH(0,OFFSET($B559,1,$A559,ROW($A$1504)-ROW($A559)),0))</f>
        <v>0</v>
      </c>
      <c r="I559">
        <f ca="1">IF(OR($A559="S",$A559=0),0,MATCH(OFFSET($B559,0,$A559)+1,OFFSET($B559,1,$A559,ROW($A$1504)-ROW($A559)),0))</f>
        <v>0</v>
      </c>
      <c r="J559" s="132" t="s">
        <v>29</v>
      </c>
      <c r="K559" s="121" t="str">
        <f t="shared" ref="K559:K560" ca="1" si="638">IF($A559=0,"-",CONCATENATE(C559&amp;".",IF(AND($A$5&gt;=2,$A559&gt;=2),D559&amp;".",""),IF(AND($A$5&gt;=3,$A559&gt;=3),E559&amp;".",""),IF(AND($A$5&gt;=4,$A559&gt;=4),F559&amp;".",""),IF($A559="S",G559&amp;".","")))</f>
        <v>7.6.1.</v>
      </c>
      <c r="L559" s="137" t="str">
        <f t="shared" ref="L559:L560" ca="1" si="639">IF(NOT(ISERROR($Y559)),IF($Y559&lt;&gt;FALSE,INDEX(Banco,$Y559,4),""),"")</f>
        <v>CRESS</v>
      </c>
      <c r="M559" s="122" t="s">
        <v>78</v>
      </c>
      <c r="N559" s="139" t="s">
        <v>149</v>
      </c>
      <c r="O559" s="137" t="str">
        <f ca="1">IF(NOT(ISERROR($Y559)),IF($Y559&lt;&gt;FALSE,INDEX(Banco,$Y559,5),""),"")</f>
        <v>Responsável Técnica</v>
      </c>
      <c r="P559" s="138" t="str">
        <f t="shared" ref="P559:P560" ca="1" si="640">IF(NOT(ISERROR($Y559)),IF($Y559&lt;&gt;FALSE,INDEX(Banco,$Y559,6),""),"")</f>
        <v>Horas</v>
      </c>
      <c r="Q559" s="134">
        <v>4</v>
      </c>
      <c r="R559" s="124">
        <f t="shared" ref="R559:R560" ca="1" si="641">IF(NOT(ISERROR($Y559)),IF($Y559&lt;&gt;FALSE,INDEX(Banco,$Y559,7),0),0)</f>
        <v>150.28</v>
      </c>
      <c r="S559" s="136" t="s">
        <v>62</v>
      </c>
      <c r="T559" s="123">
        <f t="shared" ref="T559:T560" ca="1" si="642">IF($J559=$G$2,ROUND(ROUND($R559,2)*IF($R$9="Preço Unitário (R$)",1,1+$AA559),2),0)</f>
        <v>187.85</v>
      </c>
      <c r="U559" s="126">
        <f t="shared" ref="U559:U560" ca="1" si="643">IF($A559="S",VTOTAL1,IF($A559=0,0,ROUND(SomaAgrup,2)))</f>
        <v>751.4</v>
      </c>
      <c r="V559" s="1"/>
      <c r="W559" s="39" t="str">
        <f ca="1">IF(OR($A559=0,$A559="S",$A559&gt;CFF!$A$9),"",MAX(W$11:OFFSET(W559,-1,0))+1)</f>
        <v/>
      </c>
      <c r="X559" s="4" t="str">
        <f t="shared" ref="X559:X560" si="644">IF(AND($J559=$G$2,$N559&lt;&gt;"",$M559&lt;&gt;""),CONCATENATE($M559,"-",$N559))</f>
        <v>Rec. Humanos-001</v>
      </c>
      <c r="Y559" s="39">
        <f t="shared" ref="Y559:Y560" ca="1" si="645">IF(X559&lt;&gt;FALSE,MATCH(X559,OFFSET(Banco,0,0,,1),0))</f>
        <v>3</v>
      </c>
      <c r="Z559" s="1"/>
      <c r="AA559" s="133">
        <f>IF($J559=$G$2,ROUND(IF(ISNUMBER(S559),S559,IF(LEFT(S559,2)="DI",HLOOKUP(S559,DADOS!$T$29:$X$30,2,FALSE),0)),4),"")</f>
        <v>0.25</v>
      </c>
      <c r="AB559" s="2"/>
    </row>
    <row r="560" spans="1:28">
      <c r="A560" t="str">
        <f t="shared" si="631"/>
        <v>S</v>
      </c>
      <c r="B560">
        <f t="shared" si="632"/>
        <v>0</v>
      </c>
      <c r="C560">
        <f t="shared" ca="1" si="633"/>
        <v>7</v>
      </c>
      <c r="D560">
        <f t="shared" ca="1" si="634"/>
        <v>6</v>
      </c>
      <c r="E560">
        <f t="shared" ca="1" si="635"/>
        <v>0</v>
      </c>
      <c r="F560">
        <f t="shared" ca="1" si="636"/>
        <v>0</v>
      </c>
      <c r="G560">
        <f t="shared" ca="1" si="637"/>
        <v>2</v>
      </c>
      <c r="H560">
        <f ca="1">IF(OR($A560="S",$A560=0),0,MATCH(0,OFFSET($B560,1,$A560,ROW($A$1504)-ROW($A560)),0))</f>
        <v>0</v>
      </c>
      <c r="I560">
        <f ca="1">IF(OR($A560="S",$A560=0),0,MATCH(OFFSET($B560,0,$A560)+1,OFFSET($B560,1,$A560,ROW($A$1504)-ROW($A560)),0))</f>
        <v>0</v>
      </c>
      <c r="J560" s="132" t="s">
        <v>29</v>
      </c>
      <c r="K560" s="121" t="str">
        <f t="shared" ca="1" si="638"/>
        <v>7.6.2.</v>
      </c>
      <c r="L560" s="137" t="str">
        <f t="shared" ca="1" si="639"/>
        <v>CRESS</v>
      </c>
      <c r="M560" s="122" t="s">
        <v>78</v>
      </c>
      <c r="N560" s="139" t="s">
        <v>152</v>
      </c>
      <c r="O560" s="137" t="str">
        <f ca="1">IF(NOT(ISERROR($Y560)),IF($Y560&lt;&gt;FALSE,INDEX(Banco,$Y560,5),""),"")</f>
        <v>Assistente Social</v>
      </c>
      <c r="P560" s="138" t="str">
        <f t="shared" ca="1" si="640"/>
        <v>Horas</v>
      </c>
      <c r="Q560" s="134">
        <v>16</v>
      </c>
      <c r="R560" s="124">
        <f t="shared" ca="1" si="641"/>
        <v>133.81</v>
      </c>
      <c r="S560" s="136" t="s">
        <v>62</v>
      </c>
      <c r="T560" s="123">
        <f t="shared" ca="1" si="642"/>
        <v>167.26</v>
      </c>
      <c r="U560" s="126">
        <f t="shared" ca="1" si="643"/>
        <v>2676.16</v>
      </c>
      <c r="V560" s="1"/>
      <c r="W560" s="39" t="str">
        <f ca="1">IF(OR($A560=0,$A560="S",$A560&gt;CFF!$A$9),"",MAX(W$11:OFFSET(W560,-1,0))+1)</f>
        <v/>
      </c>
      <c r="X560" s="4" t="str">
        <f t="shared" si="644"/>
        <v>Rec. Humanos-002</v>
      </c>
      <c r="Y560" s="39">
        <f t="shared" ca="1" si="645"/>
        <v>4</v>
      </c>
      <c r="Z560" s="1"/>
      <c r="AA560" s="133">
        <f>IF($J560=$G$2,ROUND(IF(ISNUMBER(S560),S560,IF(LEFT(S560,2)="DI",HLOOKUP(S560,DADOS!$T$29:$X$30,2,FALSE),0)),4),"")</f>
        <v>0.25</v>
      </c>
      <c r="AB560" s="2"/>
    </row>
    <row r="561" spans="1:28" ht="25.5">
      <c r="A561">
        <f>CHOOSE(1+LOG(1+2*(J561=$C$2)+4*(J561=$D$2)+8*(J561=$E$2)+16*(J561=$F$2)+32*(J561=$G$2),2),0,1,2,3,4,"S")</f>
        <v>2</v>
      </c>
      <c r="B561">
        <f ca="1">IF(OR(A561="S",A561=0),0,IF(ISERROR(I561),H561,SMALL(H561:I561,1)))</f>
        <v>19</v>
      </c>
      <c r="C561">
        <f ca="1">IF($A561=1,OFFSET(C561,-1,0)+1,OFFSET(C561,-1,0))</f>
        <v>7</v>
      </c>
      <c r="D561">
        <f ca="1">IF($A561=1,0,IF($A561=2,OFFSET(D561,-1,0)+1,OFFSET(D561,-1,0)))</f>
        <v>7</v>
      </c>
      <c r="E561">
        <f ca="1">IF(AND($A561&lt;=2,$A561&lt;&gt;0),0,IF($A561=3,OFFSET(E561,-1,0)+1,OFFSET(E561,-1,0)))</f>
        <v>0</v>
      </c>
      <c r="F561">
        <f ca="1">IF(AND($A561&lt;=3,$A561&lt;&gt;0),0,IF($A561=4,OFFSET(F561,-1,0)+1,OFFSET(F561,-1,0)))</f>
        <v>0</v>
      </c>
      <c r="G561">
        <f ca="1">IF(AND($A561&lt;=4,$A561&lt;&gt;0),0,IF($A561="S",OFFSET(G561,-1,0)+1,OFFSET(G561,-1,0)))</f>
        <v>0</v>
      </c>
      <c r="H561">
        <f ca="1">IF(OR($A561="S",$A561=0),0,MATCH(0,OFFSET($B561,1,$A561,ROW($A$1504)-ROW($A561)),0))</f>
        <v>80</v>
      </c>
      <c r="I561">
        <f ca="1">IF(OR($A561="S",$A561=0),0,MATCH(OFFSET($B561,0,$A561)+1,OFFSET($B561,1,$A561,ROW($A$1504)-ROW($A561)),0))</f>
        <v>19</v>
      </c>
      <c r="J561" s="132" t="s">
        <v>68</v>
      </c>
      <c r="K561" s="121" t="str">
        <f ca="1">IF($A561=0,"-",CONCATENATE(C561&amp;".",IF(AND($A$5&gt;=2,$A561&gt;=2),D561&amp;".",""),IF(AND($A$5&gt;=3,$A561&gt;=3),E561&amp;".",""),IF(AND($A$5&gt;=4,$A561&gt;=4),F561&amp;".",""),IF($A561="S",G561&amp;".","")))</f>
        <v>7.7.</v>
      </c>
      <c r="L561" s="137" t="str">
        <f ca="1">IF(NOT(ISERROR($Y561)),IF($Y561&lt;&gt;FALSE,INDEX(Banco,$Y561,4),""),"")</f>
        <v/>
      </c>
      <c r="M561" s="122"/>
      <c r="N561" s="139"/>
      <c r="O561" s="137" t="s">
        <v>388</v>
      </c>
      <c r="P561" s="138" t="str">
        <f ca="1">IF(NOT(ISERROR($Y561)),IF($Y561&lt;&gt;FALSE,INDEX(Banco,$Y561,6),""),"")</f>
        <v/>
      </c>
      <c r="Q561" s="134"/>
      <c r="R561" s="124">
        <f ca="1">IF(NOT(ISERROR($Y561)),IF($Y561&lt;&gt;FALSE,INDEX(Banco,$Y561,7),0),0)</f>
        <v>0</v>
      </c>
      <c r="S561" s="136" t="s">
        <v>62</v>
      </c>
      <c r="T561" s="123">
        <f>IF($J561=$G$2,ROUND(ROUND($R561,2)*IF($R$9="Preço Unitário (R$)",1,1+$AA561),2),0)</f>
        <v>0</v>
      </c>
      <c r="U561" s="126">
        <f ca="1">IF($A561="S",VTOTAL1,IF($A561=0,0,ROUND(SomaAgrup,2)))</f>
        <v>7028.14</v>
      </c>
      <c r="V561" s="1"/>
      <c r="W561" s="39">
        <f ca="1">IF(OR($A561=0,$A561="S",$A561&gt;CFF!$A$9),"",MAX(W$11:OFFSET(W561,-1,0))+1)</f>
        <v>48</v>
      </c>
      <c r="X561" s="4" t="b">
        <f>IF(AND($J561=$G$2,$N561&lt;&gt;"",$M561&lt;&gt;""),CONCATENATE($M561,"-",$N561))</f>
        <v>0</v>
      </c>
      <c r="Y561" s="39" t="b">
        <f ca="1">IF(X561&lt;&gt;FALSE,MATCH(X561,OFFSET(Banco,0,0,,1),0))</f>
        <v>0</v>
      </c>
      <c r="Z561" s="1"/>
      <c r="AA561" s="133" t="str">
        <f>IF($J561=$G$2,ROUND(IF(ISNUMBER(S561),S561,IF(LEFT(S561,2)="DI",HLOOKUP(S561,DADOS!$T$29:$X$30,2,FALSE),0)),4),"")</f>
        <v/>
      </c>
      <c r="AB561" s="2"/>
    </row>
    <row r="562" spans="1:28">
      <c r="A562" t="str">
        <f t="shared" ref="A562:A572" si="646">CHOOSE(1+LOG(1+2*(J562=$C$2)+4*(J562=$D$2)+8*(J562=$E$2)+16*(J562=$F$2)+32*(J562=$G$2),2),0,1,2,3,4,"S")</f>
        <v>S</v>
      </c>
      <c r="B562">
        <f t="shared" ref="B562:B572" si="647">IF(OR(A562="S",A562=0),0,IF(ISERROR(I562),H562,SMALL(H562:I562,1)))</f>
        <v>0</v>
      </c>
      <c r="C562">
        <f t="shared" ref="C562:C576" ca="1" si="648">IF($A562=1,OFFSET(C562,-1,0)+1,OFFSET(C562,-1,0))</f>
        <v>7</v>
      </c>
      <c r="D562">
        <f t="shared" ref="D562:D576" ca="1" si="649">IF($A562=1,0,IF($A562=2,OFFSET(D562,-1,0)+1,OFFSET(D562,-1,0)))</f>
        <v>7</v>
      </c>
      <c r="E562">
        <f t="shared" ref="E562:E576" ca="1" si="650">IF(AND($A562&lt;=2,$A562&lt;&gt;0),0,IF($A562=3,OFFSET(E562,-1,0)+1,OFFSET(E562,-1,0)))</f>
        <v>0</v>
      </c>
      <c r="F562">
        <f t="shared" ref="F562:F576" ca="1" si="651">IF(AND($A562&lt;=3,$A562&lt;&gt;0),0,IF($A562=4,OFFSET(F562,-1,0)+1,OFFSET(F562,-1,0)))</f>
        <v>0</v>
      </c>
      <c r="G562">
        <f t="shared" ref="G562:G576" ca="1" si="652">IF(AND($A562&lt;=4,$A562&lt;&gt;0),0,IF($A562="S",OFFSET(G562,-1,0)+1,OFFSET(G562,-1,0)))</f>
        <v>1</v>
      </c>
      <c r="H562">
        <f ca="1">IF(OR($A562="S",$A562=0),0,MATCH(0,OFFSET($B562,1,$A562,ROW($A$1504)-ROW($A562)),0))</f>
        <v>0</v>
      </c>
      <c r="I562">
        <f ca="1">IF(OR($A562="S",$A562=0),0,MATCH(OFFSET($B562,0,$A562)+1,OFFSET($B562,1,$A562,ROW($A$1504)-ROW($A562)),0))</f>
        <v>0</v>
      </c>
      <c r="J562" s="132" t="s">
        <v>29</v>
      </c>
      <c r="K562" s="121" t="str">
        <f t="shared" ref="K562:K572" ca="1" si="653">IF($A562=0,"-",CONCATENATE(C562&amp;".",IF(AND($A$5&gt;=2,$A562&gt;=2),D562&amp;".",""),IF(AND($A$5&gt;=3,$A562&gt;=3),E562&amp;".",""),IF(AND($A$5&gt;=4,$A562&gt;=4),F562&amp;".",""),IF($A562="S",G562&amp;".","")))</f>
        <v>7.7.1.</v>
      </c>
      <c r="L562" s="137" t="str">
        <f t="shared" ref="L562:L576" ca="1" si="654">IF(NOT(ISERROR($Y562)),IF($Y562&lt;&gt;FALSE,INDEX(Banco,$Y562,4),""),"")</f>
        <v>CRESS</v>
      </c>
      <c r="M562" s="122" t="s">
        <v>78</v>
      </c>
      <c r="N562" s="139" t="s">
        <v>149</v>
      </c>
      <c r="O562" s="137" t="str">
        <f ca="1">IF(NOT(ISERROR($Y562)),IF($Y562&lt;&gt;FALSE,INDEX(Banco,$Y562,5),""),"")</f>
        <v>Responsável Técnica</v>
      </c>
      <c r="P562" s="138" t="str">
        <f t="shared" ref="P562:P576" ca="1" si="655">IF(NOT(ISERROR($Y562)),IF($Y562&lt;&gt;FALSE,INDEX(Banco,$Y562,6),""),"")</f>
        <v>Horas</v>
      </c>
      <c r="Q562" s="134">
        <v>6</v>
      </c>
      <c r="R562" s="124">
        <f t="shared" ref="R562:R576" ca="1" si="656">IF(NOT(ISERROR($Y562)),IF($Y562&lt;&gt;FALSE,INDEX(Banco,$Y562,7),0),0)</f>
        <v>150.28</v>
      </c>
      <c r="S562" s="136" t="s">
        <v>62</v>
      </c>
      <c r="T562" s="123">
        <f t="shared" ref="T562:T576" ca="1" si="657">IF($J562=$G$2,ROUND(ROUND($R562,2)*IF($R$9="Preço Unitário (R$)",1,1+$AA562),2),0)</f>
        <v>187.85</v>
      </c>
      <c r="U562" s="126">
        <f t="shared" ref="U562:U576" ca="1" si="658">IF($A562="S",VTOTAL1,IF($A562=0,0,ROUND(SomaAgrup,2)))</f>
        <v>1127.0999999999999</v>
      </c>
      <c r="V562" s="1"/>
      <c r="W562" s="39" t="str">
        <f ca="1">IF(OR($A562=0,$A562="S",$A562&gt;CFF!$A$9),"",MAX(W$11:OFFSET(W562,-1,0))+1)</f>
        <v/>
      </c>
      <c r="X562" s="4" t="str">
        <f t="shared" ref="X562:X576" si="659">IF(AND($J562=$G$2,$N562&lt;&gt;"",$M562&lt;&gt;""),CONCATENATE($M562,"-",$N562))</f>
        <v>Rec. Humanos-001</v>
      </c>
      <c r="Y562" s="39">
        <f t="shared" ref="Y562:Y572" ca="1" si="660">IF(X562&lt;&gt;FALSE,MATCH(X562,OFFSET(Banco,0,0,,1),0))</f>
        <v>3</v>
      </c>
      <c r="Z562" s="1"/>
      <c r="AA562" s="133">
        <f>IF($J562=$G$2,ROUND(IF(ISNUMBER(S562),S562,IF(LEFT(S562,2)="DI",HLOOKUP(S562,DADOS!$T$29:$X$30,2,FALSE),0)),4),"")</f>
        <v>0.25</v>
      </c>
      <c r="AB562" s="2"/>
    </row>
    <row r="563" spans="1:28">
      <c r="A563" t="str">
        <f t="shared" si="646"/>
        <v>S</v>
      </c>
      <c r="B563">
        <f t="shared" si="647"/>
        <v>0</v>
      </c>
      <c r="C563">
        <f t="shared" ca="1" si="648"/>
        <v>7</v>
      </c>
      <c r="D563">
        <f t="shared" ca="1" si="649"/>
        <v>7</v>
      </c>
      <c r="E563">
        <f t="shared" ca="1" si="650"/>
        <v>0</v>
      </c>
      <c r="F563">
        <f t="shared" ca="1" si="651"/>
        <v>0</v>
      </c>
      <c r="G563">
        <f t="shared" ca="1" si="652"/>
        <v>2</v>
      </c>
      <c r="H563">
        <f ca="1">IF(OR($A563="S",$A563=0),0,MATCH(0,OFFSET($B563,1,$A563,ROW($A$1504)-ROW($A563)),0))</f>
        <v>0</v>
      </c>
      <c r="I563">
        <f ca="1">IF(OR($A563="S",$A563=0),0,MATCH(OFFSET($B563,0,$A563)+1,OFFSET($B563,1,$A563,ROW($A$1504)-ROW($A563)),0))</f>
        <v>0</v>
      </c>
      <c r="J563" s="132" t="s">
        <v>29</v>
      </c>
      <c r="K563" s="121" t="str">
        <f t="shared" ca="1" si="653"/>
        <v>7.7.2.</v>
      </c>
      <c r="L563" s="137" t="str">
        <f t="shared" ca="1" si="654"/>
        <v>CRESS</v>
      </c>
      <c r="M563" s="122" t="s">
        <v>78</v>
      </c>
      <c r="N563" s="139" t="s">
        <v>152</v>
      </c>
      <c r="O563" s="137" t="str">
        <f t="shared" ref="O563:O576" ca="1" si="661">IF(NOT(ISERROR($Y563)),IF($Y563&lt;&gt;FALSE,INDEX(Banco,$Y563,5),""),"")</f>
        <v>Assistente Social</v>
      </c>
      <c r="P563" s="138" t="str">
        <f t="shared" ca="1" si="655"/>
        <v>Horas</v>
      </c>
      <c r="Q563" s="134">
        <v>4</v>
      </c>
      <c r="R563" s="124">
        <f t="shared" ca="1" si="656"/>
        <v>133.81</v>
      </c>
      <c r="S563" s="136" t="s">
        <v>62</v>
      </c>
      <c r="T563" s="123">
        <f t="shared" ca="1" si="657"/>
        <v>167.26</v>
      </c>
      <c r="U563" s="126">
        <f t="shared" ca="1" si="658"/>
        <v>669.04</v>
      </c>
      <c r="V563" s="1"/>
      <c r="W563" s="39" t="str">
        <f ca="1">IF(OR($A563=0,$A563="S",$A563&gt;CFF!$A$9),"",MAX(W$11:OFFSET(W563,-1,0))+1)</f>
        <v/>
      </c>
      <c r="X563" s="4" t="str">
        <f t="shared" si="659"/>
        <v>Rec. Humanos-002</v>
      </c>
      <c r="Y563" s="39">
        <f t="shared" ca="1" si="660"/>
        <v>4</v>
      </c>
      <c r="Z563" s="1"/>
      <c r="AA563" s="133">
        <f>IF($J563=$G$2,ROUND(IF(ISNUMBER(S563),S563,IF(LEFT(S563,2)="DI",HLOOKUP(S563,DADOS!$T$29:$X$30,2,FALSE),0)),4),"")</f>
        <v>0.25</v>
      </c>
      <c r="AB563" s="2"/>
    </row>
    <row r="564" spans="1:28">
      <c r="A564" t="str">
        <f t="shared" si="646"/>
        <v>S</v>
      </c>
      <c r="B564">
        <f t="shared" si="647"/>
        <v>0</v>
      </c>
      <c r="C564">
        <f t="shared" ca="1" si="648"/>
        <v>7</v>
      </c>
      <c r="D564">
        <f t="shared" ca="1" si="649"/>
        <v>7</v>
      </c>
      <c r="E564">
        <f t="shared" ca="1" si="650"/>
        <v>0</v>
      </c>
      <c r="F564">
        <f t="shared" ca="1" si="651"/>
        <v>0</v>
      </c>
      <c r="G564">
        <f t="shared" ca="1" si="652"/>
        <v>3</v>
      </c>
      <c r="H564">
        <f ca="1">IF(OR($A564="S",$A564=0),0,MATCH(0,OFFSET($B564,1,$A564,ROW($A$1504)-ROW($A564)),0))</f>
        <v>0</v>
      </c>
      <c r="I564">
        <f ca="1">IF(OR($A564="S",$A564=0),0,MATCH(OFFSET($B564,0,$A564)+1,OFFSET($B564,1,$A564,ROW($A$1504)-ROW($A564)),0))</f>
        <v>0</v>
      </c>
      <c r="J564" s="132" t="s">
        <v>29</v>
      </c>
      <c r="K564" s="121" t="str">
        <f t="shared" ca="1" si="653"/>
        <v>7.7.3.</v>
      </c>
      <c r="L564" s="137" t="str">
        <f t="shared" ca="1" si="654"/>
        <v>Cotação</v>
      </c>
      <c r="M564" s="122" t="s">
        <v>78</v>
      </c>
      <c r="N564" s="139" t="s">
        <v>151</v>
      </c>
      <c r="O564" s="137" t="str">
        <f t="shared" ca="1" si="661"/>
        <v xml:space="preserve">Administrador (Técnico de Apoio) </v>
      </c>
      <c r="P564" s="138" t="str">
        <f t="shared" ca="1" si="655"/>
        <v>Horas</v>
      </c>
      <c r="Q564" s="134">
        <v>4</v>
      </c>
      <c r="R564" s="124">
        <f t="shared" ca="1" si="656"/>
        <v>103.65</v>
      </c>
      <c r="S564" s="136" t="s">
        <v>62</v>
      </c>
      <c r="T564" s="123">
        <f t="shared" ca="1" si="657"/>
        <v>129.56</v>
      </c>
      <c r="U564" s="126">
        <f t="shared" ca="1" si="658"/>
        <v>518.24</v>
      </c>
      <c r="V564" s="1"/>
      <c r="W564" s="39" t="str">
        <f ca="1">IF(OR($A564=0,$A564="S",$A564&gt;CFF!$A$9),"",MAX(W$11:OFFSET(W564,-1,0))+1)</f>
        <v/>
      </c>
      <c r="X564" s="4" t="str">
        <f t="shared" si="659"/>
        <v>Rec. Humanos-003</v>
      </c>
      <c r="Y564" s="39">
        <f t="shared" ca="1" si="660"/>
        <v>5</v>
      </c>
      <c r="Z564" s="1"/>
      <c r="AA564" s="133">
        <f>IF($J564=$G$2,ROUND(IF(ISNUMBER(S564),S564,IF(LEFT(S564,2)="DI",HLOOKUP(S564,DADOS!$T$29:$X$30,2,FALSE),0)),4),"")</f>
        <v>0.25</v>
      </c>
      <c r="AB564" s="2"/>
    </row>
    <row r="565" spans="1:28">
      <c r="A565" t="str">
        <f t="shared" si="646"/>
        <v>S</v>
      </c>
      <c r="B565">
        <f t="shared" si="647"/>
        <v>0</v>
      </c>
      <c r="C565">
        <f t="shared" ca="1" si="648"/>
        <v>7</v>
      </c>
      <c r="D565">
        <f t="shared" ca="1" si="649"/>
        <v>7</v>
      </c>
      <c r="E565">
        <f t="shared" ca="1" si="650"/>
        <v>0</v>
      </c>
      <c r="F565">
        <f t="shared" ca="1" si="651"/>
        <v>0</v>
      </c>
      <c r="G565">
        <f t="shared" ca="1" si="652"/>
        <v>4</v>
      </c>
      <c r="H565">
        <f ca="1">IF(OR($A565="S",$A565=0),0,MATCH(0,OFFSET($B565,1,$A565,ROW($A$1504)-ROW($A565)),0))</f>
        <v>0</v>
      </c>
      <c r="I565">
        <f ca="1">IF(OR($A565="S",$A565=0),0,MATCH(OFFSET($B565,0,$A565)+1,OFFSET($B565,1,$A565,ROW($A$1504)-ROW($A565)),0))</f>
        <v>0</v>
      </c>
      <c r="J565" s="132" t="s">
        <v>29</v>
      </c>
      <c r="K565" s="121" t="str">
        <f t="shared" ca="1" si="653"/>
        <v>7.7.4.</v>
      </c>
      <c r="L565" s="137" t="str">
        <f t="shared" ca="1" si="654"/>
        <v>SINE</v>
      </c>
      <c r="M565" s="122" t="s">
        <v>78</v>
      </c>
      <c r="N565" s="139" t="s">
        <v>153</v>
      </c>
      <c r="O565" s="137" t="str">
        <f t="shared" ca="1" si="661"/>
        <v>Estagiários</v>
      </c>
      <c r="P565" s="138" t="str">
        <f t="shared" ca="1" si="655"/>
        <v>Horas</v>
      </c>
      <c r="Q565" s="134">
        <v>10</v>
      </c>
      <c r="R565" s="124">
        <f t="shared" ca="1" si="656"/>
        <v>9.7899999999999991</v>
      </c>
      <c r="S565" s="136" t="s">
        <v>62</v>
      </c>
      <c r="T565" s="123">
        <f t="shared" ca="1" si="657"/>
        <v>12.24</v>
      </c>
      <c r="U565" s="126">
        <f t="shared" ca="1" si="658"/>
        <v>122.4</v>
      </c>
      <c r="V565" s="1"/>
      <c r="W565" s="39" t="str">
        <f ca="1">IF(OR($A565=0,$A565="S",$A565&gt;CFF!$A$9),"",MAX(W$11:OFFSET(W565,-1,0))+1)</f>
        <v/>
      </c>
      <c r="X565" s="4" t="str">
        <f t="shared" si="659"/>
        <v>Rec. Humanos-004</v>
      </c>
      <c r="Y565" s="39">
        <f t="shared" ca="1" si="660"/>
        <v>6</v>
      </c>
      <c r="Z565" s="1"/>
      <c r="AA565" s="133">
        <f>IF($J565=$G$2,ROUND(IF(ISNUMBER(S565),S565,IF(LEFT(S565,2)="DI",HLOOKUP(S565,DADOS!$T$29:$X$30,2,FALSE),0)),4),"")</f>
        <v>0.25</v>
      </c>
      <c r="AB565" s="2"/>
    </row>
    <row r="566" spans="1:28">
      <c r="A566" t="str">
        <f t="shared" si="646"/>
        <v>S</v>
      </c>
      <c r="B566">
        <f t="shared" si="647"/>
        <v>0</v>
      </c>
      <c r="C566">
        <f t="shared" ca="1" si="648"/>
        <v>7</v>
      </c>
      <c r="D566">
        <f t="shared" ca="1" si="649"/>
        <v>7</v>
      </c>
      <c r="E566">
        <f t="shared" ca="1" si="650"/>
        <v>0</v>
      </c>
      <c r="F566">
        <f t="shared" ca="1" si="651"/>
        <v>0</v>
      </c>
      <c r="G566">
        <f t="shared" ca="1" si="652"/>
        <v>5</v>
      </c>
      <c r="H566">
        <f ca="1">IF(OR($A566="S",$A566=0),0,MATCH(0,OFFSET($B566,1,$A566,ROW($A$1504)-ROW($A566)),0))</f>
        <v>0</v>
      </c>
      <c r="I566">
        <f ca="1">IF(OR($A566="S",$A566=0),0,MATCH(OFFSET($B566,0,$A566)+1,OFFSET($B566,1,$A566,ROW($A$1504)-ROW($A566)),0))</f>
        <v>0</v>
      </c>
      <c r="J566" s="132" t="s">
        <v>29</v>
      </c>
      <c r="K566" s="121" t="str">
        <f t="shared" ca="1" si="653"/>
        <v>7.7.5.</v>
      </c>
      <c r="L566" s="137" t="str">
        <f t="shared" ca="1" si="654"/>
        <v>Cotação</v>
      </c>
      <c r="M566" s="122" t="s">
        <v>80</v>
      </c>
      <c r="N566" s="139" t="s">
        <v>149</v>
      </c>
      <c r="O566" s="137" t="str">
        <f t="shared" ca="1" si="661"/>
        <v>Fotocópias</v>
      </c>
      <c r="P566" s="138" t="str">
        <f t="shared" ca="1" si="655"/>
        <v>Unidade</v>
      </c>
      <c r="Q566" s="134">
        <v>125</v>
      </c>
      <c r="R566" s="124">
        <f t="shared" ca="1" si="656"/>
        <v>0.3</v>
      </c>
      <c r="S566" s="136" t="s">
        <v>62</v>
      </c>
      <c r="T566" s="123">
        <f t="shared" ca="1" si="657"/>
        <v>0.38</v>
      </c>
      <c r="U566" s="126">
        <f t="shared" ca="1" si="658"/>
        <v>47.5</v>
      </c>
      <c r="V566" s="1"/>
      <c r="W566" s="39" t="str">
        <f ca="1">IF(OR($A566=0,$A566="S",$A566&gt;CFF!$A$9),"",MAX(W$11:OFFSET(W566,-1,0))+1)</f>
        <v/>
      </c>
      <c r="X566" s="4" t="str">
        <f t="shared" si="659"/>
        <v>Serv. Terc.-001</v>
      </c>
      <c r="Y566" s="39">
        <f t="shared" ca="1" si="660"/>
        <v>81</v>
      </c>
      <c r="Z566" s="1"/>
      <c r="AA566" s="133">
        <f>IF($J566=$G$2,ROUND(IF(ISNUMBER(S566),S566,IF(LEFT(S566,2)="DI",HLOOKUP(S566,DADOS!$T$29:$X$30,2,FALSE),0)),4),"")</f>
        <v>0.25</v>
      </c>
      <c r="AB566" s="2"/>
    </row>
    <row r="567" spans="1:28">
      <c r="A567" t="str">
        <f t="shared" si="646"/>
        <v>S</v>
      </c>
      <c r="B567">
        <f t="shared" si="647"/>
        <v>0</v>
      </c>
      <c r="C567">
        <f ca="1">IF($A567=1,OFFSET(C567,-1,0)+1,OFFSET(C567,-1,0))</f>
        <v>7</v>
      </c>
      <c r="D567">
        <f ca="1">IF($A567=1,0,IF($A567=2,OFFSET(D567,-1,0)+1,OFFSET(D567,-1,0)))</f>
        <v>7</v>
      </c>
      <c r="E567">
        <f ca="1">IF(AND($A567&lt;=2,$A567&lt;&gt;0),0,IF($A567=3,OFFSET(E567,-1,0)+1,OFFSET(E567,-1,0)))</f>
        <v>0</v>
      </c>
      <c r="F567">
        <f ca="1">IF(AND($A567&lt;=3,$A567&lt;&gt;0),0,IF($A567=4,OFFSET(F567,-1,0)+1,OFFSET(F567,-1,0)))</f>
        <v>0</v>
      </c>
      <c r="G567">
        <f ca="1">IF(AND($A567&lt;=4,$A567&lt;&gt;0),0,IF($A567="S",OFFSET(G567,-1,0)+1,OFFSET(G567,-1,0)))</f>
        <v>6</v>
      </c>
      <c r="H567">
        <f ca="1">IF(OR($A567="S",$A567=0),0,MATCH(0,OFFSET($B567,1,$A567,ROW($A$1504)-ROW($A567)),0))</f>
        <v>0</v>
      </c>
      <c r="I567">
        <f ca="1">IF(OR($A567="S",$A567=0),0,MATCH(OFFSET($B567,0,$A567)+1,OFFSET($B567,1,$A567,ROW($A$1504)-ROW($A567)),0))</f>
        <v>0</v>
      </c>
      <c r="J567" s="132" t="s">
        <v>29</v>
      </c>
      <c r="K567" s="121" t="str">
        <f t="shared" ca="1" si="653"/>
        <v>7.7.6.</v>
      </c>
      <c r="L567" s="137" t="str">
        <f ca="1">IF(NOT(ISERROR($Y567)),IF($Y567&lt;&gt;FALSE,INDEX(Banco,$Y567,4),""),"")</f>
        <v>Cotação</v>
      </c>
      <c r="M567" s="122" t="s">
        <v>80</v>
      </c>
      <c r="N567" s="139" t="s">
        <v>256</v>
      </c>
      <c r="O567" s="137" t="str">
        <f ca="1">IF(NOT(ISERROR($Y567)),IF($Y567&lt;&gt;FALSE,INDEX(Banco,$Y567,5),""),"")</f>
        <v>Instrutor/Monitor (Educação Fisíca)</v>
      </c>
      <c r="P567" s="138" t="str">
        <f ca="1">IF(NOT(ISERROR($Y567)),IF($Y567&lt;&gt;FALSE,INDEX(Banco,$Y567,6),""),"")</f>
        <v>Horas</v>
      </c>
      <c r="Q567" s="134">
        <v>3</v>
      </c>
      <c r="R567" s="124">
        <f ca="1">IF(NOT(ISERROR($Y567)),IF($Y567&lt;&gt;FALSE,INDEX(Banco,$Y567,7),0),0)</f>
        <v>100</v>
      </c>
      <c r="S567" s="136" t="s">
        <v>62</v>
      </c>
      <c r="T567" s="123">
        <f ca="1">IF($J567=$G$2,ROUND(ROUND($R567,2)*IF($R$9="Preço Unitário (R$)",1,1+$AA567),2),0)</f>
        <v>125</v>
      </c>
      <c r="U567" s="126">
        <f ca="1">IF($A567="S",VTOTAL1,IF($A567=0,0,ROUND(SomaAgrup,2)))</f>
        <v>375</v>
      </c>
      <c r="V567" s="1"/>
      <c r="W567" s="39" t="str">
        <f ca="1">IF(OR($A567=0,$A567="S",$A567&gt;CFF!$A$9),"",MAX(W$11:OFFSET(W567,-1,0))+1)</f>
        <v/>
      </c>
      <c r="X567" s="4" t="str">
        <f>IF(AND($J567=$G$2,$N567&lt;&gt;"",$M567&lt;&gt;""),CONCATENATE($M567,"-",$N567))</f>
        <v>Serv. Terc.-017</v>
      </c>
      <c r="Y567" s="39">
        <f t="shared" ca="1" si="660"/>
        <v>97</v>
      </c>
      <c r="Z567" s="1"/>
      <c r="AA567" s="133">
        <f>IF($J567=$G$2,ROUND(IF(ISNUMBER(S567),S567,IF(LEFT(S567,2)="DI",HLOOKUP(S567,DADOS!$T$29:$X$30,2,FALSE),0)),4),"")</f>
        <v>0.25</v>
      </c>
      <c r="AB567" s="2"/>
    </row>
    <row r="568" spans="1:28">
      <c r="A568" t="str">
        <f t="shared" si="646"/>
        <v>S</v>
      </c>
      <c r="B568">
        <f t="shared" si="647"/>
        <v>0</v>
      </c>
      <c r="C568">
        <f t="shared" ca="1" si="648"/>
        <v>7</v>
      </c>
      <c r="D568">
        <f t="shared" ca="1" si="649"/>
        <v>7</v>
      </c>
      <c r="E568">
        <f t="shared" ca="1" si="650"/>
        <v>0</v>
      </c>
      <c r="F568">
        <f t="shared" ca="1" si="651"/>
        <v>0</v>
      </c>
      <c r="G568">
        <f t="shared" ca="1" si="652"/>
        <v>7</v>
      </c>
      <c r="H568">
        <f ca="1">IF(OR($A568="S",$A568=0),0,MATCH(0,OFFSET($B568,1,$A568,ROW($A$1504)-ROW($A568)),0))</f>
        <v>0</v>
      </c>
      <c r="I568">
        <f ca="1">IF(OR($A568="S",$A568=0),0,MATCH(OFFSET($B568,0,$A568)+1,OFFSET($B568,1,$A568,ROW($A$1504)-ROW($A568)),0))</f>
        <v>0</v>
      </c>
      <c r="J568" s="132" t="s">
        <v>29</v>
      </c>
      <c r="K568" s="121" t="str">
        <f t="shared" ca="1" si="653"/>
        <v>7.7.7.</v>
      </c>
      <c r="L568" s="137" t="str">
        <f t="shared" ca="1" si="654"/>
        <v>Cotação</v>
      </c>
      <c r="M568" s="122" t="s">
        <v>80</v>
      </c>
      <c r="N568" s="139" t="s">
        <v>152</v>
      </c>
      <c r="O568" s="137" t="str">
        <f t="shared" ca="1" si="661"/>
        <v>Carro de som com gravação de vinheta</v>
      </c>
      <c r="P568" s="138" t="str">
        <f t="shared" ca="1" si="655"/>
        <v>Horas</v>
      </c>
      <c r="Q568" s="134">
        <v>3</v>
      </c>
      <c r="R568" s="124">
        <f t="shared" ca="1" si="656"/>
        <v>200</v>
      </c>
      <c r="S568" s="136" t="s">
        <v>62</v>
      </c>
      <c r="T568" s="123">
        <f t="shared" ca="1" si="657"/>
        <v>250</v>
      </c>
      <c r="U568" s="126">
        <f t="shared" ca="1" si="658"/>
        <v>750</v>
      </c>
      <c r="V568" s="1"/>
      <c r="W568" s="39" t="str">
        <f ca="1">IF(OR($A568=0,$A568="S",$A568&gt;CFF!$A$9),"",MAX(W$11:OFFSET(W568,-1,0))+1)</f>
        <v/>
      </c>
      <c r="X568" s="4" t="str">
        <f t="shared" si="659"/>
        <v>Serv. Terc.-002</v>
      </c>
      <c r="Y568" s="39">
        <f t="shared" ca="1" si="660"/>
        <v>82</v>
      </c>
      <c r="Z568" s="1"/>
      <c r="AA568" s="133">
        <f>IF($J568=$G$2,ROUND(IF(ISNUMBER(S568),S568,IF(LEFT(S568,2)="DI",HLOOKUP(S568,DADOS!$T$29:$X$30,2,FALSE),0)),4),"")</f>
        <v>0.25</v>
      </c>
      <c r="AB568" s="2"/>
    </row>
    <row r="569" spans="1:28">
      <c r="A569" t="str">
        <f t="shared" si="646"/>
        <v>S</v>
      </c>
      <c r="B569">
        <f t="shared" si="647"/>
        <v>0</v>
      </c>
      <c r="C569">
        <f t="shared" ca="1" si="648"/>
        <v>7</v>
      </c>
      <c r="D569">
        <f t="shared" ca="1" si="649"/>
        <v>7</v>
      </c>
      <c r="E569">
        <f t="shared" ca="1" si="650"/>
        <v>0</v>
      </c>
      <c r="F569">
        <f t="shared" ca="1" si="651"/>
        <v>0</v>
      </c>
      <c r="G569">
        <f t="shared" ca="1" si="652"/>
        <v>8</v>
      </c>
      <c r="H569">
        <f ca="1">IF(OR($A569="S",$A569=0),0,MATCH(0,OFFSET($B569,1,$A569,ROW($A$1504)-ROW($A569)),0))</f>
        <v>0</v>
      </c>
      <c r="I569">
        <f ca="1">IF(OR($A569="S",$A569=0),0,MATCH(OFFSET($B569,0,$A569)+1,OFFSET($B569,1,$A569,ROW($A$1504)-ROW($A569)),0))</f>
        <v>0</v>
      </c>
      <c r="J569" s="132" t="s">
        <v>29</v>
      </c>
      <c r="K569" s="121" t="str">
        <f t="shared" ca="1" si="653"/>
        <v>7.7.8.</v>
      </c>
      <c r="L569" s="137" t="str">
        <f t="shared" ca="1" si="654"/>
        <v>Cotação</v>
      </c>
      <c r="M569" s="122" t="s">
        <v>80</v>
      </c>
      <c r="N569" s="139" t="s">
        <v>154</v>
      </c>
      <c r="O569" s="137" t="str">
        <f t="shared" ca="1" si="661"/>
        <v>Locação de caixa térmica</v>
      </c>
      <c r="P569" s="138" t="str">
        <f t="shared" ca="1" si="655"/>
        <v>Unidade</v>
      </c>
      <c r="Q569" s="134">
        <v>2</v>
      </c>
      <c r="R569" s="124">
        <f t="shared" ca="1" si="656"/>
        <v>40</v>
      </c>
      <c r="S569" s="136" t="s">
        <v>62</v>
      </c>
      <c r="T569" s="123">
        <f t="shared" ca="1" si="657"/>
        <v>50</v>
      </c>
      <c r="U569" s="126">
        <f t="shared" ca="1" si="658"/>
        <v>100</v>
      </c>
      <c r="V569" s="1"/>
      <c r="W569" s="39" t="str">
        <f ca="1">IF(OR($A569=0,$A569="S",$A569&gt;CFF!$A$9),"",MAX(W$11:OFFSET(W569,-1,0))+1)</f>
        <v/>
      </c>
      <c r="X569" s="4" t="str">
        <f t="shared" si="659"/>
        <v>Serv. Terc.-005</v>
      </c>
      <c r="Y569" s="39">
        <f t="shared" ca="1" si="660"/>
        <v>85</v>
      </c>
      <c r="Z569" s="1"/>
      <c r="AA569" s="133">
        <f>IF($J569=$G$2,ROUND(IF(ISNUMBER(S569),S569,IF(LEFT(S569,2)="DI",HLOOKUP(S569,DADOS!$T$29:$X$30,2,FALSE),0)),4),"")</f>
        <v>0.25</v>
      </c>
      <c r="AB569" s="2"/>
    </row>
    <row r="570" spans="1:28">
      <c r="A570" t="str">
        <f t="shared" si="646"/>
        <v>S</v>
      </c>
      <c r="B570">
        <f t="shared" si="647"/>
        <v>0</v>
      </c>
      <c r="C570">
        <f t="shared" ca="1" si="648"/>
        <v>7</v>
      </c>
      <c r="D570">
        <f t="shared" ca="1" si="649"/>
        <v>7</v>
      </c>
      <c r="E570">
        <f t="shared" ca="1" si="650"/>
        <v>0</v>
      </c>
      <c r="F570">
        <f t="shared" ca="1" si="651"/>
        <v>0</v>
      </c>
      <c r="G570">
        <f t="shared" ca="1" si="652"/>
        <v>9</v>
      </c>
      <c r="H570">
        <f ca="1">IF(OR($A570="S",$A570=0),0,MATCH(0,OFFSET($B570,1,$A570,ROW($A$1504)-ROW($A570)),0))</f>
        <v>0</v>
      </c>
      <c r="I570">
        <f ca="1">IF(OR($A570="S",$A570=0),0,MATCH(OFFSET($B570,0,$A570)+1,OFFSET($B570,1,$A570,ROW($A$1504)-ROW($A570)),0))</f>
        <v>0</v>
      </c>
      <c r="J570" s="132" t="s">
        <v>29</v>
      </c>
      <c r="K570" s="121" t="str">
        <f t="shared" ca="1" si="653"/>
        <v>7.7.9.</v>
      </c>
      <c r="L570" s="137" t="str">
        <f t="shared" ca="1" si="654"/>
        <v>Cotação</v>
      </c>
      <c r="M570" s="122" t="s">
        <v>80</v>
      </c>
      <c r="N570" s="139" t="s">
        <v>157</v>
      </c>
      <c r="O570" s="137" t="str">
        <f t="shared" ca="1" si="661"/>
        <v>Locação de pula-pula com monitor</v>
      </c>
      <c r="P570" s="138" t="str">
        <f t="shared" ca="1" si="655"/>
        <v>Unidade</v>
      </c>
      <c r="Q570" s="134">
        <v>2</v>
      </c>
      <c r="R570" s="124">
        <f t="shared" ca="1" si="656"/>
        <v>220</v>
      </c>
      <c r="S570" s="136" t="s">
        <v>62</v>
      </c>
      <c r="T570" s="123">
        <f t="shared" ca="1" si="657"/>
        <v>275</v>
      </c>
      <c r="U570" s="126">
        <f t="shared" ca="1" si="658"/>
        <v>550</v>
      </c>
      <c r="V570" s="1"/>
      <c r="W570" s="39" t="str">
        <f ca="1">IF(OR($A570=0,$A570="S",$A570&gt;CFF!$A$9),"",MAX(W$11:OFFSET(W570,-1,0))+1)</f>
        <v/>
      </c>
      <c r="X570" s="4" t="str">
        <f t="shared" si="659"/>
        <v>Serv. Terc.-008</v>
      </c>
      <c r="Y570" s="39">
        <f t="shared" ca="1" si="660"/>
        <v>88</v>
      </c>
      <c r="Z570" s="1"/>
      <c r="AA570" s="133">
        <f>IF($J570=$G$2,ROUND(IF(ISNUMBER(S570),S570,IF(LEFT(S570,2)="DI",HLOOKUP(S570,DADOS!$T$29:$X$30,2,FALSE),0)),4),"")</f>
        <v>0.25</v>
      </c>
      <c r="AB570" s="2"/>
    </row>
    <row r="571" spans="1:28">
      <c r="A571" t="str">
        <f t="shared" si="646"/>
        <v>S</v>
      </c>
      <c r="B571">
        <f t="shared" si="647"/>
        <v>0</v>
      </c>
      <c r="C571">
        <f t="shared" ca="1" si="648"/>
        <v>7</v>
      </c>
      <c r="D571">
        <f t="shared" ca="1" si="649"/>
        <v>7</v>
      </c>
      <c r="E571">
        <f t="shared" ca="1" si="650"/>
        <v>0</v>
      </c>
      <c r="F571">
        <f t="shared" ca="1" si="651"/>
        <v>0</v>
      </c>
      <c r="G571">
        <f t="shared" ca="1" si="652"/>
        <v>10</v>
      </c>
      <c r="H571">
        <f ca="1">IF(OR($A571="S",$A571=0),0,MATCH(0,OFFSET($B571,1,$A571,ROW($A$1504)-ROW($A571)),0))</f>
        <v>0</v>
      </c>
      <c r="I571">
        <f ca="1">IF(OR($A571="S",$A571=0),0,MATCH(OFFSET($B571,0,$A571)+1,OFFSET($B571,1,$A571,ROW($A$1504)-ROW($A571)),0))</f>
        <v>0</v>
      </c>
      <c r="J571" s="132" t="s">
        <v>29</v>
      </c>
      <c r="K571" s="121" t="str">
        <f t="shared" ca="1" si="653"/>
        <v>7.7.10.</v>
      </c>
      <c r="L571" s="137" t="str">
        <f t="shared" ca="1" si="654"/>
        <v xml:space="preserve">Cotação </v>
      </c>
      <c r="M571" s="122" t="s">
        <v>80</v>
      </c>
      <c r="N571" s="139" t="s">
        <v>160</v>
      </c>
      <c r="O571" s="137" t="str">
        <f t="shared" ca="1" si="661"/>
        <v>Barra de gelo</v>
      </c>
      <c r="P571" s="138" t="str">
        <f t="shared" ca="1" si="655"/>
        <v>Unidade</v>
      </c>
      <c r="Q571" s="134">
        <v>4</v>
      </c>
      <c r="R571" s="124">
        <f t="shared" ca="1" si="656"/>
        <v>12</v>
      </c>
      <c r="S571" s="136" t="s">
        <v>62</v>
      </c>
      <c r="T571" s="123">
        <f t="shared" ca="1" si="657"/>
        <v>15</v>
      </c>
      <c r="U571" s="126">
        <f t="shared" ca="1" si="658"/>
        <v>60</v>
      </c>
      <c r="V571" s="1"/>
      <c r="W571" s="39" t="str">
        <f ca="1">IF(OR($A571=0,$A571="S",$A571&gt;CFF!$A$9),"",MAX(W$11:OFFSET(W571,-1,0))+1)</f>
        <v/>
      </c>
      <c r="X571" s="4" t="str">
        <f t="shared" si="659"/>
        <v>Serv. Terc.-011</v>
      </c>
      <c r="Y571" s="39">
        <f t="shared" ca="1" si="660"/>
        <v>91</v>
      </c>
      <c r="Z571" s="1"/>
      <c r="AA571" s="133">
        <f>IF($J571=$G$2,ROUND(IF(ISNUMBER(S571),S571,IF(LEFT(S571,2)="DI",HLOOKUP(S571,DADOS!$T$29:$X$30,2,FALSE),0)),4),"")</f>
        <v>0.25</v>
      </c>
      <c r="AB571" s="2"/>
    </row>
    <row r="572" spans="1:28">
      <c r="A572" t="str">
        <f t="shared" si="646"/>
        <v>S</v>
      </c>
      <c r="B572">
        <f t="shared" si="647"/>
        <v>0</v>
      </c>
      <c r="C572">
        <f t="shared" ca="1" si="648"/>
        <v>7</v>
      </c>
      <c r="D572">
        <f t="shared" ca="1" si="649"/>
        <v>7</v>
      </c>
      <c r="E572">
        <f t="shared" ca="1" si="650"/>
        <v>0</v>
      </c>
      <c r="F572">
        <f t="shared" ca="1" si="651"/>
        <v>0</v>
      </c>
      <c r="G572">
        <f t="shared" ca="1" si="652"/>
        <v>11</v>
      </c>
      <c r="H572">
        <f ca="1">IF(OR($A572="S",$A572=0),0,MATCH(0,OFFSET($B572,1,$A572,ROW($A$1504)-ROW($A572)),0))</f>
        <v>0</v>
      </c>
      <c r="I572">
        <f ca="1">IF(OR($A572="S",$A572=0),0,MATCH(OFFSET($B572,0,$A572)+1,OFFSET($B572,1,$A572,ROW($A$1504)-ROW($A572)),0))</f>
        <v>0</v>
      </c>
      <c r="J572" s="132" t="s">
        <v>29</v>
      </c>
      <c r="K572" s="121" t="str">
        <f t="shared" ca="1" si="653"/>
        <v>7.7.11.</v>
      </c>
      <c r="L572" s="137" t="str">
        <f t="shared" ca="1" si="654"/>
        <v>Cotação</v>
      </c>
      <c r="M572" s="122" t="s">
        <v>80</v>
      </c>
      <c r="N572" s="139" t="s">
        <v>150</v>
      </c>
      <c r="O572" s="137" t="str">
        <f t="shared" ca="1" si="661"/>
        <v>Sucos</v>
      </c>
      <c r="P572" s="138" t="str">
        <f t="shared" ca="1" si="655"/>
        <v>Unidade</v>
      </c>
      <c r="Q572" s="134">
        <v>12</v>
      </c>
      <c r="R572" s="124">
        <f t="shared" ca="1" si="656"/>
        <v>6.4</v>
      </c>
      <c r="S572" s="136" t="s">
        <v>62</v>
      </c>
      <c r="T572" s="123">
        <f t="shared" ca="1" si="657"/>
        <v>8</v>
      </c>
      <c r="U572" s="126">
        <f t="shared" ca="1" si="658"/>
        <v>96</v>
      </c>
      <c r="V572" s="1"/>
      <c r="W572" s="39" t="str">
        <f ca="1">IF(OR($A572=0,$A572="S",$A572&gt;CFF!$A$9),"",MAX(W$11:OFFSET(W572,-1,0))+1)</f>
        <v/>
      </c>
      <c r="X572" s="4" t="str">
        <f t="shared" si="659"/>
        <v>Serv. Terc.-013</v>
      </c>
      <c r="Y572" s="39">
        <f t="shared" ca="1" si="660"/>
        <v>93</v>
      </c>
      <c r="Z572" s="1"/>
      <c r="AA572" s="133">
        <f>IF($J572=$G$2,ROUND(IF(ISNUMBER(S572),S572,IF(LEFT(S572,2)="DI",HLOOKUP(S572,DADOS!$T$29:$X$30,2,FALSE),0)),4),"")</f>
        <v>0.25</v>
      </c>
      <c r="AB572" s="2"/>
    </row>
    <row r="573" spans="1:28">
      <c r="A573" t="str">
        <f t="shared" ref="A573:A578" si="662">CHOOSE(1+LOG(1+2*(J573=$C$2)+4*(J573=$D$2)+8*(J573=$E$2)+16*(J573=$F$2)+32*(J573=$G$2),2),0,1,2,3,4,"S")</f>
        <v>S</v>
      </c>
      <c r="B573">
        <f t="shared" ref="B573:B578" si="663">IF(OR(A573="S",A573=0),0,IF(ISERROR(I573),H573,SMALL(H573:I573,1)))</f>
        <v>0</v>
      </c>
      <c r="C573">
        <f ca="1">IF($A573=1,OFFSET(C573,-1,0)+1,OFFSET(C573,-1,0))</f>
        <v>7</v>
      </c>
      <c r="D573">
        <f ca="1">IF($A573=1,0,IF($A573=2,OFFSET(D573,-1,0)+1,OFFSET(D573,-1,0)))</f>
        <v>7</v>
      </c>
      <c r="E573">
        <f ca="1">IF(AND($A573&lt;=2,$A573&lt;&gt;0),0,IF($A573=3,OFFSET(E573,-1,0)+1,OFFSET(E573,-1,0)))</f>
        <v>0</v>
      </c>
      <c r="F573">
        <f ca="1">IF(AND($A573&lt;=3,$A573&lt;&gt;0),0,IF($A573=4,OFFSET(F573,-1,0)+1,OFFSET(F573,-1,0)))</f>
        <v>0</v>
      </c>
      <c r="G573">
        <f ca="1">IF(AND($A573&lt;=4,$A573&lt;&gt;0),0,IF($A573="S",OFFSET(G573,-1,0)+1,OFFSET(G573,-1,0)))</f>
        <v>12</v>
      </c>
      <c r="H573">
        <f ca="1">IF(OR($A573="S",$A573=0),0,MATCH(0,OFFSET($B573,1,$A573,ROW($A$1504)-ROW($A573)),0))</f>
        <v>0</v>
      </c>
      <c r="I573">
        <f ca="1">IF(OR($A573="S",$A573=0),0,MATCH(OFFSET($B573,0,$A573)+1,OFFSET($B573,1,$A573,ROW($A$1504)-ROW($A573)),0))</f>
        <v>0</v>
      </c>
      <c r="J573" s="132" t="s">
        <v>29</v>
      </c>
      <c r="K573" s="121" t="str">
        <f t="shared" ref="K573:K578" ca="1" si="664">IF($A573=0,"-",CONCATENATE(C573&amp;".",IF(AND($A$5&gt;=2,$A573&gt;=2),D573&amp;".",""),IF(AND($A$5&gt;=3,$A573&gt;=3),E573&amp;".",""),IF(AND($A$5&gt;=4,$A573&gt;=4),F573&amp;".",""),IF($A573="S",G573&amp;".","")))</f>
        <v>7.7.12.</v>
      </c>
      <c r="L573" s="137" t="str">
        <f ca="1">IF(NOT(ISERROR($Y573)),IF($Y573&lt;&gt;FALSE,INDEX(Banco,$Y573,4),""),"")</f>
        <v>Cotação</v>
      </c>
      <c r="M573" s="122" t="s">
        <v>80</v>
      </c>
      <c r="N573" s="139" t="s">
        <v>171</v>
      </c>
      <c r="O573" s="137" t="str">
        <f ca="1">IF(NOT(ISERROR($Y573)),IF($Y573&lt;&gt;FALSE,INDEX(Banco,$Y573,5),""),"")</f>
        <v xml:space="preserve">Refrigerantes (02 litros) </v>
      </c>
      <c r="P573" s="138" t="str">
        <f ca="1">IF(NOT(ISERROR($Y573)),IF($Y573&lt;&gt;FALSE,INDEX(Banco,$Y573,6),""),"")</f>
        <v>Unidade</v>
      </c>
      <c r="Q573" s="134">
        <v>20</v>
      </c>
      <c r="R573" s="124">
        <f ca="1">IF(NOT(ISERROR($Y573)),IF($Y573&lt;&gt;FALSE,INDEX(Banco,$Y573,7),0),0)</f>
        <v>6</v>
      </c>
      <c r="S573" s="136" t="s">
        <v>62</v>
      </c>
      <c r="T573" s="123">
        <f ca="1">IF($J573=$G$2,ROUND(ROUND($R573,2)*IF($R$9="Preço Unitário (R$)",1,1+$AA573),2),0)</f>
        <v>7.5</v>
      </c>
      <c r="U573" s="126">
        <f ca="1">IF($A573="S",VTOTAL1,IF($A573=0,0,ROUND(SomaAgrup,2)))</f>
        <v>150</v>
      </c>
      <c r="V573" s="1"/>
      <c r="W573" s="39" t="str">
        <f ca="1">IF(OR($A573=0,$A573="S",$A573&gt;CFF!$A$9),"",MAX(W$11:OFFSET(W573,-1,0))+1)</f>
        <v/>
      </c>
      <c r="X573" s="4" t="str">
        <f>IF(AND($J573=$G$2,$N573&lt;&gt;"",$M573&lt;&gt;""),CONCATENATE($M573,"-",$N573))</f>
        <v>Serv. Terc.-027</v>
      </c>
      <c r="Y573" s="39">
        <f t="shared" ref="Y573:Y578" ca="1" si="665">IF(X573&lt;&gt;FALSE,MATCH(X573,OFFSET(Banco,0,0,,1),0))</f>
        <v>107</v>
      </c>
      <c r="Z573" s="1"/>
      <c r="AA573" s="133">
        <f>IF($J573=$G$2,ROUND(IF(ISNUMBER(S573),S573,IF(LEFT(S573,2)="DI",HLOOKUP(S573,DADOS!$T$29:$X$30,2,FALSE),0)),4),"")</f>
        <v>0.25</v>
      </c>
      <c r="AB573" s="2"/>
    </row>
    <row r="574" spans="1:28">
      <c r="A574" t="str">
        <f t="shared" si="662"/>
        <v>S</v>
      </c>
      <c r="B574">
        <f t="shared" si="663"/>
        <v>0</v>
      </c>
      <c r="C574">
        <f ca="1">IF($A574=1,OFFSET(C574,-1,0)+1,OFFSET(C574,-1,0))</f>
        <v>7</v>
      </c>
      <c r="D574">
        <f ca="1">IF($A574=1,0,IF($A574=2,OFFSET(D574,-1,0)+1,OFFSET(D574,-1,0)))</f>
        <v>7</v>
      </c>
      <c r="E574">
        <f ca="1">IF(AND($A574&lt;=2,$A574&lt;&gt;0),0,IF($A574=3,OFFSET(E574,-1,0)+1,OFFSET(E574,-1,0)))</f>
        <v>0</v>
      </c>
      <c r="F574">
        <f ca="1">IF(AND($A574&lt;=3,$A574&lt;&gt;0),0,IF($A574=4,OFFSET(F574,-1,0)+1,OFFSET(F574,-1,0)))</f>
        <v>0</v>
      </c>
      <c r="G574">
        <f ca="1">IF(AND($A574&lt;=4,$A574&lt;&gt;0),0,IF($A574="S",OFFSET(G574,-1,0)+1,OFFSET(G574,-1,0)))</f>
        <v>13</v>
      </c>
      <c r="H574">
        <f ca="1">IF(OR($A574="S",$A574=0),0,MATCH(0,OFFSET($B574,1,$A574,ROW($A$1504)-ROW($A574)),0))</f>
        <v>0</v>
      </c>
      <c r="I574">
        <f ca="1">IF(OR($A574="S",$A574=0),0,MATCH(OFFSET($B574,0,$A574)+1,OFFSET($B574,1,$A574,ROW($A$1504)-ROW($A574)),0))</f>
        <v>0</v>
      </c>
      <c r="J574" s="132" t="s">
        <v>29</v>
      </c>
      <c r="K574" s="121" t="str">
        <f t="shared" ca="1" si="664"/>
        <v>7.7.13.</v>
      </c>
      <c r="L574" s="137" t="str">
        <f ca="1">IF(NOT(ISERROR($Y574)),IF($Y574&lt;&gt;FALSE,INDEX(Banco,$Y574,4),""),"")</f>
        <v xml:space="preserve">Cotação </v>
      </c>
      <c r="M574" s="122" t="s">
        <v>80</v>
      </c>
      <c r="N574" s="139" t="s">
        <v>159</v>
      </c>
      <c r="O574" s="137" t="str">
        <f ca="1">IF(NOT(ISERROR($Y574)),IF($Y574&lt;&gt;FALSE,INDEX(Banco,$Y574,5),""),"")</f>
        <v>Brindes ( descrição nos orçamentos e PTS)</v>
      </c>
      <c r="P574" s="138" t="str">
        <f ca="1">IF(NOT(ISERROR($Y574)),IF($Y574&lt;&gt;FALSE,INDEX(Banco,$Y574,6),""),"")</f>
        <v>Unidade</v>
      </c>
      <c r="Q574" s="134">
        <v>4</v>
      </c>
      <c r="R574" s="124">
        <f ca="1">IF(NOT(ISERROR($Y574)),IF($Y574&lt;&gt;FALSE,INDEX(Banco,$Y574,7),0),0)</f>
        <v>120</v>
      </c>
      <c r="S574" s="136" t="s">
        <v>62</v>
      </c>
      <c r="T574" s="123">
        <f ca="1">IF($J574=$G$2,ROUND(ROUND($R574,2)*IF($R$9="Preço Unitário (R$)",1,1+$AA574),2),0)</f>
        <v>150</v>
      </c>
      <c r="U574" s="126">
        <f ca="1">IF($A574="S",VTOTAL1,IF($A574=0,0,ROUND(SomaAgrup,2)))</f>
        <v>600</v>
      </c>
      <c r="V574" s="1"/>
      <c r="W574" s="39" t="str">
        <f ca="1">IF(OR($A574=0,$A574="S",$A574&gt;CFF!$A$9),"",MAX(W$11:OFFSET(W574,-1,0))+1)</f>
        <v/>
      </c>
      <c r="X574" s="4" t="str">
        <f>IF(AND($J574=$G$2,$N574&lt;&gt;"",$M574&lt;&gt;""),CONCATENATE($M574,"-",$N574))</f>
        <v>Serv. Terc.-010</v>
      </c>
      <c r="Y574" s="39">
        <f t="shared" ca="1" si="665"/>
        <v>90</v>
      </c>
      <c r="Z574" s="1"/>
      <c r="AA574" s="133">
        <f>IF($J574=$G$2,ROUND(IF(ISNUMBER(S574),S574,IF(LEFT(S574,2)="DI",HLOOKUP(S574,DADOS!$T$29:$X$30,2,FALSE),0)),4),"")</f>
        <v>0.25</v>
      </c>
      <c r="AB574" s="2"/>
    </row>
    <row r="575" spans="1:28">
      <c r="A575" t="str">
        <f t="shared" si="662"/>
        <v>S</v>
      </c>
      <c r="B575">
        <f t="shared" si="663"/>
        <v>0</v>
      </c>
      <c r="C575">
        <f t="shared" ca="1" si="648"/>
        <v>7</v>
      </c>
      <c r="D575">
        <f t="shared" ca="1" si="649"/>
        <v>7</v>
      </c>
      <c r="E575">
        <f t="shared" ca="1" si="650"/>
        <v>0</v>
      </c>
      <c r="F575">
        <f t="shared" ca="1" si="651"/>
        <v>0</v>
      </c>
      <c r="G575">
        <f t="shared" ca="1" si="652"/>
        <v>14</v>
      </c>
      <c r="H575">
        <f ca="1">IF(OR($A575="S",$A575=0),0,MATCH(0,OFFSET($B575,1,$A575,ROW($A$1504)-ROW($A575)),0))</f>
        <v>0</v>
      </c>
      <c r="I575">
        <f ca="1">IF(OR($A575="S",$A575=0),0,MATCH(OFFSET($B575,0,$A575)+1,OFFSET($B575,1,$A575,ROW($A$1504)-ROW($A575)),0))</f>
        <v>0</v>
      </c>
      <c r="J575" s="132" t="s">
        <v>29</v>
      </c>
      <c r="K575" s="121" t="str">
        <f t="shared" ca="1" si="664"/>
        <v>7.7.14.</v>
      </c>
      <c r="L575" s="137" t="str">
        <f t="shared" ca="1" si="654"/>
        <v>Cotação</v>
      </c>
      <c r="M575" s="122" t="s">
        <v>80</v>
      </c>
      <c r="N575" s="139" t="s">
        <v>162</v>
      </c>
      <c r="O575" s="137" t="str">
        <f t="shared" ca="1" si="661"/>
        <v>Coffee break (salgados)</v>
      </c>
      <c r="P575" s="138" t="str">
        <f t="shared" ca="1" si="655"/>
        <v>Centro</v>
      </c>
      <c r="Q575" s="134">
        <v>15</v>
      </c>
      <c r="R575" s="124">
        <f t="shared" ca="1" si="656"/>
        <v>65</v>
      </c>
      <c r="S575" s="136" t="s">
        <v>62</v>
      </c>
      <c r="T575" s="123">
        <f t="shared" ca="1" si="657"/>
        <v>81.25</v>
      </c>
      <c r="U575" s="126">
        <f t="shared" ca="1" si="658"/>
        <v>1218.75</v>
      </c>
      <c r="V575" s="1"/>
      <c r="W575" s="39" t="str">
        <f ca="1">IF(OR($A575=0,$A575="S",$A575&gt;CFF!$A$9),"",MAX(W$11:OFFSET(W575,-1,0))+1)</f>
        <v/>
      </c>
      <c r="X575" s="4" t="str">
        <f t="shared" si="659"/>
        <v>Serv. Terc.-015</v>
      </c>
      <c r="Y575" s="39">
        <f t="shared" ca="1" si="665"/>
        <v>95</v>
      </c>
      <c r="Z575" s="1"/>
      <c r="AA575" s="133">
        <f>IF($J575=$G$2,ROUND(IF(ISNUMBER(S575),S575,IF(LEFT(S575,2)="DI",HLOOKUP(S575,DADOS!$T$29:$X$30,2,FALSE),0)),4),"")</f>
        <v>0.25</v>
      </c>
      <c r="AB575" s="2"/>
    </row>
    <row r="576" spans="1:28">
      <c r="A576" t="str">
        <f t="shared" si="662"/>
        <v>S</v>
      </c>
      <c r="B576">
        <f t="shared" si="663"/>
        <v>0</v>
      </c>
      <c r="C576">
        <f t="shared" ca="1" si="648"/>
        <v>7</v>
      </c>
      <c r="D576">
        <f t="shared" ca="1" si="649"/>
        <v>7</v>
      </c>
      <c r="E576">
        <f t="shared" ca="1" si="650"/>
        <v>0</v>
      </c>
      <c r="F576">
        <f t="shared" ca="1" si="651"/>
        <v>0</v>
      </c>
      <c r="G576">
        <f t="shared" ca="1" si="652"/>
        <v>15</v>
      </c>
      <c r="H576">
        <f ca="1">IF(OR($A576="S",$A576=0),0,MATCH(0,OFFSET($B576,1,$A576,ROW($A$1504)-ROW($A576)),0))</f>
        <v>0</v>
      </c>
      <c r="I576">
        <f ca="1">IF(OR($A576="S",$A576=0),0,MATCH(OFFSET($B576,0,$A576)+1,OFFSET($B576,1,$A576,ROW($A$1504)-ROW($A576)),0))</f>
        <v>0</v>
      </c>
      <c r="J576" s="132" t="s">
        <v>29</v>
      </c>
      <c r="K576" s="121" t="str">
        <f t="shared" ca="1" si="664"/>
        <v>7.7.15.</v>
      </c>
      <c r="L576" s="137" t="str">
        <f t="shared" ca="1" si="654"/>
        <v>Cotação</v>
      </c>
      <c r="M576" s="122" t="s">
        <v>79</v>
      </c>
      <c r="N576" s="139" t="s">
        <v>163</v>
      </c>
      <c r="O576" s="137" t="str">
        <f t="shared" ca="1" si="661"/>
        <v>Guloseimas (balas e pirulito)</v>
      </c>
      <c r="P576" s="138" t="str">
        <f t="shared" ca="1" si="655"/>
        <v>Pacote</v>
      </c>
      <c r="Q576" s="134">
        <v>4</v>
      </c>
      <c r="R576" s="124">
        <f t="shared" ca="1" si="656"/>
        <v>12</v>
      </c>
      <c r="S576" s="136" t="s">
        <v>62</v>
      </c>
      <c r="T576" s="123">
        <f t="shared" ca="1" si="657"/>
        <v>15</v>
      </c>
      <c r="U576" s="126">
        <f t="shared" ca="1" si="658"/>
        <v>60</v>
      </c>
      <c r="V576" s="1"/>
      <c r="W576" s="39" t="str">
        <f ca="1">IF(OR($A576=0,$A576="S",$A576&gt;CFF!$A$9),"",MAX(W$11:OFFSET(W576,-1,0))+1)</f>
        <v/>
      </c>
      <c r="X576" s="4" t="str">
        <f t="shared" si="659"/>
        <v>Rec. Materiais-020</v>
      </c>
      <c r="Y576" s="39">
        <f t="shared" ca="1" si="665"/>
        <v>29</v>
      </c>
      <c r="Z576" s="1"/>
      <c r="AA576" s="133">
        <f>IF($J576=$G$2,ROUND(IF(ISNUMBER(S576),S576,IF(LEFT(S576,2)="DI",HLOOKUP(S576,DADOS!$T$29:$X$30,2,FALSE),0)),4),"")</f>
        <v>0.25</v>
      </c>
      <c r="AB576" s="2"/>
    </row>
    <row r="577" spans="1:28">
      <c r="A577" t="str">
        <f t="shared" si="662"/>
        <v>S</v>
      </c>
      <c r="B577">
        <f t="shared" si="663"/>
        <v>0</v>
      </c>
      <c r="C577">
        <f t="shared" ref="C577:C583" ca="1" si="666">IF($A577=1,OFFSET(C577,-1,0)+1,OFFSET(C577,-1,0))</f>
        <v>7</v>
      </c>
      <c r="D577">
        <f t="shared" ref="D577:D583" ca="1" si="667">IF($A577=1,0,IF($A577=2,OFFSET(D577,-1,0)+1,OFFSET(D577,-1,0)))</f>
        <v>7</v>
      </c>
      <c r="E577">
        <f t="shared" ref="E577:E583" ca="1" si="668">IF(AND($A577&lt;=2,$A577&lt;&gt;0),0,IF($A577=3,OFFSET(E577,-1,0)+1,OFFSET(E577,-1,0)))</f>
        <v>0</v>
      </c>
      <c r="F577">
        <f t="shared" ref="F577:F583" ca="1" si="669">IF(AND($A577&lt;=3,$A577&lt;&gt;0),0,IF($A577=4,OFFSET(F577,-1,0)+1,OFFSET(F577,-1,0)))</f>
        <v>0</v>
      </c>
      <c r="G577">
        <f t="shared" ref="G577:G583" ca="1" si="670">IF(AND($A577&lt;=4,$A577&lt;&gt;0),0,IF($A577="S",OFFSET(G577,-1,0)+1,OFFSET(G577,-1,0)))</f>
        <v>16</v>
      </c>
      <c r="H577">
        <f ca="1">IF(OR($A577="S",$A577=0),0,MATCH(0,OFFSET($B577,1,$A577,ROW($A$1504)-ROW($A577)),0))</f>
        <v>0</v>
      </c>
      <c r="I577">
        <f ca="1">IF(OR($A577="S",$A577=0),0,MATCH(OFFSET($B577,0,$A577)+1,OFFSET($B577,1,$A577,ROW($A$1504)-ROW($A577)),0))</f>
        <v>0</v>
      </c>
      <c r="J577" s="132" t="s">
        <v>29</v>
      </c>
      <c r="K577" s="121" t="str">
        <f t="shared" ca="1" si="664"/>
        <v>7.7.16.</v>
      </c>
      <c r="L577" s="137" t="str">
        <f t="shared" ref="L577:L583" ca="1" si="671">IF(NOT(ISERROR($Y577)),IF($Y577&lt;&gt;FALSE,INDEX(Banco,$Y577,4),""),"")</f>
        <v>CRESS</v>
      </c>
      <c r="M577" s="122" t="s">
        <v>80</v>
      </c>
      <c r="N577" s="139" t="s">
        <v>276</v>
      </c>
      <c r="O577" s="137" t="str">
        <f ca="1">IF(NOT(ISERROR($Y577)),IF($Y577&lt;&gt;FALSE,INDEX(Banco,$Y577,5),""),"")</f>
        <v>Assistente Social com especialização em politicas sociais</v>
      </c>
      <c r="P577" s="138" t="str">
        <f t="shared" ref="P577:P583" ca="1" si="672">IF(NOT(ISERROR($Y577)),IF($Y577&lt;&gt;FALSE,INDEX(Banco,$Y577,6),""),"")</f>
        <v>Horas</v>
      </c>
      <c r="Q577" s="134">
        <v>3</v>
      </c>
      <c r="R577" s="124">
        <f t="shared" ref="R577:R583" ca="1" si="673">IF(NOT(ISERROR($Y577)),IF($Y577&lt;&gt;FALSE,INDEX(Banco,$Y577,7),0),0)</f>
        <v>141.75</v>
      </c>
      <c r="S577" s="136" t="s">
        <v>62</v>
      </c>
      <c r="T577" s="123">
        <f t="shared" ref="T577:T583" ca="1" si="674">IF($J577=$G$2,ROUND(ROUND($R577,2)*IF($R$9="Preço Unitário (R$)",1,1+$AA577),2),0)</f>
        <v>177.19</v>
      </c>
      <c r="U577" s="126">
        <f t="shared" ref="U577:U583" ca="1" si="675">IF($A577="S",VTOTAL1,IF($A577=0,0,ROUND(SomaAgrup,2)))</f>
        <v>531.57000000000005</v>
      </c>
      <c r="V577" s="1"/>
      <c r="W577" s="39" t="str">
        <f ca="1">IF(OR($A577=0,$A577="S",$A577&gt;CFF!$A$9),"",MAX(W$11:OFFSET(W577,-1,0))+1)</f>
        <v/>
      </c>
      <c r="X577" s="4" t="str">
        <f t="shared" ref="X577:X583" si="676">IF(AND($J577=$G$2,$N577&lt;&gt;"",$M577&lt;&gt;""),CONCATENATE($M577,"-",$N577))</f>
        <v>Serv. Terc.-065</v>
      </c>
      <c r="Y577" s="39">
        <f t="shared" ca="1" si="665"/>
        <v>145</v>
      </c>
      <c r="Z577" s="1"/>
      <c r="AA577" s="133">
        <f>IF($J577=$G$2,ROUND(IF(ISNUMBER(S577),S577,IF(LEFT(S577,2)="DI",HLOOKUP(S577,DADOS!$T$29:$X$30,2,FALSE),0)),4),"")</f>
        <v>0.25</v>
      </c>
      <c r="AB577" s="2"/>
    </row>
    <row r="578" spans="1:28">
      <c r="A578" t="str">
        <f t="shared" si="662"/>
        <v>S</v>
      </c>
      <c r="B578">
        <f t="shared" si="663"/>
        <v>0</v>
      </c>
      <c r="C578">
        <f t="shared" ca="1" si="666"/>
        <v>7</v>
      </c>
      <c r="D578">
        <f t="shared" ca="1" si="667"/>
        <v>7</v>
      </c>
      <c r="E578">
        <f t="shared" ca="1" si="668"/>
        <v>0</v>
      </c>
      <c r="F578">
        <f t="shared" ca="1" si="669"/>
        <v>0</v>
      </c>
      <c r="G578">
        <f t="shared" ca="1" si="670"/>
        <v>17</v>
      </c>
      <c r="H578">
        <f ca="1">IF(OR($A578="S",$A578=0),0,MATCH(0,OFFSET($B578,1,$A578,ROW($A$1504)-ROW($A578)),0))</f>
        <v>0</v>
      </c>
      <c r="I578">
        <f ca="1">IF(OR($A578="S",$A578=0),0,MATCH(OFFSET($B578,0,$A578)+1,OFFSET($B578,1,$A578,ROW($A$1504)-ROW($A578)),0))</f>
        <v>0</v>
      </c>
      <c r="J578" s="132" t="s">
        <v>29</v>
      </c>
      <c r="K578" s="121" t="str">
        <f t="shared" ca="1" si="664"/>
        <v>7.7.17.</v>
      </c>
      <c r="L578" s="137" t="str">
        <f t="shared" ca="1" si="671"/>
        <v>Cotação</v>
      </c>
      <c r="M578" s="122" t="s">
        <v>79</v>
      </c>
      <c r="N578" s="139" t="s">
        <v>165</v>
      </c>
      <c r="O578" s="137" t="str">
        <f ca="1">IF(NOT(ISERROR($Y578)),IF($Y578&lt;&gt;FALSE,INDEX(Banco,$Y578,5),""),"")</f>
        <v>Papel de presente</v>
      </c>
      <c r="P578" s="138" t="str">
        <f t="shared" ca="1" si="672"/>
        <v>Folhas</v>
      </c>
      <c r="Q578" s="134">
        <v>8</v>
      </c>
      <c r="R578" s="124">
        <f t="shared" ca="1" si="673"/>
        <v>1.5</v>
      </c>
      <c r="S578" s="136" t="s">
        <v>62</v>
      </c>
      <c r="T578" s="123">
        <f t="shared" ca="1" si="674"/>
        <v>1.88</v>
      </c>
      <c r="U578" s="126">
        <f t="shared" ca="1" si="675"/>
        <v>15.04</v>
      </c>
      <c r="V578" s="1"/>
      <c r="W578" s="39" t="str">
        <f ca="1">IF(OR($A578=0,$A578="S",$A578&gt;CFF!$A$9),"",MAX(W$11:OFFSET(W578,-1,0))+1)</f>
        <v/>
      </c>
      <c r="X578" s="4" t="str">
        <f t="shared" si="676"/>
        <v>Rec. Materiais-021</v>
      </c>
      <c r="Y578" s="39">
        <f t="shared" ca="1" si="665"/>
        <v>30</v>
      </c>
      <c r="Z578" s="1"/>
      <c r="AA578" s="133">
        <f>IF($J578=$G$2,ROUND(IF(ISNUMBER(S578),S578,IF(LEFT(S578,2)="DI",HLOOKUP(S578,DADOS!$T$29:$X$30,2,FALSE),0)),4),"")</f>
        <v>0.25</v>
      </c>
      <c r="AB578" s="2"/>
    </row>
    <row r="579" spans="1:28">
      <c r="A579" t="str">
        <f>CHOOSE(1+LOG(1+2*(J579=$C$2)+4*(J579=$D$2)+8*(J579=$E$2)+16*(J579=$F$2)+32*(J579=$G$2),2),0,1,2,3,4,"S")</f>
        <v>S</v>
      </c>
      <c r="B579">
        <f>IF(OR(A579="S",A579=0),0,IF(ISERROR(I579),H579,SMALL(H579:I579,1)))</f>
        <v>0</v>
      </c>
      <c r="C579">
        <f t="shared" ca="1" si="666"/>
        <v>7</v>
      </c>
      <c r="D579">
        <f t="shared" ca="1" si="667"/>
        <v>7</v>
      </c>
      <c r="E579">
        <f t="shared" ca="1" si="668"/>
        <v>0</v>
      </c>
      <c r="F579">
        <f t="shared" ca="1" si="669"/>
        <v>0</v>
      </c>
      <c r="G579">
        <f t="shared" ca="1" si="670"/>
        <v>18</v>
      </c>
      <c r="H579">
        <f ca="1">IF(OR($A579="S",$A579=0),0,MATCH(0,OFFSET($B579,1,$A579,ROW($A$1504)-ROW($A579)),0))</f>
        <v>0</v>
      </c>
      <c r="I579">
        <f ca="1">IF(OR($A579="S",$A579=0),0,MATCH(OFFSET($B579,0,$A579)+1,OFFSET($B579,1,$A579,ROW($A$1504)-ROW($A579)),0))</f>
        <v>0</v>
      </c>
      <c r="J579" s="132" t="s">
        <v>29</v>
      </c>
      <c r="K579" s="121" t="str">
        <f ca="1">IF($A579=0,"-",CONCATENATE(C579&amp;".",IF(AND($A$5&gt;=2,$A579&gt;=2),D579&amp;".",""),IF(AND($A$5&gt;=3,$A579&gt;=3),E579&amp;".",""),IF(AND($A$5&gt;=4,$A579&gt;=4),F579&amp;".",""),IF($A579="S",G579&amp;".","")))</f>
        <v>7.7.18.</v>
      </c>
      <c r="L579" s="137" t="str">
        <f t="shared" ca="1" si="671"/>
        <v>Cotação</v>
      </c>
      <c r="M579" s="122" t="s">
        <v>79</v>
      </c>
      <c r="N579" s="139" t="s">
        <v>170</v>
      </c>
      <c r="O579" s="137" t="str">
        <f ca="1">IF(NOT(ISERROR($Y579)),IF($Y579&lt;&gt;FALSE,INDEX(Banco,$Y579,5),""),"")</f>
        <v>Saco de lixo (100 litros)</v>
      </c>
      <c r="P579" s="138" t="str">
        <f t="shared" ca="1" si="672"/>
        <v>Pacote</v>
      </c>
      <c r="Q579" s="134">
        <v>2</v>
      </c>
      <c r="R579" s="124">
        <f t="shared" ca="1" si="673"/>
        <v>15</v>
      </c>
      <c r="S579" s="136" t="s">
        <v>62</v>
      </c>
      <c r="T579" s="123">
        <f t="shared" ca="1" si="674"/>
        <v>18.75</v>
      </c>
      <c r="U579" s="126">
        <f t="shared" ca="1" si="675"/>
        <v>37.5</v>
      </c>
      <c r="V579" s="1"/>
      <c r="W579" s="39" t="str">
        <f ca="1">IF(OR($A579=0,$A579="S",$A579&gt;CFF!$A$9),"",MAX(W$11:OFFSET(W579,-1,0))+1)</f>
        <v/>
      </c>
      <c r="X579" s="4" t="str">
        <f t="shared" si="676"/>
        <v>Rec. Materiais-026</v>
      </c>
      <c r="Y579" s="39">
        <f ca="1">IF(X579&lt;&gt;FALSE,MATCH(X579,OFFSET(Banco,0,0,,1),0))</f>
        <v>35</v>
      </c>
      <c r="Z579" s="1"/>
      <c r="AA579" s="133">
        <f>IF($J579=$G$2,ROUND(IF(ISNUMBER(S579),S579,IF(LEFT(S579,2)="DI",HLOOKUP(S579,DADOS!$T$29:$X$30,2,FALSE),0)),4),"")</f>
        <v>0.25</v>
      </c>
      <c r="AB579" s="2"/>
    </row>
    <row r="580" spans="1:28">
      <c r="A580">
        <f>CHOOSE(1+LOG(1+2*(J580=$C$2)+4*(J580=$D$2)+8*(J580=$E$2)+16*(J580=$F$2)+32*(J580=$G$2),2),0,1,2,3,4,"S")</f>
        <v>2</v>
      </c>
      <c r="B580">
        <f ca="1">IF(OR(A580="S",A580=0),0,IF(ISERROR(I580),H580,SMALL(H580:I580,1)))</f>
        <v>23</v>
      </c>
      <c r="C580">
        <f ca="1">IF($A580=1,OFFSET(C580,-1,0)+1,OFFSET(C580,-1,0))</f>
        <v>7</v>
      </c>
      <c r="D580">
        <f ca="1">IF($A580=1,0,IF($A580=2,OFFSET(D580,-1,0)+1,OFFSET(D580,-1,0)))</f>
        <v>8</v>
      </c>
      <c r="E580">
        <f ca="1">IF(AND($A580&lt;=2,$A580&lt;&gt;0),0,IF($A580=3,OFFSET(E580,-1,0)+1,OFFSET(E580,-1,0)))</f>
        <v>0</v>
      </c>
      <c r="F580">
        <f ca="1">IF(AND($A580&lt;=3,$A580&lt;&gt;0),0,IF($A580=4,OFFSET(F580,-1,0)+1,OFFSET(F580,-1,0)))</f>
        <v>0</v>
      </c>
      <c r="G580">
        <f ca="1">IF(AND($A580&lt;=4,$A580&lt;&gt;0),0,IF($A580="S",OFFSET(G580,-1,0)+1,OFFSET(G580,-1,0)))</f>
        <v>0</v>
      </c>
      <c r="H580">
        <f ca="1">IF(OR($A580="S",$A580=0),0,MATCH(0,OFFSET($B580,1,$A580,ROW($A$1504)-ROW($A580)),0))</f>
        <v>61</v>
      </c>
      <c r="I580">
        <f ca="1">IF(OR($A580="S",$A580=0),0,MATCH(OFFSET($B580,0,$A580)+1,OFFSET($B580,1,$A580,ROW($A$1504)-ROW($A580)),0))</f>
        <v>23</v>
      </c>
      <c r="J580" s="132" t="s">
        <v>68</v>
      </c>
      <c r="K580" s="121" t="str">
        <f ca="1">IF($A580=0,"-",CONCATENATE(C580&amp;".",IF(AND($A$5&gt;=2,$A580&gt;=2),D580&amp;".",""),IF(AND($A$5&gt;=3,$A580&gt;=3),E580&amp;".",""),IF(AND($A$5&gt;=4,$A580&gt;=4),F580&amp;".",""),IF($A580="S",G580&amp;".","")))</f>
        <v>7.8.</v>
      </c>
      <c r="L580" s="137" t="str">
        <f ca="1">IF(NOT(ISERROR($Y580)),IF($Y580&lt;&gt;FALSE,INDEX(Banco,$Y580,4),""),"")</f>
        <v/>
      </c>
      <c r="M580" s="122"/>
      <c r="N580" s="139"/>
      <c r="O580" s="137" t="s">
        <v>389</v>
      </c>
      <c r="P580" s="138" t="str">
        <f ca="1">IF(NOT(ISERROR($Y580)),IF($Y580&lt;&gt;FALSE,INDEX(Banco,$Y580,6),""),"")</f>
        <v/>
      </c>
      <c r="Q580" s="134"/>
      <c r="R580" s="124">
        <f ca="1">IF(NOT(ISERROR($Y580)),IF($Y580&lt;&gt;FALSE,INDEX(Banco,$Y580,7),0),0)</f>
        <v>0</v>
      </c>
      <c r="S580" s="136" t="s">
        <v>62</v>
      </c>
      <c r="T580" s="123">
        <f>IF($J580=$G$2,ROUND(ROUND($R580,2)*IF($R$9="Preço Unitário (R$)",1,1+$AA580),2),0)</f>
        <v>0</v>
      </c>
      <c r="U580" s="126">
        <f ca="1">IF($A580="S",VTOTAL1,IF($A580=0,0,ROUND(SomaAgrup,2)))</f>
        <v>10339.870000000001</v>
      </c>
      <c r="V580" s="1"/>
      <c r="W580" s="39">
        <f ca="1">IF(OR($A580=0,$A580="S",$A580&gt;CFF!$A$9),"",MAX(W$11:OFFSET(W580,-1,0))+1)</f>
        <v>49</v>
      </c>
      <c r="X580" s="4" t="b">
        <f>IF(AND($J580=$G$2,$N580&lt;&gt;"",$M580&lt;&gt;""),CONCATENATE($M580,"-",$N580))</f>
        <v>0</v>
      </c>
      <c r="Y580" s="39" t="b">
        <f ca="1">IF(X580&lt;&gt;FALSE,MATCH(X580,OFFSET(Banco,0,0,,1),0))</f>
        <v>0</v>
      </c>
      <c r="Z580" s="1"/>
      <c r="AA580" s="133" t="str">
        <f>IF($J580=$G$2,ROUND(IF(ISNUMBER(S580),S580,IF(LEFT(S580,2)="DI",HLOOKUP(S580,DADOS!$T$29:$X$30,2,FALSE),0)),4),"")</f>
        <v/>
      </c>
      <c r="AB580" s="2"/>
    </row>
    <row r="581" spans="1:28">
      <c r="A581" t="str">
        <f>CHOOSE(1+LOG(1+2*(J581=$C$2)+4*(J581=$D$2)+8*(J581=$E$2)+16*(J581=$F$2)+32*(J581=$G$2),2),0,1,2,3,4,"S")</f>
        <v>S</v>
      </c>
      <c r="B581">
        <f>IF(OR(A581="S",A581=0),0,IF(ISERROR(I581),H581,SMALL(H581:I581,1)))</f>
        <v>0</v>
      </c>
      <c r="C581">
        <f t="shared" ca="1" si="666"/>
        <v>7</v>
      </c>
      <c r="D581">
        <f t="shared" ca="1" si="667"/>
        <v>8</v>
      </c>
      <c r="E581">
        <f t="shared" ca="1" si="668"/>
        <v>0</v>
      </c>
      <c r="F581">
        <f t="shared" ca="1" si="669"/>
        <v>0</v>
      </c>
      <c r="G581">
        <f t="shared" ca="1" si="670"/>
        <v>1</v>
      </c>
      <c r="H581">
        <f ca="1">IF(OR($A581="S",$A581=0),0,MATCH(0,OFFSET($B581,1,$A581,ROW($A$1504)-ROW($A581)),0))</f>
        <v>0</v>
      </c>
      <c r="I581">
        <f ca="1">IF(OR($A581="S",$A581=0),0,MATCH(OFFSET($B581,0,$A581)+1,OFFSET($B581,1,$A581,ROW($A$1504)-ROW($A581)),0))</f>
        <v>0</v>
      </c>
      <c r="J581" s="132" t="s">
        <v>29</v>
      </c>
      <c r="K581" s="121" t="str">
        <f ca="1">IF($A581=0,"-",CONCATENATE(C581&amp;".",IF(AND($A$5&gt;=2,$A581&gt;=2),D581&amp;".",""),IF(AND($A$5&gt;=3,$A581&gt;=3),E581&amp;".",""),IF(AND($A$5&gt;=4,$A581&gt;=4),F581&amp;".",""),IF($A581="S",G581&amp;".","")))</f>
        <v>7.8.1.</v>
      </c>
      <c r="L581" s="137" t="str">
        <f t="shared" ca="1" si="671"/>
        <v>CRESS</v>
      </c>
      <c r="M581" s="122" t="s">
        <v>78</v>
      </c>
      <c r="N581" s="139" t="s">
        <v>149</v>
      </c>
      <c r="O581" s="137" t="str">
        <f ca="1">IF(NOT(ISERROR($Y581)),IF($Y581&lt;&gt;FALSE,INDEX(Banco,$Y581,5),""),"")</f>
        <v>Responsável Técnica</v>
      </c>
      <c r="P581" s="138" t="str">
        <f t="shared" ca="1" si="672"/>
        <v>Horas</v>
      </c>
      <c r="Q581" s="134">
        <v>8</v>
      </c>
      <c r="R581" s="124">
        <f t="shared" ca="1" si="673"/>
        <v>150.28</v>
      </c>
      <c r="S581" s="136" t="s">
        <v>62</v>
      </c>
      <c r="T581" s="123">
        <f t="shared" ca="1" si="674"/>
        <v>187.85</v>
      </c>
      <c r="U581" s="126">
        <f t="shared" ca="1" si="675"/>
        <v>1502.8</v>
      </c>
      <c r="V581" s="1"/>
      <c r="W581" s="39" t="str">
        <f ca="1">IF(OR($A581=0,$A581="S",$A581&gt;CFF!$A$9),"",MAX(W$11:OFFSET(W581,-1,0))+1)</f>
        <v/>
      </c>
      <c r="X581" s="4" t="str">
        <f t="shared" si="676"/>
        <v>Rec. Humanos-001</v>
      </c>
      <c r="Y581" s="39">
        <f ca="1">IF(X581&lt;&gt;FALSE,MATCH(X581,OFFSET(Banco,0,0,,1),0))</f>
        <v>3</v>
      </c>
      <c r="Z581" s="1"/>
      <c r="AA581" s="133">
        <f>IF($J581=$G$2,ROUND(IF(ISNUMBER(S581),S581,IF(LEFT(S581,2)="DI",HLOOKUP(S581,DADOS!$T$29:$X$30,2,FALSE),0)),4),"")</f>
        <v>0.25</v>
      </c>
      <c r="AB581" s="2"/>
    </row>
    <row r="582" spans="1:28">
      <c r="A582" t="str">
        <f>CHOOSE(1+LOG(1+2*(J582=$C$2)+4*(J582=$D$2)+8*(J582=$E$2)+16*(J582=$F$2)+32*(J582=$G$2),2),0,1,2,3,4,"S")</f>
        <v>S</v>
      </c>
      <c r="B582">
        <f>IF(OR(A582="S",A582=0),0,IF(ISERROR(I582),H582,SMALL(H582:I582,1)))</f>
        <v>0</v>
      </c>
      <c r="C582">
        <f t="shared" ca="1" si="666"/>
        <v>7</v>
      </c>
      <c r="D582">
        <f t="shared" ca="1" si="667"/>
        <v>8</v>
      </c>
      <c r="E582">
        <f t="shared" ca="1" si="668"/>
        <v>0</v>
      </c>
      <c r="F582">
        <f t="shared" ca="1" si="669"/>
        <v>0</v>
      </c>
      <c r="G582">
        <f t="shared" ca="1" si="670"/>
        <v>2</v>
      </c>
      <c r="H582">
        <f ca="1">IF(OR($A582="S",$A582=0),0,MATCH(0,OFFSET($B582,1,$A582,ROW($A$1504)-ROW($A582)),0))</f>
        <v>0</v>
      </c>
      <c r="I582">
        <f ca="1">IF(OR($A582="S",$A582=0),0,MATCH(OFFSET($B582,0,$A582)+1,OFFSET($B582,1,$A582,ROW($A$1504)-ROW($A582)),0))</f>
        <v>0</v>
      </c>
      <c r="J582" s="132" t="s">
        <v>29</v>
      </c>
      <c r="K582" s="121" t="str">
        <f ca="1">IF($A582=0,"-",CONCATENATE(C582&amp;".",IF(AND($A$5&gt;=2,$A582&gt;=2),D582&amp;".",""),IF(AND($A$5&gt;=3,$A582&gt;=3),E582&amp;".",""),IF(AND($A$5&gt;=4,$A582&gt;=4),F582&amp;".",""),IF($A582="S",G582&amp;".","")))</f>
        <v>7.8.2.</v>
      </c>
      <c r="L582" s="137" t="str">
        <f t="shared" ca="1" si="671"/>
        <v>CRESS</v>
      </c>
      <c r="M582" s="122" t="s">
        <v>78</v>
      </c>
      <c r="N582" s="139" t="s">
        <v>152</v>
      </c>
      <c r="O582" s="137" t="str">
        <f ca="1">IF(NOT(ISERROR($Y582)),IF($Y582&lt;&gt;FALSE,INDEX(Banco,$Y582,5),""),"")</f>
        <v>Assistente Social</v>
      </c>
      <c r="P582" s="138" t="str">
        <f t="shared" ca="1" si="672"/>
        <v>Horas</v>
      </c>
      <c r="Q582" s="134">
        <v>4</v>
      </c>
      <c r="R582" s="124">
        <f t="shared" ca="1" si="673"/>
        <v>133.81</v>
      </c>
      <c r="S582" s="136" t="s">
        <v>62</v>
      </c>
      <c r="T582" s="123">
        <f t="shared" ca="1" si="674"/>
        <v>167.26</v>
      </c>
      <c r="U582" s="126">
        <f t="shared" ca="1" si="675"/>
        <v>669.04</v>
      </c>
      <c r="V582" s="1"/>
      <c r="W582" s="39" t="str">
        <f ca="1">IF(OR($A582=0,$A582="S",$A582&gt;CFF!$A$9),"",MAX(W$11:OFFSET(W582,-1,0))+1)</f>
        <v/>
      </c>
      <c r="X582" s="4" t="str">
        <f t="shared" si="676"/>
        <v>Rec. Humanos-002</v>
      </c>
      <c r="Y582" s="39">
        <f ca="1">IF(X582&lt;&gt;FALSE,MATCH(X582,OFFSET(Banco,0,0,,1),0))</f>
        <v>4</v>
      </c>
      <c r="Z582" s="1"/>
      <c r="AA582" s="133">
        <f>IF($J582=$G$2,ROUND(IF(ISNUMBER(S582),S582,IF(LEFT(S582,2)="DI",HLOOKUP(S582,DADOS!$T$29:$X$30,2,FALSE),0)),4),"")</f>
        <v>0.25</v>
      </c>
      <c r="AB582" s="2"/>
    </row>
    <row r="583" spans="1:28">
      <c r="A583" t="str">
        <f>CHOOSE(1+LOG(1+2*(J583=$C$2)+4*(J583=$D$2)+8*(J583=$E$2)+16*(J583=$F$2)+32*(J583=$G$2),2),0,1,2,3,4,"S")</f>
        <v>S</v>
      </c>
      <c r="B583">
        <f>IF(OR(A583="S",A583=0),0,IF(ISERROR(I583),H583,SMALL(H583:I583,1)))</f>
        <v>0</v>
      </c>
      <c r="C583">
        <f t="shared" ca="1" si="666"/>
        <v>7</v>
      </c>
      <c r="D583">
        <f t="shared" ca="1" si="667"/>
        <v>8</v>
      </c>
      <c r="E583">
        <f t="shared" ca="1" si="668"/>
        <v>0</v>
      </c>
      <c r="F583">
        <f t="shared" ca="1" si="669"/>
        <v>0</v>
      </c>
      <c r="G583">
        <f t="shared" ca="1" si="670"/>
        <v>3</v>
      </c>
      <c r="H583">
        <f ca="1">IF(OR($A583="S",$A583=0),0,MATCH(0,OFFSET($B583,1,$A583,ROW($A$1504)-ROW($A583)),0))</f>
        <v>0</v>
      </c>
      <c r="I583">
        <f ca="1">IF(OR($A583="S",$A583=0),0,MATCH(OFFSET($B583,0,$A583)+1,OFFSET($B583,1,$A583,ROW($A$1504)-ROW($A583)),0))</f>
        <v>0</v>
      </c>
      <c r="J583" s="132" t="s">
        <v>29</v>
      </c>
      <c r="K583" s="121" t="str">
        <f ca="1">IF($A583=0,"-",CONCATENATE(C583&amp;".",IF(AND($A$5&gt;=2,$A583&gt;=2),D583&amp;".",""),IF(AND($A$5&gt;=3,$A583&gt;=3),E583&amp;".",""),IF(AND($A$5&gt;=4,$A583&gt;=4),F583&amp;".",""),IF($A583="S",G583&amp;".","")))</f>
        <v>7.8.3.</v>
      </c>
      <c r="L583" s="137" t="str">
        <f t="shared" ca="1" si="671"/>
        <v>Cotação</v>
      </c>
      <c r="M583" s="122" t="s">
        <v>78</v>
      </c>
      <c r="N583" s="139" t="s">
        <v>151</v>
      </c>
      <c r="O583" s="137" t="str">
        <f ca="1">IF(NOT(ISERROR($Y583)),IF($Y583&lt;&gt;FALSE,INDEX(Banco,$Y583,5),""),"")</f>
        <v xml:space="preserve">Administrador (Técnico de Apoio) </v>
      </c>
      <c r="P583" s="138" t="str">
        <f t="shared" ca="1" si="672"/>
        <v>Horas</v>
      </c>
      <c r="Q583" s="134">
        <v>4</v>
      </c>
      <c r="R583" s="124">
        <f t="shared" ca="1" si="673"/>
        <v>103.65</v>
      </c>
      <c r="S583" s="136" t="s">
        <v>62</v>
      </c>
      <c r="T583" s="123">
        <f t="shared" ca="1" si="674"/>
        <v>129.56</v>
      </c>
      <c r="U583" s="126">
        <f t="shared" ca="1" si="675"/>
        <v>518.24</v>
      </c>
      <c r="V583" s="1"/>
      <c r="W583" s="39" t="str">
        <f ca="1">IF(OR($A583=0,$A583="S",$A583&gt;CFF!$A$9),"",MAX(W$11:OFFSET(W583,-1,0))+1)</f>
        <v/>
      </c>
      <c r="X583" s="4" t="str">
        <f t="shared" si="676"/>
        <v>Rec. Humanos-003</v>
      </c>
      <c r="Y583" s="39">
        <f ca="1">IF(X583&lt;&gt;FALSE,MATCH(X583,OFFSET(Banco,0,0,,1),0))</f>
        <v>5</v>
      </c>
      <c r="Z583" s="1"/>
      <c r="AA583" s="133">
        <f>IF($J583=$G$2,ROUND(IF(ISNUMBER(S583),S583,IF(LEFT(S583,2)="DI",HLOOKUP(S583,DADOS!$T$29:$X$30,2,FALSE),0)),4),"")</f>
        <v>0.25</v>
      </c>
      <c r="AB583" s="2"/>
    </row>
    <row r="584" spans="1:28">
      <c r="A584" t="str">
        <f t="shared" ref="A584:A595" si="677">CHOOSE(1+LOG(1+2*(J584=$C$2)+4*(J584=$D$2)+8*(J584=$E$2)+16*(J584=$F$2)+32*(J584=$G$2),2),0,1,2,3,4,"S")</f>
        <v>S</v>
      </c>
      <c r="B584">
        <f t="shared" ref="B584:B595" si="678">IF(OR(A584="S",A584=0),0,IF(ISERROR(I584),H584,SMALL(H584:I584,1)))</f>
        <v>0</v>
      </c>
      <c r="C584">
        <f t="shared" ref="C584:C602" ca="1" si="679">IF($A584=1,OFFSET(C584,-1,0)+1,OFFSET(C584,-1,0))</f>
        <v>7</v>
      </c>
      <c r="D584">
        <f t="shared" ref="D584:D602" ca="1" si="680">IF($A584=1,0,IF($A584=2,OFFSET(D584,-1,0)+1,OFFSET(D584,-1,0)))</f>
        <v>8</v>
      </c>
      <c r="E584">
        <f t="shared" ref="E584:E602" ca="1" si="681">IF(AND($A584&lt;=2,$A584&lt;&gt;0),0,IF($A584=3,OFFSET(E584,-1,0)+1,OFFSET(E584,-1,0)))</f>
        <v>0</v>
      </c>
      <c r="F584">
        <f t="shared" ref="F584:F602" ca="1" si="682">IF(AND($A584&lt;=3,$A584&lt;&gt;0),0,IF($A584=4,OFFSET(F584,-1,0)+1,OFFSET(F584,-1,0)))</f>
        <v>0</v>
      </c>
      <c r="G584">
        <f t="shared" ref="G584:G602" ca="1" si="683">IF(AND($A584&lt;=4,$A584&lt;&gt;0),0,IF($A584="S",OFFSET(G584,-1,0)+1,OFFSET(G584,-1,0)))</f>
        <v>4</v>
      </c>
      <c r="H584">
        <f ca="1">IF(OR($A584="S",$A584=0),0,MATCH(0,OFFSET($B584,1,$A584,ROW($A$1504)-ROW($A584)),0))</f>
        <v>0</v>
      </c>
      <c r="I584">
        <f ca="1">IF(OR($A584="S",$A584=0),0,MATCH(OFFSET($B584,0,$A584)+1,OFFSET($B584,1,$A584,ROW($A$1504)-ROW($A584)),0))</f>
        <v>0</v>
      </c>
      <c r="J584" s="132" t="s">
        <v>29</v>
      </c>
      <c r="K584" s="121" t="str">
        <f t="shared" ref="K584:K595" ca="1" si="684">IF($A584=0,"-",CONCATENATE(C584&amp;".",IF(AND($A$5&gt;=2,$A584&gt;=2),D584&amp;".",""),IF(AND($A$5&gt;=3,$A584&gt;=3),E584&amp;".",""),IF(AND($A$5&gt;=4,$A584&gt;=4),F584&amp;".",""),IF($A584="S",G584&amp;".","")))</f>
        <v>7.8.4.</v>
      </c>
      <c r="L584" s="137" t="str">
        <f t="shared" ref="L584:L602" ca="1" si="685">IF(NOT(ISERROR($Y584)),IF($Y584&lt;&gt;FALSE,INDEX(Banco,$Y584,4),""),"")</f>
        <v>SINE</v>
      </c>
      <c r="M584" s="122" t="s">
        <v>78</v>
      </c>
      <c r="N584" s="139" t="s">
        <v>153</v>
      </c>
      <c r="O584" s="137" t="str">
        <f t="shared" ref="O584:O600" ca="1" si="686">IF(NOT(ISERROR($Y584)),IF($Y584&lt;&gt;FALSE,INDEX(Banco,$Y584,5),""),"")</f>
        <v>Estagiários</v>
      </c>
      <c r="P584" s="138" t="str">
        <f t="shared" ref="P584:P602" ca="1" si="687">IF(NOT(ISERROR($Y584)),IF($Y584&lt;&gt;FALSE,INDEX(Banco,$Y584,6),""),"")</f>
        <v>Horas</v>
      </c>
      <c r="Q584" s="134">
        <v>16</v>
      </c>
      <c r="R584" s="124">
        <f t="shared" ref="R584:R602" ca="1" si="688">IF(NOT(ISERROR($Y584)),IF($Y584&lt;&gt;FALSE,INDEX(Banco,$Y584,7),0),0)</f>
        <v>9.7899999999999991</v>
      </c>
      <c r="S584" s="136" t="s">
        <v>62</v>
      </c>
      <c r="T584" s="123">
        <f t="shared" ref="T584:T602" ca="1" si="689">IF($J584=$G$2,ROUND(ROUND($R584,2)*IF($R$9="Preço Unitário (R$)",1,1+$AA584),2),0)</f>
        <v>12.24</v>
      </c>
      <c r="U584" s="126">
        <f t="shared" ref="U584:U602" ca="1" si="690">IF($A584="S",VTOTAL1,IF($A584=0,0,ROUND(SomaAgrup,2)))</f>
        <v>195.84</v>
      </c>
      <c r="V584" s="1"/>
      <c r="W584" s="39" t="str">
        <f ca="1">IF(OR($A584=0,$A584="S",$A584&gt;CFF!$A$9),"",MAX(W$11:OFFSET(W584,-1,0))+1)</f>
        <v/>
      </c>
      <c r="X584" s="4" t="str">
        <f t="shared" ref="X584:X602" si="691">IF(AND($J584=$G$2,$N584&lt;&gt;"",$M584&lt;&gt;""),CONCATENATE($M584,"-",$N584))</f>
        <v>Rec. Humanos-004</v>
      </c>
      <c r="Y584" s="39">
        <f t="shared" ref="Y584:Y595" ca="1" si="692">IF(X584&lt;&gt;FALSE,MATCH(X584,OFFSET(Banco,0,0,,1),0))</f>
        <v>6</v>
      </c>
      <c r="Z584" s="1"/>
      <c r="AA584" s="133">
        <f>IF($J584=$G$2,ROUND(IF(ISNUMBER(S584),S584,IF(LEFT(S584,2)="DI",HLOOKUP(S584,DADOS!$T$29:$X$30,2,FALSE),0)),4),"")</f>
        <v>0.25</v>
      </c>
      <c r="AB584" s="2"/>
    </row>
    <row r="585" spans="1:28">
      <c r="A585" t="str">
        <f t="shared" si="677"/>
        <v>S</v>
      </c>
      <c r="B585">
        <f t="shared" si="678"/>
        <v>0</v>
      </c>
      <c r="C585">
        <f t="shared" ca="1" si="679"/>
        <v>7</v>
      </c>
      <c r="D585">
        <f t="shared" ca="1" si="680"/>
        <v>8</v>
      </c>
      <c r="E585">
        <f t="shared" ca="1" si="681"/>
        <v>0</v>
      </c>
      <c r="F585">
        <f t="shared" ca="1" si="682"/>
        <v>0</v>
      </c>
      <c r="G585">
        <f t="shared" ca="1" si="683"/>
        <v>5</v>
      </c>
      <c r="H585">
        <f ca="1">IF(OR($A585="S",$A585=0),0,MATCH(0,OFFSET($B585,1,$A585,ROW($A$1504)-ROW($A585)),0))</f>
        <v>0</v>
      </c>
      <c r="I585">
        <f ca="1">IF(OR($A585="S",$A585=0),0,MATCH(OFFSET($B585,0,$A585)+1,OFFSET($B585,1,$A585,ROW($A$1504)-ROW($A585)),0))</f>
        <v>0</v>
      </c>
      <c r="J585" s="132" t="s">
        <v>29</v>
      </c>
      <c r="K585" s="121" t="str">
        <f t="shared" ca="1" si="684"/>
        <v>7.8.5.</v>
      </c>
      <c r="L585" s="137" t="str">
        <f t="shared" ca="1" si="685"/>
        <v>Cotação</v>
      </c>
      <c r="M585" s="122" t="s">
        <v>80</v>
      </c>
      <c r="N585" s="139" t="s">
        <v>149</v>
      </c>
      <c r="O585" s="137" t="str">
        <f t="shared" ca="1" si="686"/>
        <v>Fotocópias</v>
      </c>
      <c r="P585" s="138" t="str">
        <f t="shared" ca="1" si="687"/>
        <v>Unidade</v>
      </c>
      <c r="Q585" s="134">
        <v>300</v>
      </c>
      <c r="R585" s="124">
        <f t="shared" ca="1" si="688"/>
        <v>0.3</v>
      </c>
      <c r="S585" s="136" t="s">
        <v>62</v>
      </c>
      <c r="T585" s="123">
        <f t="shared" ca="1" si="689"/>
        <v>0.38</v>
      </c>
      <c r="U585" s="126">
        <f t="shared" ca="1" si="690"/>
        <v>114</v>
      </c>
      <c r="V585" s="1"/>
      <c r="W585" s="39" t="str">
        <f ca="1">IF(OR($A585=0,$A585="S",$A585&gt;CFF!$A$9),"",MAX(W$11:OFFSET(W585,-1,0))+1)</f>
        <v/>
      </c>
      <c r="X585" s="4" t="str">
        <f t="shared" si="691"/>
        <v>Serv. Terc.-001</v>
      </c>
      <c r="Y585" s="39">
        <f t="shared" ca="1" si="692"/>
        <v>81</v>
      </c>
      <c r="Z585" s="1"/>
      <c r="AA585" s="133">
        <f>IF($J585=$G$2,ROUND(IF(ISNUMBER(S585),S585,IF(LEFT(S585,2)="DI",HLOOKUP(S585,DADOS!$T$29:$X$30,2,FALSE),0)),4),"")</f>
        <v>0.25</v>
      </c>
      <c r="AB585" s="2"/>
    </row>
    <row r="586" spans="1:28">
      <c r="A586" t="str">
        <f>CHOOSE(1+LOG(1+2*(J586=$C$2)+4*(J586=$D$2)+8*(J586=$E$2)+16*(J586=$F$2)+32*(J586=$G$2),2),0,1,2,3,4,"S")</f>
        <v>S</v>
      </c>
      <c r="B586">
        <f>IF(OR(A586="S",A586=0),0,IF(ISERROR(I586),H586,SMALL(H586:I586,1)))</f>
        <v>0</v>
      </c>
      <c r="C586">
        <f ca="1">IF($A586=1,OFFSET(C586,-1,0)+1,OFFSET(C586,-1,0))</f>
        <v>7</v>
      </c>
      <c r="D586">
        <f ca="1">IF($A586=1,0,IF($A586=2,OFFSET(D586,-1,0)+1,OFFSET(D586,-1,0)))</f>
        <v>8</v>
      </c>
      <c r="E586">
        <f ca="1">IF(AND($A586&lt;=2,$A586&lt;&gt;0),0,IF($A586=3,OFFSET(E586,-1,0)+1,OFFSET(E586,-1,0)))</f>
        <v>0</v>
      </c>
      <c r="F586">
        <f ca="1">IF(AND($A586&lt;=3,$A586&lt;&gt;0),0,IF($A586=4,OFFSET(F586,-1,0)+1,OFFSET(F586,-1,0)))</f>
        <v>0</v>
      </c>
      <c r="G586">
        <f ca="1">IF(AND($A586&lt;=4,$A586&lt;&gt;0),0,IF($A586="S",OFFSET(G586,-1,0)+1,OFFSET(G586,-1,0)))</f>
        <v>6</v>
      </c>
      <c r="H586">
        <f ca="1">IF(OR($A586="S",$A586=0),0,MATCH(0,OFFSET($B586,1,$A586,ROW($A$1504)-ROW($A586)),0))</f>
        <v>0</v>
      </c>
      <c r="I586">
        <f ca="1">IF(OR($A586="S",$A586=0),0,MATCH(OFFSET($B586,0,$A586)+1,OFFSET($B586,1,$A586,ROW($A$1504)-ROW($A586)),0))</f>
        <v>0</v>
      </c>
      <c r="J586" s="132" t="s">
        <v>29</v>
      </c>
      <c r="K586" s="121" t="str">
        <f ca="1">IF($A586=0,"-",CONCATENATE(C586&amp;".",IF(AND($A$5&gt;=2,$A586&gt;=2),D586&amp;".",""),IF(AND($A$5&gt;=3,$A586&gt;=3),E586&amp;".",""),IF(AND($A$5&gt;=4,$A586&gt;=4),F586&amp;".",""),IF($A586="S",G586&amp;".","")))</f>
        <v>7.8.6.</v>
      </c>
      <c r="L586" s="137" t="str">
        <f ca="1">IF(NOT(ISERROR($Y586)),IF($Y586&lt;&gt;FALSE,INDEX(Banco,$Y586,4),""),"")</f>
        <v>Cotação</v>
      </c>
      <c r="M586" s="122" t="s">
        <v>80</v>
      </c>
      <c r="N586" s="139" t="s">
        <v>256</v>
      </c>
      <c r="O586" s="137" t="str">
        <f ca="1">IF(NOT(ISERROR($Y586)),IF($Y586&lt;&gt;FALSE,INDEX(Banco,$Y586,5),""),"")</f>
        <v>Instrutor/Monitor (Educação Fisíca)</v>
      </c>
      <c r="P586" s="138" t="str">
        <f ca="1">IF(NOT(ISERROR($Y586)),IF($Y586&lt;&gt;FALSE,INDEX(Banco,$Y586,6),""),"")</f>
        <v>Horas</v>
      </c>
      <c r="Q586" s="134">
        <v>3</v>
      </c>
      <c r="R586" s="124">
        <f ca="1">IF(NOT(ISERROR($Y586)),IF($Y586&lt;&gt;FALSE,INDEX(Banco,$Y586,7),0),0)</f>
        <v>100</v>
      </c>
      <c r="S586" s="136" t="s">
        <v>62</v>
      </c>
      <c r="T586" s="123">
        <f ca="1">IF($J586=$G$2,ROUND(ROUND($R586,2)*IF($R$9="Preço Unitário (R$)",1,1+$AA586),2),0)</f>
        <v>125</v>
      </c>
      <c r="U586" s="126">
        <f ca="1">IF($A586="S",VTOTAL1,IF($A586=0,0,ROUND(SomaAgrup,2)))</f>
        <v>375</v>
      </c>
      <c r="V586" s="1"/>
      <c r="W586" s="39" t="str">
        <f ca="1">IF(OR($A586=0,$A586="S",$A586&gt;CFF!$A$9),"",MAX(W$11:OFFSET(W586,-1,0))+1)</f>
        <v/>
      </c>
      <c r="X586" s="4" t="str">
        <f>IF(AND($J586=$G$2,$N586&lt;&gt;"",$M586&lt;&gt;""),CONCATENATE($M586,"-",$N586))</f>
        <v>Serv. Terc.-017</v>
      </c>
      <c r="Y586" s="39">
        <f ca="1">IF(X586&lt;&gt;FALSE,MATCH(X586,OFFSET(Banco,0,0,,1),0))</f>
        <v>97</v>
      </c>
      <c r="Z586" s="1"/>
      <c r="AA586" s="133">
        <f>IF($J586=$G$2,ROUND(IF(ISNUMBER(S586),S586,IF(LEFT(S586,2)="DI",HLOOKUP(S586,DADOS!$T$29:$X$30,2,FALSE),0)),4),"")</f>
        <v>0.25</v>
      </c>
      <c r="AB586" s="2"/>
    </row>
    <row r="587" spans="1:28">
      <c r="A587" t="str">
        <f t="shared" si="677"/>
        <v>S</v>
      </c>
      <c r="B587">
        <f t="shared" si="678"/>
        <v>0</v>
      </c>
      <c r="C587">
        <f t="shared" ca="1" si="679"/>
        <v>7</v>
      </c>
      <c r="D587">
        <f t="shared" ca="1" si="680"/>
        <v>8</v>
      </c>
      <c r="E587">
        <f t="shared" ca="1" si="681"/>
        <v>0</v>
      </c>
      <c r="F587">
        <f t="shared" ca="1" si="682"/>
        <v>0</v>
      </c>
      <c r="G587">
        <f t="shared" ca="1" si="683"/>
        <v>7</v>
      </c>
      <c r="H587">
        <f ca="1">IF(OR($A587="S",$A587=0),0,MATCH(0,OFFSET($B587,1,$A587,ROW($A$1504)-ROW($A587)),0))</f>
        <v>0</v>
      </c>
      <c r="I587">
        <f ca="1">IF(OR($A587="S",$A587=0),0,MATCH(OFFSET($B587,0,$A587)+1,OFFSET($B587,1,$A587,ROW($A$1504)-ROW($A587)),0))</f>
        <v>0</v>
      </c>
      <c r="J587" s="132" t="s">
        <v>29</v>
      </c>
      <c r="K587" s="121" t="str">
        <f t="shared" ca="1" si="684"/>
        <v>7.8.7.</v>
      </c>
      <c r="L587" s="137" t="str">
        <f t="shared" ca="1" si="685"/>
        <v>Cotação</v>
      </c>
      <c r="M587" s="122" t="s">
        <v>80</v>
      </c>
      <c r="N587" s="139" t="s">
        <v>152</v>
      </c>
      <c r="O587" s="137" t="str">
        <f t="shared" ca="1" si="686"/>
        <v>Carro de som com gravação de vinheta</v>
      </c>
      <c r="P587" s="138" t="str">
        <f t="shared" ca="1" si="687"/>
        <v>Horas</v>
      </c>
      <c r="Q587" s="134">
        <v>3</v>
      </c>
      <c r="R587" s="124">
        <f t="shared" ca="1" si="688"/>
        <v>200</v>
      </c>
      <c r="S587" s="136" t="s">
        <v>62</v>
      </c>
      <c r="T587" s="123">
        <f t="shared" ca="1" si="689"/>
        <v>250</v>
      </c>
      <c r="U587" s="126">
        <f t="shared" ca="1" si="690"/>
        <v>750</v>
      </c>
      <c r="V587" s="1"/>
      <c r="W587" s="39" t="str">
        <f ca="1">IF(OR($A587=0,$A587="S",$A587&gt;CFF!$A$9),"",MAX(W$11:OFFSET(W587,-1,0))+1)</f>
        <v/>
      </c>
      <c r="X587" s="4" t="str">
        <f t="shared" si="691"/>
        <v>Serv. Terc.-002</v>
      </c>
      <c r="Y587" s="39">
        <f t="shared" ca="1" si="692"/>
        <v>82</v>
      </c>
      <c r="Z587" s="1"/>
      <c r="AA587" s="133">
        <f>IF($J587=$G$2,ROUND(IF(ISNUMBER(S587),S587,IF(LEFT(S587,2)="DI",HLOOKUP(S587,DADOS!$T$29:$X$30,2,FALSE),0)),4),"")</f>
        <v>0.25</v>
      </c>
      <c r="AB587" s="2"/>
    </row>
    <row r="588" spans="1:28">
      <c r="A588" t="str">
        <f t="shared" si="677"/>
        <v>S</v>
      </c>
      <c r="B588">
        <f t="shared" si="678"/>
        <v>0</v>
      </c>
      <c r="C588">
        <f t="shared" ca="1" si="679"/>
        <v>7</v>
      </c>
      <c r="D588">
        <f t="shared" ca="1" si="680"/>
        <v>8</v>
      </c>
      <c r="E588">
        <f t="shared" ca="1" si="681"/>
        <v>0</v>
      </c>
      <c r="F588">
        <f t="shared" ca="1" si="682"/>
        <v>0</v>
      </c>
      <c r="G588">
        <f t="shared" ca="1" si="683"/>
        <v>8</v>
      </c>
      <c r="H588">
        <f ca="1">IF(OR($A588="S",$A588=0),0,MATCH(0,OFFSET($B588,1,$A588,ROW($A$1504)-ROW($A588)),0))</f>
        <v>0</v>
      </c>
      <c r="I588">
        <f ca="1">IF(OR($A588="S",$A588=0),0,MATCH(OFFSET($B588,0,$A588)+1,OFFSET($B588,1,$A588,ROW($A$1504)-ROW($A588)),0))</f>
        <v>0</v>
      </c>
      <c r="J588" s="132" t="s">
        <v>29</v>
      </c>
      <c r="K588" s="121" t="str">
        <f t="shared" ca="1" si="684"/>
        <v>7.8.8.</v>
      </c>
      <c r="L588" s="137" t="str">
        <f t="shared" ca="1" si="685"/>
        <v>Cotação</v>
      </c>
      <c r="M588" s="122" t="s">
        <v>80</v>
      </c>
      <c r="N588" s="139" t="s">
        <v>151</v>
      </c>
      <c r="O588" s="137" t="str">
        <f t="shared" ca="1" si="686"/>
        <v>Locação de mesas</v>
      </c>
      <c r="P588" s="138" t="str">
        <f t="shared" ca="1" si="687"/>
        <v>Unidade</v>
      </c>
      <c r="Q588" s="134">
        <v>20</v>
      </c>
      <c r="R588" s="124">
        <f t="shared" ca="1" si="688"/>
        <v>3</v>
      </c>
      <c r="S588" s="136" t="s">
        <v>62</v>
      </c>
      <c r="T588" s="123">
        <f t="shared" ca="1" si="689"/>
        <v>3.75</v>
      </c>
      <c r="U588" s="126">
        <f t="shared" ca="1" si="690"/>
        <v>75</v>
      </c>
      <c r="V588" s="1"/>
      <c r="W588" s="39" t="str">
        <f ca="1">IF(OR($A588=0,$A588="S",$A588&gt;CFF!$A$9),"",MAX(W$11:OFFSET(W588,-1,0))+1)</f>
        <v/>
      </c>
      <c r="X588" s="4" t="str">
        <f t="shared" si="691"/>
        <v>Serv. Terc.-003</v>
      </c>
      <c r="Y588" s="39">
        <f t="shared" ca="1" si="692"/>
        <v>83</v>
      </c>
      <c r="Z588" s="1"/>
      <c r="AA588" s="133">
        <f>IF($J588=$G$2,ROUND(IF(ISNUMBER(S588),S588,IF(LEFT(S588,2)="DI",HLOOKUP(S588,DADOS!$T$29:$X$30,2,FALSE),0)),4),"")</f>
        <v>0.25</v>
      </c>
      <c r="AB588" s="2"/>
    </row>
    <row r="589" spans="1:28">
      <c r="A589" t="str">
        <f t="shared" si="677"/>
        <v>S</v>
      </c>
      <c r="B589">
        <f t="shared" si="678"/>
        <v>0</v>
      </c>
      <c r="C589">
        <f t="shared" ca="1" si="679"/>
        <v>7</v>
      </c>
      <c r="D589">
        <f t="shared" ca="1" si="680"/>
        <v>8</v>
      </c>
      <c r="E589">
        <f t="shared" ca="1" si="681"/>
        <v>0</v>
      </c>
      <c r="F589">
        <f t="shared" ca="1" si="682"/>
        <v>0</v>
      </c>
      <c r="G589">
        <f t="shared" ca="1" si="683"/>
        <v>9</v>
      </c>
      <c r="H589">
        <f ca="1">IF(OR($A589="S",$A589=0),0,MATCH(0,OFFSET($B589,1,$A589,ROW($A$1504)-ROW($A589)),0))</f>
        <v>0</v>
      </c>
      <c r="I589">
        <f ca="1">IF(OR($A589="S",$A589=0),0,MATCH(OFFSET($B589,0,$A589)+1,OFFSET($B589,1,$A589,ROW($A$1504)-ROW($A589)),0))</f>
        <v>0</v>
      </c>
      <c r="J589" s="132" t="s">
        <v>29</v>
      </c>
      <c r="K589" s="121" t="str">
        <f t="shared" ca="1" si="684"/>
        <v>7.8.9.</v>
      </c>
      <c r="L589" s="137" t="str">
        <f t="shared" ca="1" si="685"/>
        <v>Cotação</v>
      </c>
      <c r="M589" s="122" t="s">
        <v>80</v>
      </c>
      <c r="N589" s="139" t="s">
        <v>153</v>
      </c>
      <c r="O589" s="137" t="str">
        <f t="shared" ca="1" si="686"/>
        <v>Locação de cadeiras</v>
      </c>
      <c r="P589" s="138" t="str">
        <f t="shared" ca="1" si="687"/>
        <v>Unidade</v>
      </c>
      <c r="Q589" s="134">
        <v>400</v>
      </c>
      <c r="R589" s="124">
        <f t="shared" ca="1" si="688"/>
        <v>2</v>
      </c>
      <c r="S589" s="136" t="s">
        <v>62</v>
      </c>
      <c r="T589" s="123">
        <f t="shared" ca="1" si="689"/>
        <v>2.5</v>
      </c>
      <c r="U589" s="126">
        <f t="shared" ca="1" si="690"/>
        <v>1000</v>
      </c>
      <c r="V589" s="1"/>
      <c r="W589" s="39" t="str">
        <f ca="1">IF(OR($A589=0,$A589="S",$A589&gt;CFF!$A$9),"",MAX(W$11:OFFSET(W589,-1,0))+1)</f>
        <v/>
      </c>
      <c r="X589" s="4" t="str">
        <f t="shared" si="691"/>
        <v>Serv. Terc.-004</v>
      </c>
      <c r="Y589" s="39">
        <f t="shared" ca="1" si="692"/>
        <v>84</v>
      </c>
      <c r="Z589" s="1"/>
      <c r="AA589" s="133">
        <f>IF($J589=$G$2,ROUND(IF(ISNUMBER(S589),S589,IF(LEFT(S589,2)="DI",HLOOKUP(S589,DADOS!$T$29:$X$30,2,FALSE),0)),4),"")</f>
        <v>0.25</v>
      </c>
      <c r="AB589" s="2"/>
    </row>
    <row r="590" spans="1:28">
      <c r="A590" t="str">
        <f t="shared" si="677"/>
        <v>S</v>
      </c>
      <c r="B590">
        <f t="shared" si="678"/>
        <v>0</v>
      </c>
      <c r="C590">
        <f t="shared" ca="1" si="679"/>
        <v>7</v>
      </c>
      <c r="D590">
        <f t="shared" ca="1" si="680"/>
        <v>8</v>
      </c>
      <c r="E590">
        <f t="shared" ca="1" si="681"/>
        <v>0</v>
      </c>
      <c r="F590">
        <f t="shared" ca="1" si="682"/>
        <v>0</v>
      </c>
      <c r="G590">
        <f t="shared" ca="1" si="683"/>
        <v>10</v>
      </c>
      <c r="H590">
        <f ca="1">IF(OR($A590="S",$A590=0),0,MATCH(0,OFFSET($B590,1,$A590,ROW($A$1504)-ROW($A590)),0))</f>
        <v>0</v>
      </c>
      <c r="I590">
        <f ca="1">IF(OR($A590="S",$A590=0),0,MATCH(OFFSET($B590,0,$A590)+1,OFFSET($B590,1,$A590,ROW($A$1504)-ROW($A590)),0))</f>
        <v>0</v>
      </c>
      <c r="J590" s="132" t="s">
        <v>29</v>
      </c>
      <c r="K590" s="121" t="str">
        <f t="shared" ca="1" si="684"/>
        <v>7.8.10.</v>
      </c>
      <c r="L590" s="137" t="str">
        <f t="shared" ca="1" si="685"/>
        <v>Cotação</v>
      </c>
      <c r="M590" s="122" t="s">
        <v>80</v>
      </c>
      <c r="N590" s="139" t="s">
        <v>154</v>
      </c>
      <c r="O590" s="137" t="str">
        <f t="shared" ca="1" si="686"/>
        <v>Locação de caixa térmica</v>
      </c>
      <c r="P590" s="138" t="str">
        <f t="shared" ca="1" si="687"/>
        <v>Unidade</v>
      </c>
      <c r="Q590" s="134">
        <v>2</v>
      </c>
      <c r="R590" s="124">
        <f t="shared" ca="1" si="688"/>
        <v>40</v>
      </c>
      <c r="S590" s="136" t="s">
        <v>62</v>
      </c>
      <c r="T590" s="123">
        <f t="shared" ca="1" si="689"/>
        <v>50</v>
      </c>
      <c r="U590" s="126">
        <f t="shared" ca="1" si="690"/>
        <v>100</v>
      </c>
      <c r="V590" s="1"/>
      <c r="W590" s="39" t="str">
        <f ca="1">IF(OR($A590=0,$A590="S",$A590&gt;CFF!$A$9),"",MAX(W$11:OFFSET(W590,-1,0))+1)</f>
        <v/>
      </c>
      <c r="X590" s="4" t="str">
        <f t="shared" si="691"/>
        <v>Serv. Terc.-005</v>
      </c>
      <c r="Y590" s="39">
        <f t="shared" ca="1" si="692"/>
        <v>85</v>
      </c>
      <c r="Z590" s="1"/>
      <c r="AA590" s="133">
        <f>IF($J590=$G$2,ROUND(IF(ISNUMBER(S590),S590,IF(LEFT(S590,2)="DI",HLOOKUP(S590,DADOS!$T$29:$X$30,2,FALSE),0)),4),"")</f>
        <v>0.25</v>
      </c>
      <c r="AB590" s="2"/>
    </row>
    <row r="591" spans="1:28">
      <c r="A591" t="str">
        <f t="shared" si="677"/>
        <v>S</v>
      </c>
      <c r="B591">
        <f t="shared" si="678"/>
        <v>0</v>
      </c>
      <c r="C591">
        <f t="shared" ca="1" si="679"/>
        <v>7</v>
      </c>
      <c r="D591">
        <f t="shared" ca="1" si="680"/>
        <v>8</v>
      </c>
      <c r="E591">
        <f t="shared" ca="1" si="681"/>
        <v>0</v>
      </c>
      <c r="F591">
        <f t="shared" ca="1" si="682"/>
        <v>0</v>
      </c>
      <c r="G591">
        <f t="shared" ca="1" si="683"/>
        <v>11</v>
      </c>
      <c r="H591">
        <f ca="1">IF(OR($A591="S",$A591=0),0,MATCH(0,OFFSET($B591,1,$A591,ROW($A$1504)-ROW($A591)),0))</f>
        <v>0</v>
      </c>
      <c r="I591">
        <f ca="1">IF(OR($A591="S",$A591=0),0,MATCH(OFFSET($B591,0,$A591)+1,OFFSET($B591,1,$A591,ROW($A$1504)-ROW($A591)),0))</f>
        <v>0</v>
      </c>
      <c r="J591" s="132" t="s">
        <v>29</v>
      </c>
      <c r="K591" s="121" t="str">
        <f t="shared" ca="1" si="684"/>
        <v>7.8.11.</v>
      </c>
      <c r="L591" s="137" t="str">
        <f t="shared" ca="1" si="685"/>
        <v>Cotação</v>
      </c>
      <c r="M591" s="122" t="s">
        <v>80</v>
      </c>
      <c r="N591" s="139" t="s">
        <v>155</v>
      </c>
      <c r="O591" s="137" t="str">
        <f t="shared" ca="1" si="686"/>
        <v>Locação de tendas</v>
      </c>
      <c r="P591" s="138" t="str">
        <f t="shared" ca="1" si="687"/>
        <v>Unidade</v>
      </c>
      <c r="Q591" s="134">
        <v>3</v>
      </c>
      <c r="R591" s="124">
        <f t="shared" ca="1" si="688"/>
        <v>250</v>
      </c>
      <c r="S591" s="136" t="s">
        <v>62</v>
      </c>
      <c r="T591" s="123">
        <f t="shared" ca="1" si="689"/>
        <v>312.5</v>
      </c>
      <c r="U591" s="126">
        <f t="shared" ca="1" si="690"/>
        <v>937.5</v>
      </c>
      <c r="V591" s="1"/>
      <c r="W591" s="39" t="str">
        <f ca="1">IF(OR($A591=0,$A591="S",$A591&gt;CFF!$A$9),"",MAX(W$11:OFFSET(W591,-1,0))+1)</f>
        <v/>
      </c>
      <c r="X591" s="4" t="str">
        <f t="shared" si="691"/>
        <v>Serv. Terc.-006</v>
      </c>
      <c r="Y591" s="39">
        <f t="shared" ca="1" si="692"/>
        <v>86</v>
      </c>
      <c r="Z591" s="1"/>
      <c r="AA591" s="133">
        <f>IF($J591=$G$2,ROUND(IF(ISNUMBER(S591),S591,IF(LEFT(S591,2)="DI",HLOOKUP(S591,DADOS!$T$29:$X$30,2,FALSE),0)),4),"")</f>
        <v>0.25</v>
      </c>
      <c r="AB591" s="2"/>
    </row>
    <row r="592" spans="1:28">
      <c r="A592" t="str">
        <f t="shared" si="677"/>
        <v>S</v>
      </c>
      <c r="B592">
        <f t="shared" si="678"/>
        <v>0</v>
      </c>
      <c r="C592">
        <f t="shared" ca="1" si="679"/>
        <v>7</v>
      </c>
      <c r="D592">
        <f t="shared" ca="1" si="680"/>
        <v>8</v>
      </c>
      <c r="E592">
        <f t="shared" ca="1" si="681"/>
        <v>0</v>
      </c>
      <c r="F592">
        <f t="shared" ca="1" si="682"/>
        <v>0</v>
      </c>
      <c r="G592">
        <f t="shared" ca="1" si="683"/>
        <v>12</v>
      </c>
      <c r="H592">
        <f ca="1">IF(OR($A592="S",$A592=0),0,MATCH(0,OFFSET($B592,1,$A592,ROW($A$1504)-ROW($A592)),0))</f>
        <v>0</v>
      </c>
      <c r="I592">
        <f ca="1">IF(OR($A592="S",$A592=0),0,MATCH(OFFSET($B592,0,$A592)+1,OFFSET($B592,1,$A592,ROW($A$1504)-ROW($A592)),0))</f>
        <v>0</v>
      </c>
      <c r="J592" s="132" t="s">
        <v>29</v>
      </c>
      <c r="K592" s="121" t="str">
        <f t="shared" ca="1" si="684"/>
        <v>7.8.12.</v>
      </c>
      <c r="L592" s="137" t="str">
        <f t="shared" ca="1" si="685"/>
        <v>Cotação</v>
      </c>
      <c r="M592" s="122" t="s">
        <v>80</v>
      </c>
      <c r="N592" s="139" t="s">
        <v>157</v>
      </c>
      <c r="O592" s="137" t="str">
        <f t="shared" ca="1" si="686"/>
        <v>Locação de pula-pula com monitor</v>
      </c>
      <c r="P592" s="138" t="str">
        <f t="shared" ca="1" si="687"/>
        <v>Unidade</v>
      </c>
      <c r="Q592" s="134">
        <v>2</v>
      </c>
      <c r="R592" s="124">
        <f t="shared" ca="1" si="688"/>
        <v>220</v>
      </c>
      <c r="S592" s="136" t="s">
        <v>62</v>
      </c>
      <c r="T592" s="123">
        <f t="shared" ca="1" si="689"/>
        <v>275</v>
      </c>
      <c r="U592" s="126">
        <f t="shared" ca="1" si="690"/>
        <v>550</v>
      </c>
      <c r="V592" s="1"/>
      <c r="W592" s="39" t="str">
        <f ca="1">IF(OR($A592=0,$A592="S",$A592&gt;CFF!$A$9),"",MAX(W$11:OFFSET(W592,-1,0))+1)</f>
        <v/>
      </c>
      <c r="X592" s="4" t="str">
        <f t="shared" si="691"/>
        <v>Serv. Terc.-008</v>
      </c>
      <c r="Y592" s="39">
        <f t="shared" ca="1" si="692"/>
        <v>88</v>
      </c>
      <c r="Z592" s="1"/>
      <c r="AA592" s="133">
        <f>IF($J592=$G$2,ROUND(IF(ISNUMBER(S592),S592,IF(LEFT(S592,2)="DI",HLOOKUP(S592,DADOS!$T$29:$X$30,2,FALSE),0)),4),"")</f>
        <v>0.25</v>
      </c>
      <c r="AB592" s="2"/>
    </row>
    <row r="593" spans="1:28">
      <c r="A593" t="str">
        <f t="shared" si="677"/>
        <v>S</v>
      </c>
      <c r="B593">
        <f t="shared" si="678"/>
        <v>0</v>
      </c>
      <c r="C593">
        <f t="shared" ca="1" si="679"/>
        <v>7</v>
      </c>
      <c r="D593">
        <f t="shared" ca="1" si="680"/>
        <v>8</v>
      </c>
      <c r="E593">
        <f t="shared" ca="1" si="681"/>
        <v>0</v>
      </c>
      <c r="F593">
        <f t="shared" ca="1" si="682"/>
        <v>0</v>
      </c>
      <c r="G593">
        <f t="shared" ca="1" si="683"/>
        <v>13</v>
      </c>
      <c r="H593">
        <f ca="1">IF(OR($A593="S",$A593=0),0,MATCH(0,OFFSET($B593,1,$A593,ROW($A$1504)-ROW($A593)),0))</f>
        <v>0</v>
      </c>
      <c r="I593">
        <f ca="1">IF(OR($A593="S",$A593=0),0,MATCH(OFFSET($B593,0,$A593)+1,OFFSET($B593,1,$A593,ROW($A$1504)-ROW($A593)),0))</f>
        <v>0</v>
      </c>
      <c r="J593" s="132" t="s">
        <v>29</v>
      </c>
      <c r="K593" s="121" t="str">
        <f t="shared" ca="1" si="684"/>
        <v>7.8.13.</v>
      </c>
      <c r="L593" s="137" t="str">
        <f t="shared" ca="1" si="685"/>
        <v>Cotação</v>
      </c>
      <c r="M593" s="122" t="s">
        <v>80</v>
      </c>
      <c r="N593" s="139" t="s">
        <v>161</v>
      </c>
      <c r="O593" s="137" t="str">
        <f t="shared" ca="1" si="686"/>
        <v>Água (garrafão de 20 litros)</v>
      </c>
      <c r="P593" s="138" t="str">
        <f t="shared" ca="1" si="687"/>
        <v>Unidade</v>
      </c>
      <c r="Q593" s="134">
        <v>2</v>
      </c>
      <c r="R593" s="124">
        <f t="shared" ca="1" si="688"/>
        <v>10</v>
      </c>
      <c r="S593" s="136" t="s">
        <v>62</v>
      </c>
      <c r="T593" s="123">
        <f t="shared" ca="1" si="689"/>
        <v>12.5</v>
      </c>
      <c r="U593" s="126">
        <f t="shared" ca="1" si="690"/>
        <v>25</v>
      </c>
      <c r="V593" s="1"/>
      <c r="W593" s="39" t="str">
        <f ca="1">IF(OR($A593=0,$A593="S",$A593&gt;CFF!$A$9),"",MAX(W$11:OFFSET(W593,-1,0))+1)</f>
        <v/>
      </c>
      <c r="X593" s="4" t="str">
        <f t="shared" si="691"/>
        <v>Serv. Terc.-012</v>
      </c>
      <c r="Y593" s="39">
        <f t="shared" ca="1" si="692"/>
        <v>92</v>
      </c>
      <c r="Z593" s="1"/>
      <c r="AA593" s="133">
        <f>IF($J593=$G$2,ROUND(IF(ISNUMBER(S593),S593,IF(LEFT(S593,2)="DI",HLOOKUP(S593,DADOS!$T$29:$X$30,2,FALSE),0)),4),"")</f>
        <v>0.25</v>
      </c>
      <c r="AB593" s="2"/>
    </row>
    <row r="594" spans="1:28">
      <c r="A594" t="str">
        <f t="shared" si="677"/>
        <v>S</v>
      </c>
      <c r="B594">
        <f t="shared" si="678"/>
        <v>0</v>
      </c>
      <c r="C594">
        <f t="shared" ca="1" si="679"/>
        <v>7</v>
      </c>
      <c r="D594">
        <f t="shared" ca="1" si="680"/>
        <v>8</v>
      </c>
      <c r="E594">
        <f t="shared" ca="1" si="681"/>
        <v>0</v>
      </c>
      <c r="F594">
        <f t="shared" ca="1" si="682"/>
        <v>0</v>
      </c>
      <c r="G594">
        <f t="shared" ca="1" si="683"/>
        <v>14</v>
      </c>
      <c r="H594">
        <f ca="1">IF(OR($A594="S",$A594=0),0,MATCH(0,OFFSET($B594,1,$A594,ROW($A$1504)-ROW($A594)),0))</f>
        <v>0</v>
      </c>
      <c r="I594">
        <f ca="1">IF(OR($A594="S",$A594=0),0,MATCH(OFFSET($B594,0,$A594)+1,OFFSET($B594,1,$A594,ROW($A$1504)-ROW($A594)),0))</f>
        <v>0</v>
      </c>
      <c r="J594" s="132" t="s">
        <v>29</v>
      </c>
      <c r="K594" s="121" t="str">
        <f t="shared" ca="1" si="684"/>
        <v>7.8.14.</v>
      </c>
      <c r="L594" s="137" t="str">
        <f t="shared" ca="1" si="685"/>
        <v xml:space="preserve">Cotação </v>
      </c>
      <c r="M594" s="122" t="s">
        <v>80</v>
      </c>
      <c r="N594" s="139" t="s">
        <v>160</v>
      </c>
      <c r="O594" s="137" t="str">
        <f t="shared" ca="1" si="686"/>
        <v>Barra de gelo</v>
      </c>
      <c r="P594" s="138" t="str">
        <f t="shared" ca="1" si="687"/>
        <v>Unidade</v>
      </c>
      <c r="Q594" s="134">
        <v>4</v>
      </c>
      <c r="R594" s="124">
        <f t="shared" ca="1" si="688"/>
        <v>12</v>
      </c>
      <c r="S594" s="136" t="s">
        <v>62</v>
      </c>
      <c r="T594" s="123">
        <f t="shared" ca="1" si="689"/>
        <v>15</v>
      </c>
      <c r="U594" s="126">
        <f t="shared" ca="1" si="690"/>
        <v>60</v>
      </c>
      <c r="V594" s="1"/>
      <c r="W594" s="39" t="str">
        <f ca="1">IF(OR($A594=0,$A594="S",$A594&gt;CFF!$A$9),"",MAX(W$11:OFFSET(W594,-1,0))+1)</f>
        <v/>
      </c>
      <c r="X594" s="4" t="str">
        <f t="shared" si="691"/>
        <v>Serv. Terc.-011</v>
      </c>
      <c r="Y594" s="39">
        <f t="shared" ca="1" si="692"/>
        <v>91</v>
      </c>
      <c r="Z594" s="1"/>
      <c r="AA594" s="133">
        <f>IF($J594=$G$2,ROUND(IF(ISNUMBER(S594),S594,IF(LEFT(S594,2)="DI",HLOOKUP(S594,DADOS!$T$29:$X$30,2,FALSE),0)),4),"")</f>
        <v>0.25</v>
      </c>
      <c r="AB594" s="2"/>
    </row>
    <row r="595" spans="1:28">
      <c r="A595" t="str">
        <f t="shared" si="677"/>
        <v>S</v>
      </c>
      <c r="B595">
        <f t="shared" si="678"/>
        <v>0</v>
      </c>
      <c r="C595">
        <f t="shared" ca="1" si="679"/>
        <v>7</v>
      </c>
      <c r="D595">
        <f t="shared" ca="1" si="680"/>
        <v>8</v>
      </c>
      <c r="E595">
        <f t="shared" ca="1" si="681"/>
        <v>0</v>
      </c>
      <c r="F595">
        <f t="shared" ca="1" si="682"/>
        <v>0</v>
      </c>
      <c r="G595">
        <f t="shared" ca="1" si="683"/>
        <v>15</v>
      </c>
      <c r="H595">
        <f ca="1">IF(OR($A595="S",$A595=0),0,MATCH(0,OFFSET($B595,1,$A595,ROW($A$1504)-ROW($A595)),0))</f>
        <v>0</v>
      </c>
      <c r="I595">
        <f ca="1">IF(OR($A595="S",$A595=0),0,MATCH(OFFSET($B595,0,$A595)+1,OFFSET($B595,1,$A595,ROW($A$1504)-ROW($A595)),0))</f>
        <v>0</v>
      </c>
      <c r="J595" s="132" t="s">
        <v>29</v>
      </c>
      <c r="K595" s="121" t="str">
        <f t="shared" ca="1" si="684"/>
        <v>7.8.15.</v>
      </c>
      <c r="L595" s="137" t="str">
        <f t="shared" ca="1" si="685"/>
        <v>Cotação</v>
      </c>
      <c r="M595" s="122" t="s">
        <v>80</v>
      </c>
      <c r="N595" s="139" t="s">
        <v>150</v>
      </c>
      <c r="O595" s="137" t="str">
        <f t="shared" ca="1" si="686"/>
        <v>Sucos</v>
      </c>
      <c r="P595" s="138" t="str">
        <f t="shared" ca="1" si="687"/>
        <v>Unidade</v>
      </c>
      <c r="Q595" s="134">
        <v>12</v>
      </c>
      <c r="R595" s="124">
        <f t="shared" ca="1" si="688"/>
        <v>6.4</v>
      </c>
      <c r="S595" s="136" t="s">
        <v>62</v>
      </c>
      <c r="T595" s="123">
        <f t="shared" ca="1" si="689"/>
        <v>8</v>
      </c>
      <c r="U595" s="126">
        <f t="shared" ca="1" si="690"/>
        <v>96</v>
      </c>
      <c r="V595" s="1"/>
      <c r="W595" s="39" t="str">
        <f ca="1">IF(OR($A595=0,$A595="S",$A595&gt;CFF!$A$9),"",MAX(W$11:OFFSET(W595,-1,0))+1)</f>
        <v/>
      </c>
      <c r="X595" s="4" t="str">
        <f t="shared" si="691"/>
        <v>Serv. Terc.-013</v>
      </c>
      <c r="Y595" s="39">
        <f t="shared" ca="1" si="692"/>
        <v>93</v>
      </c>
      <c r="Z595" s="1"/>
      <c r="AA595" s="133">
        <f>IF($J595=$G$2,ROUND(IF(ISNUMBER(S595),S595,IF(LEFT(S595,2)="DI",HLOOKUP(S595,DADOS!$T$29:$X$30,2,FALSE),0)),4),"")</f>
        <v>0.25</v>
      </c>
      <c r="AB595" s="2"/>
    </row>
    <row r="596" spans="1:28">
      <c r="A596" t="str">
        <f>CHOOSE(1+LOG(1+2*(J596=$C$2)+4*(J596=$D$2)+8*(J596=$E$2)+16*(J596=$F$2)+32*(J596=$G$2),2),0,1,2,3,4,"S")</f>
        <v>S</v>
      </c>
      <c r="B596">
        <f>IF(OR(A596="S",A596=0),0,IF(ISERROR(I596),H596,SMALL(H596:I596,1)))</f>
        <v>0</v>
      </c>
      <c r="C596">
        <f ca="1">IF($A596=1,OFFSET(C596,-1,0)+1,OFFSET(C596,-1,0))</f>
        <v>7</v>
      </c>
      <c r="D596">
        <f ca="1">IF($A596=1,0,IF($A596=2,OFFSET(D596,-1,0)+1,OFFSET(D596,-1,0)))</f>
        <v>8</v>
      </c>
      <c r="E596">
        <f ca="1">IF(AND($A596&lt;=2,$A596&lt;&gt;0),0,IF($A596=3,OFFSET(E596,-1,0)+1,OFFSET(E596,-1,0)))</f>
        <v>0</v>
      </c>
      <c r="F596">
        <f ca="1">IF(AND($A596&lt;=3,$A596&lt;&gt;0),0,IF($A596=4,OFFSET(F596,-1,0)+1,OFFSET(F596,-1,0)))</f>
        <v>0</v>
      </c>
      <c r="G596">
        <f ca="1">IF(AND($A596&lt;=4,$A596&lt;&gt;0),0,IF($A596="S",OFFSET(G596,-1,0)+1,OFFSET(G596,-1,0)))</f>
        <v>16</v>
      </c>
      <c r="H596">
        <f ca="1">IF(OR($A596="S",$A596=0),0,MATCH(0,OFFSET($B596,1,$A596,ROW($A$1504)-ROW($A596)),0))</f>
        <v>0</v>
      </c>
      <c r="I596">
        <f ca="1">IF(OR($A596="S",$A596=0),0,MATCH(OFFSET($B596,0,$A596)+1,OFFSET($B596,1,$A596,ROW($A$1504)-ROW($A596)),0))</f>
        <v>0</v>
      </c>
      <c r="J596" s="132" t="s">
        <v>29</v>
      </c>
      <c r="K596" s="121" t="str">
        <f ca="1">IF($A596=0,"-",CONCATENATE(C596&amp;".",IF(AND($A$5&gt;=2,$A596&gt;=2),D596&amp;".",""),IF(AND($A$5&gt;=3,$A596&gt;=3),E596&amp;".",""),IF(AND($A$5&gt;=4,$A596&gt;=4),F596&amp;".",""),IF($A596="S",G596&amp;".","")))</f>
        <v>7.8.16.</v>
      </c>
      <c r="L596" s="137" t="str">
        <f ca="1">IF(NOT(ISERROR($Y596)),IF($Y596&lt;&gt;FALSE,INDEX(Banco,$Y596,4),""),"")</f>
        <v>Cotação</v>
      </c>
      <c r="M596" s="122" t="s">
        <v>80</v>
      </c>
      <c r="N596" s="139" t="s">
        <v>171</v>
      </c>
      <c r="O596" s="137" t="str">
        <f ca="1">IF(NOT(ISERROR($Y596)),IF($Y596&lt;&gt;FALSE,INDEX(Banco,$Y596,5),""),"")</f>
        <v xml:space="preserve">Refrigerantes (02 litros) </v>
      </c>
      <c r="P596" s="138" t="str">
        <f ca="1">IF(NOT(ISERROR($Y596)),IF($Y596&lt;&gt;FALSE,INDEX(Banco,$Y596,6),""),"")</f>
        <v>Unidade</v>
      </c>
      <c r="Q596" s="134">
        <v>20</v>
      </c>
      <c r="R596" s="124">
        <f ca="1">IF(NOT(ISERROR($Y596)),IF($Y596&lt;&gt;FALSE,INDEX(Banco,$Y596,7),0),0)</f>
        <v>6</v>
      </c>
      <c r="S596" s="136" t="s">
        <v>62</v>
      </c>
      <c r="T596" s="123">
        <f ca="1">IF($J596=$G$2,ROUND(ROUND($R596,2)*IF($R$9="Preço Unitário (R$)",1,1+$AA596),2),0)</f>
        <v>7.5</v>
      </c>
      <c r="U596" s="126">
        <f ca="1">IF($A596="S",VTOTAL1,IF($A596=0,0,ROUND(SomaAgrup,2)))</f>
        <v>150</v>
      </c>
      <c r="V596" s="1"/>
      <c r="W596" s="39" t="str">
        <f ca="1">IF(OR($A596=0,$A596="S",$A596&gt;CFF!$A$9),"",MAX(W$11:OFFSET(W596,-1,0))+1)</f>
        <v/>
      </c>
      <c r="X596" s="4" t="str">
        <f>IF(AND($J596=$G$2,$N596&lt;&gt;"",$M596&lt;&gt;""),CONCATENATE($M596,"-",$N596))</f>
        <v>Serv. Terc.-027</v>
      </c>
      <c r="Y596" s="39">
        <f ca="1">IF(X596&lt;&gt;FALSE,MATCH(X596,OFFSET(Banco,0,0,,1),0))</f>
        <v>107</v>
      </c>
      <c r="Z596" s="1"/>
      <c r="AA596" s="133">
        <f>IF($J596=$G$2,ROUND(IF(ISNUMBER(S596),S596,IF(LEFT(S596,2)="DI",HLOOKUP(S596,DADOS!$T$29:$X$30,2,FALSE),0)),4),"")</f>
        <v>0.25</v>
      </c>
      <c r="AB596" s="2"/>
    </row>
    <row r="597" spans="1:28">
      <c r="A597" t="str">
        <f t="shared" ref="A597:A606" si="693">CHOOSE(1+LOG(1+2*(J597=$C$2)+4*(J597=$D$2)+8*(J597=$E$2)+16*(J597=$F$2)+32*(J597=$G$2),2),0,1,2,3,4,"S")</f>
        <v>S</v>
      </c>
      <c r="B597">
        <f t="shared" ref="B597:B606" si="694">IF(OR(A597="S",A597=0),0,IF(ISERROR(I597),H597,SMALL(H597:I597,1)))</f>
        <v>0</v>
      </c>
      <c r="C597">
        <f ca="1">IF($A597=1,OFFSET(C597,-1,0)+1,OFFSET(C597,-1,0))</f>
        <v>7</v>
      </c>
      <c r="D597">
        <f ca="1">IF($A597=1,0,IF($A597=2,OFFSET(D597,-1,0)+1,OFFSET(D597,-1,0)))</f>
        <v>8</v>
      </c>
      <c r="E597">
        <f ca="1">IF(AND($A597&lt;=2,$A597&lt;&gt;0),0,IF($A597=3,OFFSET(E597,-1,0)+1,OFFSET(E597,-1,0)))</f>
        <v>0</v>
      </c>
      <c r="F597">
        <f ca="1">IF(AND($A597&lt;=3,$A597&lt;&gt;0),0,IF($A597=4,OFFSET(F597,-1,0)+1,OFFSET(F597,-1,0)))</f>
        <v>0</v>
      </c>
      <c r="G597">
        <f ca="1">IF(AND($A597&lt;=4,$A597&lt;&gt;0),0,IF($A597="S",OFFSET(G597,-1,0)+1,OFFSET(G597,-1,0)))</f>
        <v>17</v>
      </c>
      <c r="H597">
        <f ca="1">IF(OR($A597="S",$A597=0),0,MATCH(0,OFFSET($B597,1,$A597,ROW($A$1504)-ROW($A597)),0))</f>
        <v>0</v>
      </c>
      <c r="I597">
        <f ca="1">IF(OR($A597="S",$A597=0),0,MATCH(OFFSET($B597,0,$A597)+1,OFFSET($B597,1,$A597,ROW($A$1504)-ROW($A597)),0))</f>
        <v>0</v>
      </c>
      <c r="J597" s="132" t="s">
        <v>29</v>
      </c>
      <c r="K597" s="121" t="str">
        <f t="shared" ref="K597:K606" ca="1" si="695">IF($A597=0,"-",CONCATENATE(C597&amp;".",IF(AND($A$5&gt;=2,$A597&gt;=2),D597&amp;".",""),IF(AND($A$5&gt;=3,$A597&gt;=3),E597&amp;".",""),IF(AND($A$5&gt;=4,$A597&gt;=4),F597&amp;".",""),IF($A597="S",G597&amp;".","")))</f>
        <v>7.8.17.</v>
      </c>
      <c r="L597" s="137" t="str">
        <f ca="1">IF(NOT(ISERROR($Y597)),IF($Y597&lt;&gt;FALSE,INDEX(Banco,$Y597,4),""),"")</f>
        <v xml:space="preserve">Cotação </v>
      </c>
      <c r="M597" s="122" t="s">
        <v>80</v>
      </c>
      <c r="N597" s="139" t="s">
        <v>159</v>
      </c>
      <c r="O597" s="137" t="str">
        <f ca="1">IF(NOT(ISERROR($Y597)),IF($Y597&lt;&gt;FALSE,INDEX(Banco,$Y597,5),""),"")</f>
        <v>Brindes ( descrição nos orçamentos e PTS)</v>
      </c>
      <c r="P597" s="138" t="str">
        <f ca="1">IF(NOT(ISERROR($Y597)),IF($Y597&lt;&gt;FALSE,INDEX(Banco,$Y597,6),""),"")</f>
        <v>Unidade</v>
      </c>
      <c r="Q597" s="134">
        <v>8</v>
      </c>
      <c r="R597" s="124">
        <f ca="1">IF(NOT(ISERROR($Y597)),IF($Y597&lt;&gt;FALSE,INDEX(Banco,$Y597,7),0),0)</f>
        <v>120</v>
      </c>
      <c r="S597" s="136" t="s">
        <v>62</v>
      </c>
      <c r="T597" s="123">
        <f ca="1">IF($J597=$G$2,ROUND(ROUND($R597,2)*IF($R$9="Preço Unitário (R$)",1,1+$AA597),2),0)</f>
        <v>150</v>
      </c>
      <c r="U597" s="126">
        <f ca="1">IF($A597="S",VTOTAL1,IF($A597=0,0,ROUND(SomaAgrup,2)))</f>
        <v>1200</v>
      </c>
      <c r="V597" s="1"/>
      <c r="W597" s="39" t="str">
        <f ca="1">IF(OR($A597=0,$A597="S",$A597&gt;CFF!$A$9),"",MAX(W$11:OFFSET(W597,-1,0))+1)</f>
        <v/>
      </c>
      <c r="X597" s="4" t="str">
        <f>IF(AND($J597=$G$2,$N597&lt;&gt;"",$M597&lt;&gt;""),CONCATENATE($M597,"-",$N597))</f>
        <v>Serv. Terc.-010</v>
      </c>
      <c r="Y597" s="39">
        <f t="shared" ref="Y597:Y606" ca="1" si="696">IF(X597&lt;&gt;FALSE,MATCH(X597,OFFSET(Banco,0,0,,1),0))</f>
        <v>90</v>
      </c>
      <c r="Z597" s="1"/>
      <c r="AA597" s="133">
        <f>IF($J597=$G$2,ROUND(IF(ISNUMBER(S597),S597,IF(LEFT(S597,2)="DI",HLOOKUP(S597,DADOS!$T$29:$X$30,2,FALSE),0)),4),"")</f>
        <v>0.25</v>
      </c>
      <c r="AB597" s="2"/>
    </row>
    <row r="598" spans="1:28">
      <c r="A598" t="str">
        <f t="shared" si="693"/>
        <v>S</v>
      </c>
      <c r="B598">
        <f t="shared" si="694"/>
        <v>0</v>
      </c>
      <c r="C598">
        <f t="shared" ca="1" si="679"/>
        <v>7</v>
      </c>
      <c r="D598">
        <f t="shared" ca="1" si="680"/>
        <v>8</v>
      </c>
      <c r="E598">
        <f t="shared" ca="1" si="681"/>
        <v>0</v>
      </c>
      <c r="F598">
        <f t="shared" ca="1" si="682"/>
        <v>0</v>
      </c>
      <c r="G598">
        <f t="shared" ca="1" si="683"/>
        <v>18</v>
      </c>
      <c r="H598">
        <f ca="1">IF(OR($A598="S",$A598=0),0,MATCH(0,OFFSET($B598,1,$A598,ROW($A$1504)-ROW($A598)),0))</f>
        <v>0</v>
      </c>
      <c r="I598">
        <f ca="1">IF(OR($A598="S",$A598=0),0,MATCH(OFFSET($B598,0,$A598)+1,OFFSET($B598,1,$A598,ROW($A$1504)-ROW($A598)),0))</f>
        <v>0</v>
      </c>
      <c r="J598" s="132" t="s">
        <v>29</v>
      </c>
      <c r="K598" s="121" t="str">
        <f t="shared" ca="1" si="695"/>
        <v>7.8.18.</v>
      </c>
      <c r="L598" s="137" t="str">
        <f t="shared" ca="1" si="685"/>
        <v>Cotação</v>
      </c>
      <c r="M598" s="122" t="s">
        <v>80</v>
      </c>
      <c r="N598" s="139" t="s">
        <v>162</v>
      </c>
      <c r="O598" s="137" t="str">
        <f t="shared" ca="1" si="686"/>
        <v>Coffee break (salgados)</v>
      </c>
      <c r="P598" s="138" t="str">
        <f t="shared" ca="1" si="687"/>
        <v>Centro</v>
      </c>
      <c r="Q598" s="134">
        <v>15</v>
      </c>
      <c r="R598" s="124">
        <f t="shared" ca="1" si="688"/>
        <v>65</v>
      </c>
      <c r="S598" s="136" t="s">
        <v>62</v>
      </c>
      <c r="T598" s="123">
        <f t="shared" ca="1" si="689"/>
        <v>81.25</v>
      </c>
      <c r="U598" s="126">
        <f t="shared" ca="1" si="690"/>
        <v>1218.75</v>
      </c>
      <c r="V598" s="1"/>
      <c r="W598" s="39" t="str">
        <f ca="1">IF(OR($A598=0,$A598="S",$A598&gt;CFF!$A$9),"",MAX(W$11:OFFSET(W598,-1,0))+1)</f>
        <v/>
      </c>
      <c r="X598" s="4" t="str">
        <f t="shared" si="691"/>
        <v>Serv. Terc.-015</v>
      </c>
      <c r="Y598" s="39">
        <f t="shared" ca="1" si="696"/>
        <v>95</v>
      </c>
      <c r="Z598" s="1"/>
      <c r="AA598" s="133">
        <f>IF($J598=$G$2,ROUND(IF(ISNUMBER(S598),S598,IF(LEFT(S598,2)="DI",HLOOKUP(S598,DADOS!$T$29:$X$30,2,FALSE),0)),4),"")</f>
        <v>0.25</v>
      </c>
      <c r="AB598" s="2"/>
    </row>
    <row r="599" spans="1:28">
      <c r="A599" t="str">
        <f t="shared" si="693"/>
        <v>S</v>
      </c>
      <c r="B599">
        <f t="shared" si="694"/>
        <v>0</v>
      </c>
      <c r="C599">
        <f ca="1">IF($A599=1,OFFSET(C599,-1,0)+1,OFFSET(C599,-1,0))</f>
        <v>7</v>
      </c>
      <c r="D599">
        <f ca="1">IF($A599=1,0,IF($A599=2,OFFSET(D599,-1,0)+1,OFFSET(D599,-1,0)))</f>
        <v>8</v>
      </c>
      <c r="E599">
        <f ca="1">IF(AND($A599&lt;=2,$A599&lt;&gt;0),0,IF($A599=3,OFFSET(E599,-1,0)+1,OFFSET(E599,-1,0)))</f>
        <v>0</v>
      </c>
      <c r="F599">
        <f ca="1">IF(AND($A599&lt;=3,$A599&lt;&gt;0),0,IF($A599=4,OFFSET(F599,-1,0)+1,OFFSET(F599,-1,0)))</f>
        <v>0</v>
      </c>
      <c r="G599">
        <f ca="1">IF(AND($A599&lt;=4,$A599&lt;&gt;0),0,IF($A599="S",OFFSET(G599,-1,0)+1,OFFSET(G599,-1,0)))</f>
        <v>19</v>
      </c>
      <c r="H599">
        <f ca="1">IF(OR($A599="S",$A599=0),0,MATCH(0,OFFSET($B599,1,$A599,ROW($A$1504)-ROW($A599)),0))</f>
        <v>0</v>
      </c>
      <c r="I599">
        <f ca="1">IF(OR($A599="S",$A599=0),0,MATCH(OFFSET($B599,0,$A599)+1,OFFSET($B599,1,$A599,ROW($A$1504)-ROW($A599)),0))</f>
        <v>0</v>
      </c>
      <c r="J599" s="132" t="s">
        <v>29</v>
      </c>
      <c r="K599" s="121" t="str">
        <f t="shared" ca="1" si="695"/>
        <v>7.8.19.</v>
      </c>
      <c r="L599" s="137" t="str">
        <f ca="1">IF(NOT(ISERROR($Y599)),IF($Y599&lt;&gt;FALSE,INDEX(Banco,$Y599,4),""),"")</f>
        <v>COREN</v>
      </c>
      <c r="M599" s="122" t="s">
        <v>80</v>
      </c>
      <c r="N599" s="139" t="s">
        <v>246</v>
      </c>
      <c r="O599" s="137" t="str">
        <f ca="1">IF(NOT(ISERROR($Y599)),IF($Y599&lt;&gt;FALSE,INDEX(Banco,$Y599,5),""),"")</f>
        <v>Enfermeiro padrão</v>
      </c>
      <c r="P599" s="138" t="str">
        <f ca="1">IF(NOT(ISERROR($Y599)),IF($Y599&lt;&gt;FALSE,INDEX(Banco,$Y599,6),""),"")</f>
        <v>Unidade</v>
      </c>
      <c r="Q599" s="134">
        <v>4</v>
      </c>
      <c r="R599" s="124">
        <f ca="1">IF(NOT(ISERROR($Y599)),IF($Y599&lt;&gt;FALSE,INDEX(Banco,$Y599,7),0),0)</f>
        <v>123.02</v>
      </c>
      <c r="S599" s="136" t="s">
        <v>62</v>
      </c>
      <c r="T599" s="123">
        <f ca="1">IF($J599=$G$2,ROUND(ROUND($R599,2)*IF($R$9="Preço Unitário (R$)",1,1+$AA599),2),0)</f>
        <v>153.78</v>
      </c>
      <c r="U599" s="126">
        <f ca="1">IF($A599="S",VTOTAL1,IF($A599=0,0,ROUND(SomaAgrup,2)))</f>
        <v>615.12</v>
      </c>
      <c r="V599" s="1"/>
      <c r="W599" s="39" t="str">
        <f ca="1">IF(OR($A599=0,$A599="S",$A599&gt;CFF!$A$9),"",MAX(W$11:OFFSET(W599,-1,0))+1)</f>
        <v/>
      </c>
      <c r="X599" s="4" t="str">
        <f>IF(AND($J599=$G$2,$N599&lt;&gt;"",$M599&lt;&gt;""),CONCATENATE($M599,"-",$N599))</f>
        <v>Serv. Terc.-080</v>
      </c>
      <c r="Y599" s="39">
        <f t="shared" ca="1" si="696"/>
        <v>160</v>
      </c>
      <c r="Z599" s="1"/>
      <c r="AA599" s="133">
        <f>IF($J599=$G$2,ROUND(IF(ISNUMBER(S599),S599,IF(LEFT(S599,2)="DI",HLOOKUP(S599,DADOS!$T$29:$X$30,2,FALSE),0)),4),"")</f>
        <v>0.25</v>
      </c>
      <c r="AB599" s="2"/>
    </row>
    <row r="600" spans="1:28">
      <c r="A600" t="str">
        <f t="shared" si="693"/>
        <v>S</v>
      </c>
      <c r="B600">
        <f t="shared" si="694"/>
        <v>0</v>
      </c>
      <c r="C600">
        <f t="shared" ca="1" si="679"/>
        <v>7</v>
      </c>
      <c r="D600">
        <f t="shared" ca="1" si="680"/>
        <v>8</v>
      </c>
      <c r="E600">
        <f t="shared" ca="1" si="681"/>
        <v>0</v>
      </c>
      <c r="F600">
        <f t="shared" ca="1" si="682"/>
        <v>0</v>
      </c>
      <c r="G600">
        <f t="shared" ca="1" si="683"/>
        <v>20</v>
      </c>
      <c r="H600">
        <f ca="1">IF(OR($A600="S",$A600=0),0,MATCH(0,OFFSET($B600,1,$A600,ROW($A$1504)-ROW($A600)),0))</f>
        <v>0</v>
      </c>
      <c r="I600">
        <f ca="1">IF(OR($A600="S",$A600=0),0,MATCH(OFFSET($B600,0,$A600)+1,OFFSET($B600,1,$A600,ROW($A$1504)-ROW($A600)),0))</f>
        <v>0</v>
      </c>
      <c r="J600" s="132" t="s">
        <v>29</v>
      </c>
      <c r="K600" s="121" t="str">
        <f t="shared" ca="1" si="695"/>
        <v>7.8.20.</v>
      </c>
      <c r="L600" s="137" t="str">
        <f t="shared" ca="1" si="685"/>
        <v>Cotação</v>
      </c>
      <c r="M600" s="122" t="s">
        <v>79</v>
      </c>
      <c r="N600" s="139" t="s">
        <v>163</v>
      </c>
      <c r="O600" s="137" t="str">
        <f t="shared" ca="1" si="686"/>
        <v>Guloseimas (balas e pirulito)</v>
      </c>
      <c r="P600" s="138" t="str">
        <f t="shared" ca="1" si="687"/>
        <v>Pacote</v>
      </c>
      <c r="Q600" s="134">
        <v>8</v>
      </c>
      <c r="R600" s="124">
        <f t="shared" ca="1" si="688"/>
        <v>12</v>
      </c>
      <c r="S600" s="136" t="s">
        <v>62</v>
      </c>
      <c r="T600" s="123">
        <f t="shared" ca="1" si="689"/>
        <v>15</v>
      </c>
      <c r="U600" s="126">
        <f t="shared" ca="1" si="690"/>
        <v>120</v>
      </c>
      <c r="V600" s="1"/>
      <c r="W600" s="39" t="str">
        <f ca="1">IF(OR($A600=0,$A600="S",$A600&gt;CFF!$A$9),"",MAX(W$11:OFFSET(W600,-1,0))+1)</f>
        <v/>
      </c>
      <c r="X600" s="4" t="str">
        <f t="shared" si="691"/>
        <v>Rec. Materiais-020</v>
      </c>
      <c r="Y600" s="39">
        <f t="shared" ca="1" si="696"/>
        <v>29</v>
      </c>
      <c r="Z600" s="1"/>
      <c r="AA600" s="133">
        <f>IF($J600=$G$2,ROUND(IF(ISNUMBER(S600),S600,IF(LEFT(S600,2)="DI",HLOOKUP(S600,DADOS!$T$29:$X$30,2,FALSE),0)),4),"")</f>
        <v>0.25</v>
      </c>
      <c r="AB600" s="2"/>
    </row>
    <row r="601" spans="1:28">
      <c r="A601" t="str">
        <f t="shared" si="693"/>
        <v>S</v>
      </c>
      <c r="B601">
        <f t="shared" si="694"/>
        <v>0</v>
      </c>
      <c r="C601">
        <f t="shared" ca="1" si="679"/>
        <v>7</v>
      </c>
      <c r="D601">
        <f t="shared" ca="1" si="680"/>
        <v>8</v>
      </c>
      <c r="E601">
        <f t="shared" ca="1" si="681"/>
        <v>0</v>
      </c>
      <c r="F601">
        <f t="shared" ca="1" si="682"/>
        <v>0</v>
      </c>
      <c r="G601">
        <f t="shared" ca="1" si="683"/>
        <v>21</v>
      </c>
      <c r="H601">
        <f ca="1">IF(OR($A601="S",$A601=0),0,MATCH(0,OFFSET($B601,1,$A601,ROW($A$1504)-ROW($A601)),0))</f>
        <v>0</v>
      </c>
      <c r="I601">
        <f ca="1">IF(OR($A601="S",$A601=0),0,MATCH(OFFSET($B601,0,$A601)+1,OFFSET($B601,1,$A601,ROW($A$1504)-ROW($A601)),0))</f>
        <v>0</v>
      </c>
      <c r="J601" s="132" t="s">
        <v>29</v>
      </c>
      <c r="K601" s="121" t="str">
        <f t="shared" ca="1" si="695"/>
        <v>7.8.21.</v>
      </c>
      <c r="L601" s="137" t="str">
        <f t="shared" ca="1" si="685"/>
        <v>Cotação</v>
      </c>
      <c r="M601" s="122" t="s">
        <v>79</v>
      </c>
      <c r="N601" s="139" t="s">
        <v>165</v>
      </c>
      <c r="O601" s="137" t="str">
        <f ca="1">IF(NOT(ISERROR($Y601)),IF($Y601&lt;&gt;FALSE,INDEX(Banco,$Y601,5),""),"")</f>
        <v>Papel de presente</v>
      </c>
      <c r="P601" s="138" t="str">
        <f t="shared" ca="1" si="687"/>
        <v>Folhas</v>
      </c>
      <c r="Q601" s="134">
        <v>16</v>
      </c>
      <c r="R601" s="124">
        <f t="shared" ca="1" si="688"/>
        <v>1.5</v>
      </c>
      <c r="S601" s="136" t="s">
        <v>62</v>
      </c>
      <c r="T601" s="123">
        <f t="shared" ca="1" si="689"/>
        <v>1.88</v>
      </c>
      <c r="U601" s="126">
        <f t="shared" ca="1" si="690"/>
        <v>30.08</v>
      </c>
      <c r="V601" s="1"/>
      <c r="W601" s="39" t="str">
        <f ca="1">IF(OR($A601=0,$A601="S",$A601&gt;CFF!$A$9),"",MAX(W$11:OFFSET(W601,-1,0))+1)</f>
        <v/>
      </c>
      <c r="X601" s="4" t="str">
        <f t="shared" si="691"/>
        <v>Rec. Materiais-021</v>
      </c>
      <c r="Y601" s="39">
        <f t="shared" ca="1" si="696"/>
        <v>30</v>
      </c>
      <c r="Z601" s="1"/>
      <c r="AA601" s="133">
        <f>IF($J601=$G$2,ROUND(IF(ISNUMBER(S601),S601,IF(LEFT(S601,2)="DI",HLOOKUP(S601,DADOS!$T$29:$X$30,2,FALSE),0)),4),"")</f>
        <v>0.25</v>
      </c>
      <c r="AB601" s="2"/>
    </row>
    <row r="602" spans="1:28">
      <c r="A602" t="str">
        <f t="shared" si="693"/>
        <v>S</v>
      </c>
      <c r="B602">
        <f t="shared" si="694"/>
        <v>0</v>
      </c>
      <c r="C602">
        <f t="shared" ca="1" si="679"/>
        <v>7</v>
      </c>
      <c r="D602">
        <f t="shared" ca="1" si="680"/>
        <v>8</v>
      </c>
      <c r="E602">
        <f t="shared" ca="1" si="681"/>
        <v>0</v>
      </c>
      <c r="F602">
        <f t="shared" ca="1" si="682"/>
        <v>0</v>
      </c>
      <c r="G602">
        <f t="shared" ca="1" si="683"/>
        <v>22</v>
      </c>
      <c r="H602">
        <f ca="1">IF(OR($A602="S",$A602=0),0,MATCH(0,OFFSET($B602,1,$A602,ROW($A$1504)-ROW($A602)),0))</f>
        <v>0</v>
      </c>
      <c r="I602">
        <f ca="1">IF(OR($A602="S",$A602=0),0,MATCH(OFFSET($B602,0,$A602)+1,OFFSET($B602,1,$A602,ROW($A$1504)-ROW($A602)),0))</f>
        <v>0</v>
      </c>
      <c r="J602" s="132" t="s">
        <v>29</v>
      </c>
      <c r="K602" s="121" t="str">
        <f t="shared" ca="1" si="695"/>
        <v>7.8.22.</v>
      </c>
      <c r="L602" s="137" t="str">
        <f t="shared" ca="1" si="685"/>
        <v>Cotação</v>
      </c>
      <c r="M602" s="122" t="s">
        <v>79</v>
      </c>
      <c r="N602" s="139" t="s">
        <v>170</v>
      </c>
      <c r="O602" s="137" t="str">
        <f ca="1">IF(NOT(ISERROR($Y602)),IF($Y602&lt;&gt;FALSE,INDEX(Banco,$Y602,5),""),"")</f>
        <v>Saco de lixo (100 litros)</v>
      </c>
      <c r="P602" s="138" t="str">
        <f t="shared" ca="1" si="687"/>
        <v>Pacote</v>
      </c>
      <c r="Q602" s="134">
        <v>2</v>
      </c>
      <c r="R602" s="124">
        <f t="shared" ca="1" si="688"/>
        <v>15</v>
      </c>
      <c r="S602" s="136" t="s">
        <v>62</v>
      </c>
      <c r="T602" s="123">
        <f t="shared" ca="1" si="689"/>
        <v>18.75</v>
      </c>
      <c r="U602" s="126">
        <f t="shared" ca="1" si="690"/>
        <v>37.5</v>
      </c>
      <c r="V602" s="1"/>
      <c r="W602" s="39" t="str">
        <f ca="1">IF(OR($A602=0,$A602="S",$A602&gt;CFF!$A$9),"",MAX(W$11:OFFSET(W602,-1,0))+1)</f>
        <v/>
      </c>
      <c r="X602" s="4" t="str">
        <f t="shared" si="691"/>
        <v>Rec. Materiais-026</v>
      </c>
      <c r="Y602" s="39">
        <f t="shared" ca="1" si="696"/>
        <v>35</v>
      </c>
      <c r="Z602" s="1"/>
      <c r="AA602" s="133">
        <f>IF($J602=$G$2,ROUND(IF(ISNUMBER(S602),S602,IF(LEFT(S602,2)="DI",HLOOKUP(S602,DADOS!$T$29:$X$30,2,FALSE),0)),4),"")</f>
        <v>0.25</v>
      </c>
      <c r="AB602" s="2"/>
    </row>
    <row r="603" spans="1:28">
      <c r="A603">
        <f>CHOOSE(1+LOG(1+2*(J603=$C$2)+4*(J603=$D$2)+8*(J603=$E$2)+16*(J603=$F$2)+32*(J603=$G$2),2),0,1,2,3,4,"S")</f>
        <v>2</v>
      </c>
      <c r="B603">
        <f ca="1">IF(OR(A603="S",A603=0),0,IF(ISERROR(I603),H603,SMALL(H603:I603,1)))</f>
        <v>19</v>
      </c>
      <c r="C603">
        <f ca="1">IF($A603=1,OFFSET(C603,-1,0)+1,OFFSET(C603,-1,0))</f>
        <v>7</v>
      </c>
      <c r="D603">
        <f ca="1">IF($A603=1,0,IF($A603=2,OFFSET(D603,-1,0)+1,OFFSET(D603,-1,0)))</f>
        <v>9</v>
      </c>
      <c r="E603">
        <f ca="1">IF(AND($A603&lt;=2,$A603&lt;&gt;0),0,IF($A603=3,OFFSET(E603,-1,0)+1,OFFSET(E603,-1,0)))</f>
        <v>0</v>
      </c>
      <c r="F603">
        <f ca="1">IF(AND($A603&lt;=3,$A603&lt;&gt;0),0,IF($A603=4,OFFSET(F603,-1,0)+1,OFFSET(F603,-1,0)))</f>
        <v>0</v>
      </c>
      <c r="G603">
        <f ca="1">IF(AND($A603&lt;=4,$A603&lt;&gt;0),0,IF($A603="S",OFFSET(G603,-1,0)+1,OFFSET(G603,-1,0)))</f>
        <v>0</v>
      </c>
      <c r="H603">
        <f ca="1">IF(OR($A603="S",$A603=0),0,MATCH(0,OFFSET($B603,1,$A603,ROW($A$1504)-ROW($A603)),0))</f>
        <v>38</v>
      </c>
      <c r="I603">
        <f ca="1">IF(OR($A603="S",$A603=0),0,MATCH(OFFSET($B603,0,$A603)+1,OFFSET($B603,1,$A603,ROW($A$1504)-ROW($A603)),0))</f>
        <v>19</v>
      </c>
      <c r="J603" s="132" t="s">
        <v>68</v>
      </c>
      <c r="K603" s="121" t="str">
        <f ca="1">IF($A603=0,"-",CONCATENATE(C603&amp;".",IF(AND($A$5&gt;=2,$A603&gt;=2),D603&amp;".",""),IF(AND($A$5&gt;=3,$A603&gt;=3),E603&amp;".",""),IF(AND($A$5&gt;=4,$A603&gt;=4),F603&amp;".",""),IF($A603="S",G603&amp;".","")))</f>
        <v>7.9.</v>
      </c>
      <c r="L603" s="137" t="str">
        <f ca="1">IF(NOT(ISERROR($Y603)),IF($Y603&lt;&gt;FALSE,INDEX(Banco,$Y603,4),""),"")</f>
        <v/>
      </c>
      <c r="M603" s="122"/>
      <c r="N603" s="139"/>
      <c r="O603" s="137" t="s">
        <v>390</v>
      </c>
      <c r="P603" s="138" t="str">
        <f ca="1">IF(NOT(ISERROR($Y603)),IF($Y603&lt;&gt;FALSE,INDEX(Banco,$Y603,6),""),"")</f>
        <v/>
      </c>
      <c r="Q603" s="134"/>
      <c r="R603" s="124">
        <f ca="1">IF(NOT(ISERROR($Y603)),IF($Y603&lt;&gt;FALSE,INDEX(Banco,$Y603,7),0),0)</f>
        <v>0</v>
      </c>
      <c r="S603" s="136" t="s">
        <v>62</v>
      </c>
      <c r="T603" s="123">
        <f>IF($J603=$G$2,ROUND(ROUND($R603,2)*IF($R$9="Preço Unitário (R$)",1,1+$AA603),2),0)</f>
        <v>0</v>
      </c>
      <c r="U603" s="126">
        <f ca="1">IF($A603="S",VTOTAL1,IF($A603=0,0,ROUND(SomaAgrup,2)))</f>
        <v>6055.69</v>
      </c>
      <c r="V603" s="1"/>
      <c r="W603" s="39">
        <f ca="1">IF(OR($A603=0,$A603="S",$A603&gt;CFF!$A$9),"",MAX(W$11:OFFSET(W603,-1,0))+1)</f>
        <v>50</v>
      </c>
      <c r="X603" s="4" t="b">
        <f>IF(AND($J603=$G$2,$N603&lt;&gt;"",$M603&lt;&gt;""),CONCATENATE($M603,"-",$N603))</f>
        <v>0</v>
      </c>
      <c r="Y603" s="39" t="b">
        <f ca="1">IF(X603&lt;&gt;FALSE,MATCH(X603,OFFSET(Banco,0,0,,1),0))</f>
        <v>0</v>
      </c>
      <c r="Z603" s="1"/>
      <c r="AA603" s="133" t="str">
        <f>IF($J603=$G$2,ROUND(IF(ISNUMBER(S603),S603,IF(LEFT(S603,2)="DI",HLOOKUP(S603,DADOS!$T$29:$X$30,2,FALSE),0)),4),"")</f>
        <v/>
      </c>
      <c r="AB603" s="2"/>
    </row>
    <row r="604" spans="1:28">
      <c r="A604" t="str">
        <f t="shared" si="693"/>
        <v>S</v>
      </c>
      <c r="B604">
        <f t="shared" si="694"/>
        <v>0</v>
      </c>
      <c r="C604">
        <f ca="1">IF($A604=1,OFFSET(C604,-1,0)+1,OFFSET(C604,-1,0))</f>
        <v>7</v>
      </c>
      <c r="D604">
        <f ca="1">IF($A604=1,0,IF($A604=2,OFFSET(D604,-1,0)+1,OFFSET(D604,-1,0)))</f>
        <v>9</v>
      </c>
      <c r="E604">
        <f ca="1">IF(AND($A604&lt;=2,$A604&lt;&gt;0),0,IF($A604=3,OFFSET(E604,-1,0)+1,OFFSET(E604,-1,0)))</f>
        <v>0</v>
      </c>
      <c r="F604">
        <f ca="1">IF(AND($A604&lt;=3,$A604&lt;&gt;0),0,IF($A604=4,OFFSET(F604,-1,0)+1,OFFSET(F604,-1,0)))</f>
        <v>0</v>
      </c>
      <c r="G604">
        <f ca="1">IF(AND($A604&lt;=4,$A604&lt;&gt;0),0,IF($A604="S",OFFSET(G604,-1,0)+1,OFFSET(G604,-1,0)))</f>
        <v>1</v>
      </c>
      <c r="H604">
        <f ca="1">IF(OR($A604="S",$A604=0),0,MATCH(0,OFFSET($B604,1,$A604,ROW($A$1504)-ROW($A604)),0))</f>
        <v>0</v>
      </c>
      <c r="I604">
        <f ca="1">IF(OR($A604="S",$A604=0),0,MATCH(OFFSET($B604,0,$A604)+1,OFFSET($B604,1,$A604,ROW($A$1504)-ROW($A604)),0))</f>
        <v>0</v>
      </c>
      <c r="J604" s="132" t="s">
        <v>29</v>
      </c>
      <c r="K604" s="121" t="str">
        <f t="shared" ca="1" si="695"/>
        <v>7.9.1.</v>
      </c>
      <c r="L604" s="137" t="str">
        <f ca="1">IF(NOT(ISERROR($Y604)),IF($Y604&lt;&gt;FALSE,INDEX(Banco,$Y604,4),""),"")</f>
        <v>CRESS</v>
      </c>
      <c r="M604" s="122" t="s">
        <v>78</v>
      </c>
      <c r="N604" s="139" t="s">
        <v>149</v>
      </c>
      <c r="O604" s="137" t="str">
        <f ca="1">IF(NOT(ISERROR($Y604)),IF($Y604&lt;&gt;FALSE,INDEX(Banco,$Y604,5),""),"")</f>
        <v>Responsável Técnica</v>
      </c>
      <c r="P604" s="138" t="str">
        <f ca="1">IF(NOT(ISERROR($Y604)),IF($Y604&lt;&gt;FALSE,INDEX(Banco,$Y604,6),""),"")</f>
        <v>Horas</v>
      </c>
      <c r="Q604" s="134">
        <v>6</v>
      </c>
      <c r="R604" s="124">
        <f ca="1">IF(NOT(ISERROR($Y604)),IF($Y604&lt;&gt;FALSE,INDEX(Banco,$Y604,7),0),0)</f>
        <v>150.28</v>
      </c>
      <c r="S604" s="136" t="s">
        <v>62</v>
      </c>
      <c r="T604" s="123">
        <f ca="1">IF($J604=$G$2,ROUND(ROUND($R604,2)*IF($R$9="Preço Unitário (R$)",1,1+$AA604),2),0)</f>
        <v>187.85</v>
      </c>
      <c r="U604" s="126">
        <f ca="1">IF($A604="S",VTOTAL1,IF($A604=0,0,ROUND(SomaAgrup,2)))</f>
        <v>1127.0999999999999</v>
      </c>
      <c r="V604" s="1"/>
      <c r="W604" s="39" t="str">
        <f ca="1">IF(OR($A604=0,$A604="S",$A604&gt;CFF!$A$9),"",MAX(W$11:OFFSET(W604,-1,0))+1)</f>
        <v/>
      </c>
      <c r="X604" s="4" t="str">
        <f>IF(AND($J604=$G$2,$N604&lt;&gt;"",$M604&lt;&gt;""),CONCATENATE($M604,"-",$N604))</f>
        <v>Rec. Humanos-001</v>
      </c>
      <c r="Y604" s="39">
        <f t="shared" ca="1" si="696"/>
        <v>3</v>
      </c>
      <c r="Z604" s="1"/>
      <c r="AA604" s="133">
        <f>IF($J604=$G$2,ROUND(IF(ISNUMBER(S604),S604,IF(LEFT(S604,2)="DI",HLOOKUP(S604,DADOS!$T$29:$X$30,2,FALSE),0)),4),"")</f>
        <v>0.25</v>
      </c>
      <c r="AB604" s="2"/>
    </row>
    <row r="605" spans="1:28">
      <c r="A605" t="str">
        <f t="shared" si="693"/>
        <v>S</v>
      </c>
      <c r="B605">
        <f t="shared" si="694"/>
        <v>0</v>
      </c>
      <c r="C605">
        <f ca="1">IF($A605=1,OFFSET(C605,-1,0)+1,OFFSET(C605,-1,0))</f>
        <v>7</v>
      </c>
      <c r="D605">
        <f ca="1">IF($A605=1,0,IF($A605=2,OFFSET(D605,-1,0)+1,OFFSET(D605,-1,0)))</f>
        <v>9</v>
      </c>
      <c r="E605">
        <f ca="1">IF(AND($A605&lt;=2,$A605&lt;&gt;0),0,IF($A605=3,OFFSET(E605,-1,0)+1,OFFSET(E605,-1,0)))</f>
        <v>0</v>
      </c>
      <c r="F605">
        <f ca="1">IF(AND($A605&lt;=3,$A605&lt;&gt;0),0,IF($A605=4,OFFSET(F605,-1,0)+1,OFFSET(F605,-1,0)))</f>
        <v>0</v>
      </c>
      <c r="G605">
        <f ca="1">IF(AND($A605&lt;=4,$A605&lt;&gt;0),0,IF($A605="S",OFFSET(G605,-1,0)+1,OFFSET(G605,-1,0)))</f>
        <v>2</v>
      </c>
      <c r="H605">
        <f ca="1">IF(OR($A605="S",$A605=0),0,MATCH(0,OFFSET($B605,1,$A605,ROW($A$1504)-ROW($A605)),0))</f>
        <v>0</v>
      </c>
      <c r="I605">
        <f ca="1">IF(OR($A605="S",$A605=0),0,MATCH(OFFSET($B605,0,$A605)+1,OFFSET($B605,1,$A605,ROW($A$1504)-ROW($A605)),0))</f>
        <v>0</v>
      </c>
      <c r="J605" s="132" t="s">
        <v>29</v>
      </c>
      <c r="K605" s="121" t="str">
        <f t="shared" ca="1" si="695"/>
        <v>7.9.2.</v>
      </c>
      <c r="L605" s="137" t="str">
        <f ca="1">IF(NOT(ISERROR($Y605)),IF($Y605&lt;&gt;FALSE,INDEX(Banco,$Y605,4),""),"")</f>
        <v>CRESS</v>
      </c>
      <c r="M605" s="122" t="s">
        <v>78</v>
      </c>
      <c r="N605" s="139" t="s">
        <v>152</v>
      </c>
      <c r="O605" s="137" t="str">
        <f t="shared" ref="O605:O619" ca="1" si="697">IF(NOT(ISERROR($Y605)),IF($Y605&lt;&gt;FALSE,INDEX(Banco,$Y605,5),""),"")</f>
        <v>Assistente Social</v>
      </c>
      <c r="P605" s="138" t="str">
        <f ca="1">IF(NOT(ISERROR($Y605)),IF($Y605&lt;&gt;FALSE,INDEX(Banco,$Y605,6),""),"")</f>
        <v>Horas</v>
      </c>
      <c r="Q605" s="134">
        <v>4</v>
      </c>
      <c r="R605" s="124">
        <f ca="1">IF(NOT(ISERROR($Y605)),IF($Y605&lt;&gt;FALSE,INDEX(Banco,$Y605,7),0),0)</f>
        <v>133.81</v>
      </c>
      <c r="S605" s="136" t="s">
        <v>62</v>
      </c>
      <c r="T605" s="123">
        <f ca="1">IF($J605=$G$2,ROUND(ROUND($R605,2)*IF($R$9="Preço Unitário (R$)",1,1+$AA605),2),0)</f>
        <v>167.26</v>
      </c>
      <c r="U605" s="126">
        <f ca="1">IF($A605="S",VTOTAL1,IF($A605=0,0,ROUND(SomaAgrup,2)))</f>
        <v>669.04</v>
      </c>
      <c r="V605" s="1"/>
      <c r="W605" s="39" t="str">
        <f ca="1">IF(OR($A605=0,$A605="S",$A605&gt;CFF!$A$9),"",MAX(W$11:OFFSET(W605,-1,0))+1)</f>
        <v/>
      </c>
      <c r="X605" s="4" t="str">
        <f>IF(AND($J605=$G$2,$N605&lt;&gt;"",$M605&lt;&gt;""),CONCATENATE($M605,"-",$N605))</f>
        <v>Rec. Humanos-002</v>
      </c>
      <c r="Y605" s="39">
        <f t="shared" ca="1" si="696"/>
        <v>4</v>
      </c>
      <c r="Z605" s="1"/>
      <c r="AA605" s="133">
        <f>IF($J605=$G$2,ROUND(IF(ISNUMBER(S605),S605,IF(LEFT(S605,2)="DI",HLOOKUP(S605,DADOS!$T$29:$X$30,2,FALSE),0)),4),"")</f>
        <v>0.25</v>
      </c>
      <c r="AB605" s="2"/>
    </row>
    <row r="606" spans="1:28">
      <c r="A606" t="str">
        <f t="shared" si="693"/>
        <v>S</v>
      </c>
      <c r="B606">
        <f t="shared" si="694"/>
        <v>0</v>
      </c>
      <c r="C606">
        <f ca="1">IF($A606=1,OFFSET(C606,-1,0)+1,OFFSET(C606,-1,0))</f>
        <v>7</v>
      </c>
      <c r="D606">
        <f ca="1">IF($A606=1,0,IF($A606=2,OFFSET(D606,-1,0)+1,OFFSET(D606,-1,0)))</f>
        <v>9</v>
      </c>
      <c r="E606">
        <f ca="1">IF(AND($A606&lt;=2,$A606&lt;&gt;0),0,IF($A606=3,OFFSET(E606,-1,0)+1,OFFSET(E606,-1,0)))</f>
        <v>0</v>
      </c>
      <c r="F606">
        <f ca="1">IF(AND($A606&lt;=3,$A606&lt;&gt;0),0,IF($A606=4,OFFSET(F606,-1,0)+1,OFFSET(F606,-1,0)))</f>
        <v>0</v>
      </c>
      <c r="G606">
        <f ca="1">IF(AND($A606&lt;=4,$A606&lt;&gt;0),0,IF($A606="S",OFFSET(G606,-1,0)+1,OFFSET(G606,-1,0)))</f>
        <v>3</v>
      </c>
      <c r="H606">
        <f ca="1">IF(OR($A606="S",$A606=0),0,MATCH(0,OFFSET($B606,1,$A606,ROW($A$1504)-ROW($A606)),0))</f>
        <v>0</v>
      </c>
      <c r="I606">
        <f ca="1">IF(OR($A606="S",$A606=0),0,MATCH(OFFSET($B606,0,$A606)+1,OFFSET($B606,1,$A606,ROW($A$1504)-ROW($A606)),0))</f>
        <v>0</v>
      </c>
      <c r="J606" s="132" t="s">
        <v>29</v>
      </c>
      <c r="K606" s="121" t="str">
        <f t="shared" ca="1" si="695"/>
        <v>7.9.3.</v>
      </c>
      <c r="L606" s="137" t="str">
        <f ca="1">IF(NOT(ISERROR($Y606)),IF($Y606&lt;&gt;FALSE,INDEX(Banco,$Y606,4),""),"")</f>
        <v>Cotação</v>
      </c>
      <c r="M606" s="122" t="s">
        <v>78</v>
      </c>
      <c r="N606" s="139" t="s">
        <v>151</v>
      </c>
      <c r="O606" s="137" t="str">
        <f t="shared" ca="1" si="697"/>
        <v xml:space="preserve">Administrador (Técnico de Apoio) </v>
      </c>
      <c r="P606" s="138" t="str">
        <f ca="1">IF(NOT(ISERROR($Y606)),IF($Y606&lt;&gt;FALSE,INDEX(Banco,$Y606,6),""),"")</f>
        <v>Horas</v>
      </c>
      <c r="Q606" s="134">
        <v>4</v>
      </c>
      <c r="R606" s="124">
        <f ca="1">IF(NOT(ISERROR($Y606)),IF($Y606&lt;&gt;FALSE,INDEX(Banco,$Y606,7),0),0)</f>
        <v>103.65</v>
      </c>
      <c r="S606" s="136" t="s">
        <v>62</v>
      </c>
      <c r="T606" s="123">
        <f ca="1">IF($J606=$G$2,ROUND(ROUND($R606,2)*IF($R$9="Preço Unitário (R$)",1,1+$AA606),2),0)</f>
        <v>129.56</v>
      </c>
      <c r="U606" s="126">
        <f ca="1">IF($A606="S",VTOTAL1,IF($A606=0,0,ROUND(SomaAgrup,2)))</f>
        <v>518.24</v>
      </c>
      <c r="V606" s="1"/>
      <c r="W606" s="39" t="str">
        <f ca="1">IF(OR($A606=0,$A606="S",$A606&gt;CFF!$A$9),"",MAX(W$11:OFFSET(W606,-1,0))+1)</f>
        <v/>
      </c>
      <c r="X606" s="4" t="str">
        <f>IF(AND($J606=$G$2,$N606&lt;&gt;"",$M606&lt;&gt;""),CONCATENATE($M606,"-",$N606))</f>
        <v>Rec. Humanos-003</v>
      </c>
      <c r="Y606" s="39">
        <f t="shared" ca="1" si="696"/>
        <v>5</v>
      </c>
      <c r="Z606" s="1"/>
      <c r="AA606" s="133">
        <f>IF($J606=$G$2,ROUND(IF(ISNUMBER(S606),S606,IF(LEFT(S606,2)="DI",HLOOKUP(S606,DADOS!$T$29:$X$30,2,FALSE),0)),4),"")</f>
        <v>0.25</v>
      </c>
      <c r="AB606" s="2"/>
    </row>
    <row r="607" spans="1:28">
      <c r="A607" t="str">
        <f t="shared" ref="A607:A614" si="698">CHOOSE(1+LOG(1+2*(J607=$C$2)+4*(J607=$D$2)+8*(J607=$E$2)+16*(J607=$F$2)+32*(J607=$G$2),2),0,1,2,3,4,"S")</f>
        <v>S</v>
      </c>
      <c r="B607">
        <f t="shared" ref="B607:B614" si="699">IF(OR(A607="S",A607=0),0,IF(ISERROR(I607),H607,SMALL(H607:I607,1)))</f>
        <v>0</v>
      </c>
      <c r="C607">
        <f t="shared" ref="C607:C621" ca="1" si="700">IF($A607=1,OFFSET(C607,-1,0)+1,OFFSET(C607,-1,0))</f>
        <v>7</v>
      </c>
      <c r="D607">
        <f t="shared" ref="D607:D621" ca="1" si="701">IF($A607=1,0,IF($A607=2,OFFSET(D607,-1,0)+1,OFFSET(D607,-1,0)))</f>
        <v>9</v>
      </c>
      <c r="E607">
        <f t="shared" ref="E607:E621" ca="1" si="702">IF(AND($A607&lt;=2,$A607&lt;&gt;0),0,IF($A607=3,OFFSET(E607,-1,0)+1,OFFSET(E607,-1,0)))</f>
        <v>0</v>
      </c>
      <c r="F607">
        <f t="shared" ref="F607:F621" ca="1" si="703">IF(AND($A607&lt;=3,$A607&lt;&gt;0),0,IF($A607=4,OFFSET(F607,-1,0)+1,OFFSET(F607,-1,0)))</f>
        <v>0</v>
      </c>
      <c r="G607">
        <f t="shared" ref="G607:G621" ca="1" si="704">IF(AND($A607&lt;=4,$A607&lt;&gt;0),0,IF($A607="S",OFFSET(G607,-1,0)+1,OFFSET(G607,-1,0)))</f>
        <v>4</v>
      </c>
      <c r="H607">
        <f ca="1">IF(OR($A607="S",$A607=0),0,MATCH(0,OFFSET($B607,1,$A607,ROW($A$1504)-ROW($A607)),0))</f>
        <v>0</v>
      </c>
      <c r="I607">
        <f ca="1">IF(OR($A607="S",$A607=0),0,MATCH(OFFSET($B607,0,$A607)+1,OFFSET($B607,1,$A607,ROW($A$1504)-ROW($A607)),0))</f>
        <v>0</v>
      </c>
      <c r="J607" s="132" t="s">
        <v>29</v>
      </c>
      <c r="K607" s="121" t="str">
        <f t="shared" ref="K607:K614" ca="1" si="705">IF($A607=0,"-",CONCATENATE(C607&amp;".",IF(AND($A$5&gt;=2,$A607&gt;=2),D607&amp;".",""),IF(AND($A$5&gt;=3,$A607&gt;=3),E607&amp;".",""),IF(AND($A$5&gt;=4,$A607&gt;=4),F607&amp;".",""),IF($A607="S",G607&amp;".","")))</f>
        <v>7.9.4.</v>
      </c>
      <c r="L607" s="137" t="str">
        <f t="shared" ref="L607:L621" ca="1" si="706">IF(NOT(ISERROR($Y607)),IF($Y607&lt;&gt;FALSE,INDEX(Banco,$Y607,4),""),"")</f>
        <v>SINE</v>
      </c>
      <c r="M607" s="122" t="s">
        <v>78</v>
      </c>
      <c r="N607" s="139" t="s">
        <v>153</v>
      </c>
      <c r="O607" s="137" t="str">
        <f t="shared" ca="1" si="697"/>
        <v>Estagiários</v>
      </c>
      <c r="P607" s="138" t="str">
        <f t="shared" ref="P607:P621" ca="1" si="707">IF(NOT(ISERROR($Y607)),IF($Y607&lt;&gt;FALSE,INDEX(Banco,$Y607,6),""),"")</f>
        <v>Horas</v>
      </c>
      <c r="Q607" s="134">
        <v>10</v>
      </c>
      <c r="R607" s="124">
        <f t="shared" ref="R607:R621" ca="1" si="708">IF(NOT(ISERROR($Y607)),IF($Y607&lt;&gt;FALSE,INDEX(Banco,$Y607,7),0),0)</f>
        <v>9.7899999999999991</v>
      </c>
      <c r="S607" s="136" t="s">
        <v>62</v>
      </c>
      <c r="T607" s="123">
        <f t="shared" ref="T607:T621" ca="1" si="709">IF($J607=$G$2,ROUND(ROUND($R607,2)*IF($R$9="Preço Unitário (R$)",1,1+$AA607),2),0)</f>
        <v>12.24</v>
      </c>
      <c r="U607" s="126">
        <f t="shared" ref="U607:U621" ca="1" si="710">IF($A607="S",VTOTAL1,IF($A607=0,0,ROUND(SomaAgrup,2)))</f>
        <v>122.4</v>
      </c>
      <c r="V607" s="1"/>
      <c r="W607" s="39" t="str">
        <f ca="1">IF(OR($A607=0,$A607="S",$A607&gt;CFF!$A$9),"",MAX(W$11:OFFSET(W607,-1,0))+1)</f>
        <v/>
      </c>
      <c r="X607" s="4" t="str">
        <f t="shared" ref="X607:X621" si="711">IF(AND($J607=$G$2,$N607&lt;&gt;"",$M607&lt;&gt;""),CONCATENATE($M607,"-",$N607))</f>
        <v>Rec. Humanos-004</v>
      </c>
      <c r="Y607" s="39">
        <f t="shared" ref="Y607:Y614" ca="1" si="712">IF(X607&lt;&gt;FALSE,MATCH(X607,OFFSET(Banco,0,0,,1),0))</f>
        <v>6</v>
      </c>
      <c r="Z607" s="1"/>
      <c r="AA607" s="133">
        <f>IF($J607=$G$2,ROUND(IF(ISNUMBER(S607),S607,IF(LEFT(S607,2)="DI",HLOOKUP(S607,DADOS!$T$29:$X$30,2,FALSE),0)),4),"")</f>
        <v>0.25</v>
      </c>
      <c r="AB607" s="2"/>
    </row>
    <row r="608" spans="1:28">
      <c r="A608" t="str">
        <f t="shared" si="698"/>
        <v>S</v>
      </c>
      <c r="B608">
        <f t="shared" si="699"/>
        <v>0</v>
      </c>
      <c r="C608">
        <f t="shared" ca="1" si="700"/>
        <v>7</v>
      </c>
      <c r="D608">
        <f t="shared" ca="1" si="701"/>
        <v>9</v>
      </c>
      <c r="E608">
        <f t="shared" ca="1" si="702"/>
        <v>0</v>
      </c>
      <c r="F608">
        <f t="shared" ca="1" si="703"/>
        <v>0</v>
      </c>
      <c r="G608">
        <f t="shared" ca="1" si="704"/>
        <v>5</v>
      </c>
      <c r="H608">
        <f ca="1">IF(OR($A608="S",$A608=0),0,MATCH(0,OFFSET($B608,1,$A608,ROW($A$1504)-ROW($A608)),0))</f>
        <v>0</v>
      </c>
      <c r="I608">
        <f ca="1">IF(OR($A608="S",$A608=0),0,MATCH(OFFSET($B608,0,$A608)+1,OFFSET($B608,1,$A608,ROW($A$1504)-ROW($A608)),0))</f>
        <v>0</v>
      </c>
      <c r="J608" s="132" t="s">
        <v>29</v>
      </c>
      <c r="K608" s="121" t="str">
        <f t="shared" ca="1" si="705"/>
        <v>7.9.5.</v>
      </c>
      <c r="L608" s="137" t="str">
        <f t="shared" ca="1" si="706"/>
        <v>Cotação</v>
      </c>
      <c r="M608" s="122" t="s">
        <v>80</v>
      </c>
      <c r="N608" s="139" t="s">
        <v>149</v>
      </c>
      <c r="O608" s="137" t="str">
        <f t="shared" ca="1" si="697"/>
        <v>Fotocópias</v>
      </c>
      <c r="P608" s="138" t="str">
        <f t="shared" ca="1" si="707"/>
        <v>Unidade</v>
      </c>
      <c r="Q608" s="134">
        <v>150</v>
      </c>
      <c r="R608" s="124">
        <f t="shared" ca="1" si="708"/>
        <v>0.3</v>
      </c>
      <c r="S608" s="136" t="s">
        <v>62</v>
      </c>
      <c r="T608" s="123">
        <f t="shared" ca="1" si="709"/>
        <v>0.38</v>
      </c>
      <c r="U608" s="126">
        <f t="shared" ca="1" si="710"/>
        <v>57</v>
      </c>
      <c r="V608" s="1"/>
      <c r="W608" s="39" t="str">
        <f ca="1">IF(OR($A608=0,$A608="S",$A608&gt;CFF!$A$9),"",MAX(W$11:OFFSET(W608,-1,0))+1)</f>
        <v/>
      </c>
      <c r="X608" s="4" t="str">
        <f t="shared" si="711"/>
        <v>Serv. Terc.-001</v>
      </c>
      <c r="Y608" s="39">
        <f t="shared" ca="1" si="712"/>
        <v>81</v>
      </c>
      <c r="Z608" s="1"/>
      <c r="AA608" s="133">
        <f>IF($J608=$G$2,ROUND(IF(ISNUMBER(S608),S608,IF(LEFT(S608,2)="DI",HLOOKUP(S608,DADOS!$T$29:$X$30,2,FALSE),0)),4),"")</f>
        <v>0.25</v>
      </c>
      <c r="AB608" s="2"/>
    </row>
    <row r="609" spans="1:28">
      <c r="A609" t="str">
        <f>CHOOSE(1+LOG(1+2*(J609=$C$2)+4*(J609=$D$2)+8*(J609=$E$2)+16*(J609=$F$2)+32*(J609=$G$2),2),0,1,2,3,4,"S")</f>
        <v>S</v>
      </c>
      <c r="B609">
        <f>IF(OR(A609="S",A609=0),0,IF(ISERROR(I609),H609,SMALL(H609:I609,1)))</f>
        <v>0</v>
      </c>
      <c r="C609">
        <f ca="1">IF($A609=1,OFFSET(C609,-1,0)+1,OFFSET(C609,-1,0))</f>
        <v>7</v>
      </c>
      <c r="D609">
        <f ca="1">IF($A609=1,0,IF($A609=2,OFFSET(D609,-1,0)+1,OFFSET(D609,-1,0)))</f>
        <v>9</v>
      </c>
      <c r="E609">
        <f ca="1">IF(AND($A609&lt;=2,$A609&lt;&gt;0),0,IF($A609=3,OFFSET(E609,-1,0)+1,OFFSET(E609,-1,0)))</f>
        <v>0</v>
      </c>
      <c r="F609">
        <f ca="1">IF(AND($A609&lt;=3,$A609&lt;&gt;0),0,IF($A609=4,OFFSET(F609,-1,0)+1,OFFSET(F609,-1,0)))</f>
        <v>0</v>
      </c>
      <c r="G609">
        <f ca="1">IF(AND($A609&lt;=4,$A609&lt;&gt;0),0,IF($A609="S",OFFSET(G609,-1,0)+1,OFFSET(G609,-1,0)))</f>
        <v>6</v>
      </c>
      <c r="H609">
        <f ca="1">IF(OR($A609="S",$A609=0),0,MATCH(0,OFFSET($B609,1,$A609,ROW($A$1504)-ROW($A609)),0))</f>
        <v>0</v>
      </c>
      <c r="I609">
        <f ca="1">IF(OR($A609="S",$A609=0),0,MATCH(OFFSET($B609,0,$A609)+1,OFFSET($B609,1,$A609,ROW($A$1504)-ROW($A609)),0))</f>
        <v>0</v>
      </c>
      <c r="J609" s="132" t="s">
        <v>29</v>
      </c>
      <c r="K609" s="121" t="str">
        <f ca="1">IF($A609=0,"-",CONCATENATE(C609&amp;".",IF(AND($A$5&gt;=2,$A609&gt;=2),D609&amp;".",""),IF(AND($A$5&gt;=3,$A609&gt;=3),E609&amp;".",""),IF(AND($A$5&gt;=4,$A609&gt;=4),F609&amp;".",""),IF($A609="S",G609&amp;".","")))</f>
        <v>7.9.6.</v>
      </c>
      <c r="L609" s="137" t="str">
        <f ca="1">IF(NOT(ISERROR($Y609)),IF($Y609&lt;&gt;FALSE,INDEX(Banco,$Y609,4),""),"")</f>
        <v>Cotação</v>
      </c>
      <c r="M609" s="122" t="s">
        <v>80</v>
      </c>
      <c r="N609" s="139" t="s">
        <v>256</v>
      </c>
      <c r="O609" s="137" t="str">
        <f ca="1">IF(NOT(ISERROR($Y609)),IF($Y609&lt;&gt;FALSE,INDEX(Banco,$Y609,5),""),"")</f>
        <v>Instrutor/Monitor (Educação Fisíca)</v>
      </c>
      <c r="P609" s="138" t="str">
        <f ca="1">IF(NOT(ISERROR($Y609)),IF($Y609&lt;&gt;FALSE,INDEX(Banco,$Y609,6),""),"")</f>
        <v>Horas</v>
      </c>
      <c r="Q609" s="134">
        <v>3</v>
      </c>
      <c r="R609" s="124">
        <f ca="1">IF(NOT(ISERROR($Y609)),IF($Y609&lt;&gt;FALSE,INDEX(Banco,$Y609,7),0),0)</f>
        <v>100</v>
      </c>
      <c r="S609" s="136" t="s">
        <v>62</v>
      </c>
      <c r="T609" s="123">
        <f ca="1">IF($J609=$G$2,ROUND(ROUND($R609,2)*IF($R$9="Preço Unitário (R$)",1,1+$AA609),2),0)</f>
        <v>125</v>
      </c>
      <c r="U609" s="126">
        <f ca="1">IF($A609="S",VTOTAL1,IF($A609=0,0,ROUND(SomaAgrup,2)))</f>
        <v>375</v>
      </c>
      <c r="V609" s="1"/>
      <c r="W609" s="39" t="str">
        <f ca="1">IF(OR($A609=0,$A609="S",$A609&gt;CFF!$A$9),"",MAX(W$11:OFFSET(W609,-1,0))+1)</f>
        <v/>
      </c>
      <c r="X609" s="4" t="str">
        <f>IF(AND($J609=$G$2,$N609&lt;&gt;"",$M609&lt;&gt;""),CONCATENATE($M609,"-",$N609))</f>
        <v>Serv. Terc.-017</v>
      </c>
      <c r="Y609" s="39">
        <f ca="1">IF(X609&lt;&gt;FALSE,MATCH(X609,OFFSET(Banco,0,0,,1),0))</f>
        <v>97</v>
      </c>
      <c r="Z609" s="1"/>
      <c r="AA609" s="133">
        <f>IF($J609=$G$2,ROUND(IF(ISNUMBER(S609),S609,IF(LEFT(S609,2)="DI",HLOOKUP(S609,DADOS!$T$29:$X$30,2,FALSE),0)),4),"")</f>
        <v>0.25</v>
      </c>
      <c r="AB609" s="2"/>
    </row>
    <row r="610" spans="1:28">
      <c r="A610" t="str">
        <f t="shared" si="698"/>
        <v>S</v>
      </c>
      <c r="B610">
        <f t="shared" si="699"/>
        <v>0</v>
      </c>
      <c r="C610">
        <f t="shared" ca="1" si="700"/>
        <v>7</v>
      </c>
      <c r="D610">
        <f t="shared" ca="1" si="701"/>
        <v>9</v>
      </c>
      <c r="E610">
        <f t="shared" ca="1" si="702"/>
        <v>0</v>
      </c>
      <c r="F610">
        <f t="shared" ca="1" si="703"/>
        <v>0</v>
      </c>
      <c r="G610">
        <f t="shared" ca="1" si="704"/>
        <v>7</v>
      </c>
      <c r="H610">
        <f ca="1">IF(OR($A610="S",$A610=0),0,MATCH(0,OFFSET($B610,1,$A610,ROW($A$1504)-ROW($A610)),0))</f>
        <v>0</v>
      </c>
      <c r="I610">
        <f ca="1">IF(OR($A610="S",$A610=0),0,MATCH(OFFSET($B610,0,$A610)+1,OFFSET($B610,1,$A610,ROW($A$1504)-ROW($A610)),0))</f>
        <v>0</v>
      </c>
      <c r="J610" s="132" t="s">
        <v>29</v>
      </c>
      <c r="K610" s="121" t="str">
        <f t="shared" ca="1" si="705"/>
        <v>7.9.7.</v>
      </c>
      <c r="L610" s="137" t="str">
        <f t="shared" ca="1" si="706"/>
        <v>Cotação</v>
      </c>
      <c r="M610" s="122" t="s">
        <v>80</v>
      </c>
      <c r="N610" s="139" t="s">
        <v>152</v>
      </c>
      <c r="O610" s="137" t="str">
        <f t="shared" ca="1" si="697"/>
        <v>Carro de som com gravação de vinheta</v>
      </c>
      <c r="P610" s="138" t="str">
        <f t="shared" ca="1" si="707"/>
        <v>Horas</v>
      </c>
      <c r="Q610" s="134">
        <v>3</v>
      </c>
      <c r="R610" s="124">
        <f t="shared" ca="1" si="708"/>
        <v>200</v>
      </c>
      <c r="S610" s="136" t="s">
        <v>62</v>
      </c>
      <c r="T610" s="123">
        <f t="shared" ca="1" si="709"/>
        <v>250</v>
      </c>
      <c r="U610" s="126">
        <f t="shared" ca="1" si="710"/>
        <v>750</v>
      </c>
      <c r="V610" s="1"/>
      <c r="W610" s="39" t="str">
        <f ca="1">IF(OR($A610=0,$A610="S",$A610&gt;CFF!$A$9),"",MAX(W$11:OFFSET(W610,-1,0))+1)</f>
        <v/>
      </c>
      <c r="X610" s="4" t="str">
        <f t="shared" si="711"/>
        <v>Serv. Terc.-002</v>
      </c>
      <c r="Y610" s="39">
        <f t="shared" ca="1" si="712"/>
        <v>82</v>
      </c>
      <c r="Z610" s="1"/>
      <c r="AA610" s="133">
        <f>IF($J610=$G$2,ROUND(IF(ISNUMBER(S610),S610,IF(LEFT(S610,2)="DI",HLOOKUP(S610,DADOS!$T$29:$X$30,2,FALSE),0)),4),"")</f>
        <v>0.25</v>
      </c>
      <c r="AB610" s="2"/>
    </row>
    <row r="611" spans="1:28">
      <c r="A611" t="str">
        <f t="shared" si="698"/>
        <v>S</v>
      </c>
      <c r="B611">
        <f t="shared" si="699"/>
        <v>0</v>
      </c>
      <c r="C611">
        <f t="shared" ca="1" si="700"/>
        <v>7</v>
      </c>
      <c r="D611">
        <f t="shared" ca="1" si="701"/>
        <v>9</v>
      </c>
      <c r="E611">
        <f t="shared" ca="1" si="702"/>
        <v>0</v>
      </c>
      <c r="F611">
        <f t="shared" ca="1" si="703"/>
        <v>0</v>
      </c>
      <c r="G611">
        <f t="shared" ca="1" si="704"/>
        <v>8</v>
      </c>
      <c r="H611">
        <f ca="1">IF(OR($A611="S",$A611=0),0,MATCH(0,OFFSET($B611,1,$A611,ROW($A$1504)-ROW($A611)),0))</f>
        <v>0</v>
      </c>
      <c r="I611">
        <f ca="1">IF(OR($A611="S",$A611=0),0,MATCH(OFFSET($B611,0,$A611)+1,OFFSET($B611,1,$A611,ROW($A$1504)-ROW($A611)),0))</f>
        <v>0</v>
      </c>
      <c r="J611" s="132" t="s">
        <v>29</v>
      </c>
      <c r="K611" s="121" t="str">
        <f t="shared" ca="1" si="705"/>
        <v>7.9.8.</v>
      </c>
      <c r="L611" s="137" t="str">
        <f t="shared" ca="1" si="706"/>
        <v>Cotação</v>
      </c>
      <c r="M611" s="122" t="s">
        <v>80</v>
      </c>
      <c r="N611" s="139" t="s">
        <v>154</v>
      </c>
      <c r="O611" s="137" t="str">
        <f t="shared" ca="1" si="697"/>
        <v>Locação de caixa térmica</v>
      </c>
      <c r="P611" s="138" t="str">
        <f t="shared" ca="1" si="707"/>
        <v>Unidade</v>
      </c>
      <c r="Q611" s="134">
        <v>1</v>
      </c>
      <c r="R611" s="124">
        <f t="shared" ca="1" si="708"/>
        <v>40</v>
      </c>
      <c r="S611" s="136" t="s">
        <v>62</v>
      </c>
      <c r="T611" s="123">
        <f t="shared" ca="1" si="709"/>
        <v>50</v>
      </c>
      <c r="U611" s="126">
        <f t="shared" ca="1" si="710"/>
        <v>50</v>
      </c>
      <c r="V611" s="1"/>
      <c r="W611" s="39" t="str">
        <f ca="1">IF(OR($A611=0,$A611="S",$A611&gt;CFF!$A$9),"",MAX(W$11:OFFSET(W611,-1,0))+1)</f>
        <v/>
      </c>
      <c r="X611" s="4" t="str">
        <f t="shared" si="711"/>
        <v>Serv. Terc.-005</v>
      </c>
      <c r="Y611" s="39">
        <f t="shared" ca="1" si="712"/>
        <v>85</v>
      </c>
      <c r="Z611" s="1"/>
      <c r="AA611" s="133">
        <f>IF($J611=$G$2,ROUND(IF(ISNUMBER(S611),S611,IF(LEFT(S611,2)="DI",HLOOKUP(S611,DADOS!$T$29:$X$30,2,FALSE),0)),4),"")</f>
        <v>0.25</v>
      </c>
      <c r="AB611" s="2"/>
    </row>
    <row r="612" spans="1:28">
      <c r="A612" t="str">
        <f t="shared" si="698"/>
        <v>S</v>
      </c>
      <c r="B612">
        <f t="shared" si="699"/>
        <v>0</v>
      </c>
      <c r="C612">
        <f t="shared" ca="1" si="700"/>
        <v>7</v>
      </c>
      <c r="D612">
        <f t="shared" ca="1" si="701"/>
        <v>9</v>
      </c>
      <c r="E612">
        <f t="shared" ca="1" si="702"/>
        <v>0</v>
      </c>
      <c r="F612">
        <f t="shared" ca="1" si="703"/>
        <v>0</v>
      </c>
      <c r="G612">
        <f t="shared" ca="1" si="704"/>
        <v>9</v>
      </c>
      <c r="H612">
        <f ca="1">IF(OR($A612="S",$A612=0),0,MATCH(0,OFFSET($B612,1,$A612,ROW($A$1504)-ROW($A612)),0))</f>
        <v>0</v>
      </c>
      <c r="I612">
        <f ca="1">IF(OR($A612="S",$A612=0),0,MATCH(OFFSET($B612,0,$A612)+1,OFFSET($B612,1,$A612,ROW($A$1504)-ROW($A612)),0))</f>
        <v>0</v>
      </c>
      <c r="J612" s="132" t="s">
        <v>29</v>
      </c>
      <c r="K612" s="121" t="str">
        <f t="shared" ca="1" si="705"/>
        <v>7.9.9.</v>
      </c>
      <c r="L612" s="137" t="str">
        <f t="shared" ca="1" si="706"/>
        <v>Cotação</v>
      </c>
      <c r="M612" s="122" t="s">
        <v>80</v>
      </c>
      <c r="N612" s="139" t="s">
        <v>157</v>
      </c>
      <c r="O612" s="137" t="str">
        <f t="shared" ca="1" si="697"/>
        <v>Locação de pula-pula com monitor</v>
      </c>
      <c r="P612" s="138" t="str">
        <f t="shared" ca="1" si="707"/>
        <v>Unidade</v>
      </c>
      <c r="Q612" s="134">
        <v>1</v>
      </c>
      <c r="R612" s="124">
        <f t="shared" ca="1" si="708"/>
        <v>220</v>
      </c>
      <c r="S612" s="136" t="s">
        <v>62</v>
      </c>
      <c r="T612" s="123">
        <f t="shared" ca="1" si="709"/>
        <v>275</v>
      </c>
      <c r="U612" s="126">
        <f t="shared" ca="1" si="710"/>
        <v>275</v>
      </c>
      <c r="V612" s="1"/>
      <c r="W612" s="39" t="str">
        <f ca="1">IF(OR($A612=0,$A612="S",$A612&gt;CFF!$A$9),"",MAX(W$11:OFFSET(W612,-1,0))+1)</f>
        <v/>
      </c>
      <c r="X612" s="4" t="str">
        <f t="shared" si="711"/>
        <v>Serv. Terc.-008</v>
      </c>
      <c r="Y612" s="39">
        <f t="shared" ca="1" si="712"/>
        <v>88</v>
      </c>
      <c r="Z612" s="1"/>
      <c r="AA612" s="133">
        <f>IF($J612=$G$2,ROUND(IF(ISNUMBER(S612),S612,IF(LEFT(S612,2)="DI",HLOOKUP(S612,DADOS!$T$29:$X$30,2,FALSE),0)),4),"")</f>
        <v>0.25</v>
      </c>
      <c r="AB612" s="2"/>
    </row>
    <row r="613" spans="1:28">
      <c r="A613" t="str">
        <f t="shared" si="698"/>
        <v>S</v>
      </c>
      <c r="B613">
        <f t="shared" si="699"/>
        <v>0</v>
      </c>
      <c r="C613">
        <f t="shared" ca="1" si="700"/>
        <v>7</v>
      </c>
      <c r="D613">
        <f t="shared" ca="1" si="701"/>
        <v>9</v>
      </c>
      <c r="E613">
        <f t="shared" ca="1" si="702"/>
        <v>0</v>
      </c>
      <c r="F613">
        <f t="shared" ca="1" si="703"/>
        <v>0</v>
      </c>
      <c r="G613">
        <f t="shared" ca="1" si="704"/>
        <v>10</v>
      </c>
      <c r="H613">
        <f ca="1">IF(OR($A613="S",$A613=0),0,MATCH(0,OFFSET($B613,1,$A613,ROW($A$1504)-ROW($A613)),0))</f>
        <v>0</v>
      </c>
      <c r="I613">
        <f ca="1">IF(OR($A613="S",$A613=0),0,MATCH(OFFSET($B613,0,$A613)+1,OFFSET($B613,1,$A613,ROW($A$1504)-ROW($A613)),0))</f>
        <v>0</v>
      </c>
      <c r="J613" s="132" t="s">
        <v>29</v>
      </c>
      <c r="K613" s="121" t="str">
        <f t="shared" ca="1" si="705"/>
        <v>7.9.10.</v>
      </c>
      <c r="L613" s="137" t="str">
        <f t="shared" ca="1" si="706"/>
        <v xml:space="preserve">Cotação </v>
      </c>
      <c r="M613" s="122" t="s">
        <v>80</v>
      </c>
      <c r="N613" s="139" t="s">
        <v>160</v>
      </c>
      <c r="O613" s="137" t="str">
        <f t="shared" ca="1" si="697"/>
        <v>Barra de gelo</v>
      </c>
      <c r="P613" s="138" t="str">
        <f t="shared" ca="1" si="707"/>
        <v>Unidade</v>
      </c>
      <c r="Q613" s="134">
        <v>2</v>
      </c>
      <c r="R613" s="124">
        <f t="shared" ca="1" si="708"/>
        <v>12</v>
      </c>
      <c r="S613" s="136" t="s">
        <v>62</v>
      </c>
      <c r="T613" s="123">
        <f t="shared" ca="1" si="709"/>
        <v>15</v>
      </c>
      <c r="U613" s="126">
        <f t="shared" ca="1" si="710"/>
        <v>30</v>
      </c>
      <c r="V613" s="1"/>
      <c r="W613" s="39" t="str">
        <f ca="1">IF(OR($A613=0,$A613="S",$A613&gt;CFF!$A$9),"",MAX(W$11:OFFSET(W613,-1,0))+1)</f>
        <v/>
      </c>
      <c r="X613" s="4" t="str">
        <f t="shared" si="711"/>
        <v>Serv. Terc.-011</v>
      </c>
      <c r="Y613" s="39">
        <f t="shared" ca="1" si="712"/>
        <v>91</v>
      </c>
      <c r="Z613" s="1"/>
      <c r="AA613" s="133">
        <f>IF($J613=$G$2,ROUND(IF(ISNUMBER(S613),S613,IF(LEFT(S613,2)="DI",HLOOKUP(S613,DADOS!$T$29:$X$30,2,FALSE),0)),4),"")</f>
        <v>0.25</v>
      </c>
      <c r="AB613" s="2"/>
    </row>
    <row r="614" spans="1:28">
      <c r="A614" t="str">
        <f t="shared" si="698"/>
        <v>S</v>
      </c>
      <c r="B614">
        <f t="shared" si="699"/>
        <v>0</v>
      </c>
      <c r="C614">
        <f t="shared" ca="1" si="700"/>
        <v>7</v>
      </c>
      <c r="D614">
        <f t="shared" ca="1" si="701"/>
        <v>9</v>
      </c>
      <c r="E614">
        <f t="shared" ca="1" si="702"/>
        <v>0</v>
      </c>
      <c r="F614">
        <f t="shared" ca="1" si="703"/>
        <v>0</v>
      </c>
      <c r="G614">
        <f t="shared" ca="1" si="704"/>
        <v>11</v>
      </c>
      <c r="H614">
        <f ca="1">IF(OR($A614="S",$A614=0),0,MATCH(0,OFFSET($B614,1,$A614,ROW($A$1504)-ROW($A614)),0))</f>
        <v>0</v>
      </c>
      <c r="I614">
        <f ca="1">IF(OR($A614="S",$A614=0),0,MATCH(OFFSET($B614,0,$A614)+1,OFFSET($B614,1,$A614,ROW($A$1504)-ROW($A614)),0))</f>
        <v>0</v>
      </c>
      <c r="J614" s="132" t="s">
        <v>29</v>
      </c>
      <c r="K614" s="121" t="str">
        <f t="shared" ca="1" si="705"/>
        <v>7.9.11.</v>
      </c>
      <c r="L614" s="137" t="str">
        <f t="shared" ca="1" si="706"/>
        <v>Cotação</v>
      </c>
      <c r="M614" s="122" t="s">
        <v>80</v>
      </c>
      <c r="N614" s="139" t="s">
        <v>150</v>
      </c>
      <c r="O614" s="137" t="str">
        <f t="shared" ca="1" si="697"/>
        <v>Sucos</v>
      </c>
      <c r="P614" s="138" t="str">
        <f t="shared" ca="1" si="707"/>
        <v>Unidade</v>
      </c>
      <c r="Q614" s="134">
        <v>6</v>
      </c>
      <c r="R614" s="124">
        <f t="shared" ca="1" si="708"/>
        <v>6.4</v>
      </c>
      <c r="S614" s="136" t="s">
        <v>62</v>
      </c>
      <c r="T614" s="123">
        <f t="shared" ca="1" si="709"/>
        <v>8</v>
      </c>
      <c r="U614" s="126">
        <f t="shared" ca="1" si="710"/>
        <v>48</v>
      </c>
      <c r="V614" s="1"/>
      <c r="W614" s="39" t="str">
        <f ca="1">IF(OR($A614=0,$A614="S",$A614&gt;CFF!$A$9),"",MAX(W$11:OFFSET(W614,-1,0))+1)</f>
        <v/>
      </c>
      <c r="X614" s="4" t="str">
        <f t="shared" si="711"/>
        <v>Serv. Terc.-013</v>
      </c>
      <c r="Y614" s="39">
        <f t="shared" ca="1" si="712"/>
        <v>93</v>
      </c>
      <c r="Z614" s="1"/>
      <c r="AA614" s="133">
        <f>IF($J614=$G$2,ROUND(IF(ISNUMBER(S614),S614,IF(LEFT(S614,2)="DI",HLOOKUP(S614,DADOS!$T$29:$X$30,2,FALSE),0)),4),"")</f>
        <v>0.25</v>
      </c>
      <c r="AB614" s="2"/>
    </row>
    <row r="615" spans="1:28">
      <c r="A615" t="str">
        <f>CHOOSE(1+LOG(1+2*(J615=$C$2)+4*(J615=$D$2)+8*(J615=$E$2)+16*(J615=$F$2)+32*(J615=$G$2),2),0,1,2,3,4,"S")</f>
        <v>S</v>
      </c>
      <c r="B615">
        <f>IF(OR(A615="S",A615=0),0,IF(ISERROR(I615),H615,SMALL(H615:I615,1)))</f>
        <v>0</v>
      </c>
      <c r="C615">
        <f ca="1">IF($A615=1,OFFSET(C615,-1,0)+1,OFFSET(C615,-1,0))</f>
        <v>7</v>
      </c>
      <c r="D615">
        <f ca="1">IF($A615=1,0,IF($A615=2,OFFSET(D615,-1,0)+1,OFFSET(D615,-1,0)))</f>
        <v>9</v>
      </c>
      <c r="E615">
        <f ca="1">IF(AND($A615&lt;=2,$A615&lt;&gt;0),0,IF($A615=3,OFFSET(E615,-1,0)+1,OFFSET(E615,-1,0)))</f>
        <v>0</v>
      </c>
      <c r="F615">
        <f ca="1">IF(AND($A615&lt;=3,$A615&lt;&gt;0),0,IF($A615=4,OFFSET(F615,-1,0)+1,OFFSET(F615,-1,0)))</f>
        <v>0</v>
      </c>
      <c r="G615">
        <f ca="1">IF(AND($A615&lt;=4,$A615&lt;&gt;0),0,IF($A615="S",OFFSET(G615,-1,0)+1,OFFSET(G615,-1,0)))</f>
        <v>12</v>
      </c>
      <c r="H615">
        <f ca="1">IF(OR($A615="S",$A615=0),0,MATCH(0,OFFSET($B615,1,$A615,ROW($A$1504)-ROW($A615)),0))</f>
        <v>0</v>
      </c>
      <c r="I615">
        <f ca="1">IF(OR($A615="S",$A615=0),0,MATCH(OFFSET($B615,0,$A615)+1,OFFSET($B615,1,$A615,ROW($A$1504)-ROW($A615)),0))</f>
        <v>0</v>
      </c>
      <c r="J615" s="132" t="s">
        <v>29</v>
      </c>
      <c r="K615" s="121" t="str">
        <f ca="1">IF($A615=0,"-",CONCATENATE(C615&amp;".",IF(AND($A$5&gt;=2,$A615&gt;=2),D615&amp;".",""),IF(AND($A$5&gt;=3,$A615&gt;=3),E615&amp;".",""),IF(AND($A$5&gt;=4,$A615&gt;=4),F615&amp;".",""),IF($A615="S",G615&amp;".","")))</f>
        <v>7.9.12.</v>
      </c>
      <c r="L615" s="137" t="str">
        <f ca="1">IF(NOT(ISERROR($Y615)),IF($Y615&lt;&gt;FALSE,INDEX(Banco,$Y615,4),""),"")</f>
        <v>Cotação</v>
      </c>
      <c r="M615" s="122" t="s">
        <v>80</v>
      </c>
      <c r="N615" s="139" t="s">
        <v>171</v>
      </c>
      <c r="O615" s="137" t="str">
        <f ca="1">IF(NOT(ISERROR($Y615)),IF($Y615&lt;&gt;FALSE,INDEX(Banco,$Y615,5),""),"")</f>
        <v xml:space="preserve">Refrigerantes (02 litros) </v>
      </c>
      <c r="P615" s="138" t="str">
        <f ca="1">IF(NOT(ISERROR($Y615)),IF($Y615&lt;&gt;FALSE,INDEX(Banco,$Y615,6),""),"")</f>
        <v>Unidade</v>
      </c>
      <c r="Q615" s="134">
        <v>10</v>
      </c>
      <c r="R615" s="124">
        <f ca="1">IF(NOT(ISERROR($Y615)),IF($Y615&lt;&gt;FALSE,INDEX(Banco,$Y615,7),0),0)</f>
        <v>6</v>
      </c>
      <c r="S615" s="136" t="s">
        <v>62</v>
      </c>
      <c r="T615" s="123">
        <f ca="1">IF($J615=$G$2,ROUND(ROUND($R615,2)*IF($R$9="Preço Unitário (R$)",1,1+$AA615),2),0)</f>
        <v>7.5</v>
      </c>
      <c r="U615" s="126">
        <f ca="1">IF($A615="S",VTOTAL1,IF($A615=0,0,ROUND(SomaAgrup,2)))</f>
        <v>75</v>
      </c>
      <c r="V615" s="1"/>
      <c r="W615" s="39" t="str">
        <f ca="1">IF(OR($A615=0,$A615="S",$A615&gt;CFF!$A$9),"",MAX(W$11:OFFSET(W615,-1,0))+1)</f>
        <v/>
      </c>
      <c r="X615" s="4" t="str">
        <f>IF(AND($J615=$G$2,$N615&lt;&gt;"",$M615&lt;&gt;""),CONCATENATE($M615,"-",$N615))</f>
        <v>Serv. Terc.-027</v>
      </c>
      <c r="Y615" s="39">
        <f ca="1">IF(X615&lt;&gt;FALSE,MATCH(X615,OFFSET(Banco,0,0,,1),0))</f>
        <v>107</v>
      </c>
      <c r="Z615" s="1"/>
      <c r="AA615" s="133">
        <f>IF($J615=$G$2,ROUND(IF(ISNUMBER(S615),S615,IF(LEFT(S615,2)="DI",HLOOKUP(S615,DADOS!$T$29:$X$30,2,FALSE),0)),4),"")</f>
        <v>0.25</v>
      </c>
      <c r="AB615" s="2"/>
    </row>
    <row r="616" spans="1:28">
      <c r="A616" t="str">
        <f t="shared" ref="A616:A621" si="713">CHOOSE(1+LOG(1+2*(J616=$C$2)+4*(J616=$D$2)+8*(J616=$E$2)+16*(J616=$F$2)+32*(J616=$G$2),2),0,1,2,3,4,"S")</f>
        <v>S</v>
      </c>
      <c r="B616">
        <f t="shared" ref="B616:B621" si="714">IF(OR(A616="S",A616=0),0,IF(ISERROR(I616),H616,SMALL(H616:I616,1)))</f>
        <v>0</v>
      </c>
      <c r="C616">
        <f ca="1">IF($A616=1,OFFSET(C616,-1,0)+1,OFFSET(C616,-1,0))</f>
        <v>7</v>
      </c>
      <c r="D616">
        <f ca="1">IF($A616=1,0,IF($A616=2,OFFSET(D616,-1,0)+1,OFFSET(D616,-1,0)))</f>
        <v>9</v>
      </c>
      <c r="E616">
        <f ca="1">IF(AND($A616&lt;=2,$A616&lt;&gt;0),0,IF($A616=3,OFFSET(E616,-1,0)+1,OFFSET(E616,-1,0)))</f>
        <v>0</v>
      </c>
      <c r="F616">
        <f ca="1">IF(AND($A616&lt;=3,$A616&lt;&gt;0),0,IF($A616=4,OFFSET(F616,-1,0)+1,OFFSET(F616,-1,0)))</f>
        <v>0</v>
      </c>
      <c r="G616">
        <f ca="1">IF(AND($A616&lt;=4,$A616&lt;&gt;0),0,IF($A616="S",OFFSET(G616,-1,0)+1,OFFSET(G616,-1,0)))</f>
        <v>13</v>
      </c>
      <c r="H616">
        <f ca="1">IF(OR($A616="S",$A616=0),0,MATCH(0,OFFSET($B616,1,$A616,ROW($A$1504)-ROW($A616)),0))</f>
        <v>0</v>
      </c>
      <c r="I616">
        <f ca="1">IF(OR($A616="S",$A616=0),0,MATCH(OFFSET($B616,0,$A616)+1,OFFSET($B616,1,$A616,ROW($A$1504)-ROW($A616)),0))</f>
        <v>0</v>
      </c>
      <c r="J616" s="132" t="s">
        <v>29</v>
      </c>
      <c r="K616" s="121" t="str">
        <f t="shared" ref="K616:K621" ca="1" si="715">IF($A616=0,"-",CONCATENATE(C616&amp;".",IF(AND($A$5&gt;=2,$A616&gt;=2),D616&amp;".",""),IF(AND($A$5&gt;=3,$A616&gt;=3),E616&amp;".",""),IF(AND($A$5&gt;=4,$A616&gt;=4),F616&amp;".",""),IF($A616="S",G616&amp;".","")))</f>
        <v>7.9.13.</v>
      </c>
      <c r="L616" s="137" t="str">
        <f ca="1">IF(NOT(ISERROR($Y616)),IF($Y616&lt;&gt;FALSE,INDEX(Banco,$Y616,4),""),"")</f>
        <v xml:space="preserve">Cotação </v>
      </c>
      <c r="M616" s="122" t="s">
        <v>80</v>
      </c>
      <c r="N616" s="139" t="s">
        <v>159</v>
      </c>
      <c r="O616" s="137" t="str">
        <f ca="1">IF(NOT(ISERROR($Y616)),IF($Y616&lt;&gt;FALSE,INDEX(Banco,$Y616,5),""),"")</f>
        <v>Brindes ( descrição nos orçamentos e PTS)</v>
      </c>
      <c r="P616" s="138" t="str">
        <f ca="1">IF(NOT(ISERROR($Y616)),IF($Y616&lt;&gt;FALSE,INDEX(Banco,$Y616,6),""),"")</f>
        <v>Unidade</v>
      </c>
      <c r="Q616" s="134">
        <v>4</v>
      </c>
      <c r="R616" s="124">
        <f ca="1">IF(NOT(ISERROR($Y616)),IF($Y616&lt;&gt;FALSE,INDEX(Banco,$Y616,7),0),0)</f>
        <v>120</v>
      </c>
      <c r="S616" s="136" t="s">
        <v>62</v>
      </c>
      <c r="T616" s="123">
        <f ca="1">IF($J616=$G$2,ROUND(ROUND($R616,2)*IF($R$9="Preço Unitário (R$)",1,1+$AA616),2),0)</f>
        <v>150</v>
      </c>
      <c r="U616" s="126">
        <f ca="1">IF($A616="S",VTOTAL1,IF($A616=0,0,ROUND(SomaAgrup,2)))</f>
        <v>600</v>
      </c>
      <c r="V616" s="1"/>
      <c r="W616" s="39" t="str">
        <f ca="1">IF(OR($A616=0,$A616="S",$A616&gt;CFF!$A$9),"",MAX(W$11:OFFSET(W616,-1,0))+1)</f>
        <v/>
      </c>
      <c r="X616" s="4" t="str">
        <f>IF(AND($J616=$G$2,$N616&lt;&gt;"",$M616&lt;&gt;""),CONCATENATE($M616,"-",$N616))</f>
        <v>Serv. Terc.-010</v>
      </c>
      <c r="Y616" s="39">
        <f t="shared" ref="Y616:Y621" ca="1" si="716">IF(X616&lt;&gt;FALSE,MATCH(X616,OFFSET(Banco,0,0,,1),0))</f>
        <v>90</v>
      </c>
      <c r="Z616" s="1"/>
      <c r="AA616" s="133">
        <f>IF($J616=$G$2,ROUND(IF(ISNUMBER(S616),S616,IF(LEFT(S616,2)="DI",HLOOKUP(S616,DADOS!$T$29:$X$30,2,FALSE),0)),4),"")</f>
        <v>0.25</v>
      </c>
      <c r="AB616" s="2"/>
    </row>
    <row r="617" spans="1:28">
      <c r="A617" t="str">
        <f t="shared" si="713"/>
        <v>S</v>
      </c>
      <c r="B617">
        <f t="shared" si="714"/>
        <v>0</v>
      </c>
      <c r="C617">
        <f t="shared" ca="1" si="700"/>
        <v>7</v>
      </c>
      <c r="D617">
        <f t="shared" ca="1" si="701"/>
        <v>9</v>
      </c>
      <c r="E617">
        <f t="shared" ca="1" si="702"/>
        <v>0</v>
      </c>
      <c r="F617">
        <f t="shared" ca="1" si="703"/>
        <v>0</v>
      </c>
      <c r="G617">
        <f t="shared" ca="1" si="704"/>
        <v>14</v>
      </c>
      <c r="H617">
        <f ca="1">IF(OR($A617="S",$A617=0),0,MATCH(0,OFFSET($B617,1,$A617,ROW($A$1504)-ROW($A617)),0))</f>
        <v>0</v>
      </c>
      <c r="I617">
        <f ca="1">IF(OR($A617="S",$A617=0),0,MATCH(OFFSET($B617,0,$A617)+1,OFFSET($B617,1,$A617,ROW($A$1504)-ROW($A617)),0))</f>
        <v>0</v>
      </c>
      <c r="J617" s="132" t="s">
        <v>29</v>
      </c>
      <c r="K617" s="121" t="str">
        <f t="shared" ca="1" si="715"/>
        <v>7.9.14.</v>
      </c>
      <c r="L617" s="137" t="str">
        <f t="shared" ca="1" si="706"/>
        <v>Cotação</v>
      </c>
      <c r="M617" s="122" t="s">
        <v>80</v>
      </c>
      <c r="N617" s="139" t="s">
        <v>162</v>
      </c>
      <c r="O617" s="137" t="str">
        <f t="shared" ca="1" si="697"/>
        <v>Coffee break (salgados)</v>
      </c>
      <c r="P617" s="138" t="str">
        <f t="shared" ca="1" si="707"/>
        <v>Centro</v>
      </c>
      <c r="Q617" s="134">
        <v>8</v>
      </c>
      <c r="R617" s="124">
        <f t="shared" ca="1" si="708"/>
        <v>65</v>
      </c>
      <c r="S617" s="136" t="s">
        <v>62</v>
      </c>
      <c r="T617" s="123">
        <f t="shared" ca="1" si="709"/>
        <v>81.25</v>
      </c>
      <c r="U617" s="126">
        <f t="shared" ca="1" si="710"/>
        <v>650</v>
      </c>
      <c r="V617" s="1"/>
      <c r="W617" s="39" t="str">
        <f ca="1">IF(OR($A617=0,$A617="S",$A617&gt;CFF!$A$9),"",MAX(W$11:OFFSET(W617,-1,0))+1)</f>
        <v/>
      </c>
      <c r="X617" s="4" t="str">
        <f t="shared" si="711"/>
        <v>Serv. Terc.-015</v>
      </c>
      <c r="Y617" s="39">
        <f t="shared" ca="1" si="716"/>
        <v>95</v>
      </c>
      <c r="Z617" s="1"/>
      <c r="AA617" s="133">
        <f>IF($J617=$G$2,ROUND(IF(ISNUMBER(S617),S617,IF(LEFT(S617,2)="DI",HLOOKUP(S617,DADOS!$T$29:$X$30,2,FALSE),0)),4),"")</f>
        <v>0.25</v>
      </c>
      <c r="AB617" s="2"/>
    </row>
    <row r="618" spans="1:28">
      <c r="A618" t="str">
        <f t="shared" si="713"/>
        <v>S</v>
      </c>
      <c r="B618">
        <f t="shared" si="714"/>
        <v>0</v>
      </c>
      <c r="C618">
        <f ca="1">IF($A618=1,OFFSET(C618,-1,0)+1,OFFSET(C618,-1,0))</f>
        <v>7</v>
      </c>
      <c r="D618">
        <f ca="1">IF($A618=1,0,IF($A618=2,OFFSET(D618,-1,0)+1,OFFSET(D618,-1,0)))</f>
        <v>9</v>
      </c>
      <c r="E618">
        <f ca="1">IF(AND($A618&lt;=2,$A618&lt;&gt;0),0,IF($A618=3,OFFSET(E618,-1,0)+1,OFFSET(E618,-1,0)))</f>
        <v>0</v>
      </c>
      <c r="F618">
        <f ca="1">IF(AND($A618&lt;=3,$A618&lt;&gt;0),0,IF($A618=4,OFFSET(F618,-1,0)+1,OFFSET(F618,-1,0)))</f>
        <v>0</v>
      </c>
      <c r="G618">
        <f ca="1">IF(AND($A618&lt;=4,$A618&lt;&gt;0),0,IF($A618="S",OFFSET(G618,-1,0)+1,OFFSET(G618,-1,0)))</f>
        <v>15</v>
      </c>
      <c r="H618">
        <f ca="1">IF(OR($A618="S",$A618=0),0,MATCH(0,OFFSET($B618,1,$A618,ROW($A$1504)-ROW($A618)),0))</f>
        <v>0</v>
      </c>
      <c r="I618">
        <f ca="1">IF(OR($A618="S",$A618=0),0,MATCH(OFFSET($B618,0,$A618)+1,OFFSET($B618,1,$A618,ROW($A$1504)-ROW($A618)),0))</f>
        <v>0</v>
      </c>
      <c r="J618" s="132" t="s">
        <v>29</v>
      </c>
      <c r="K618" s="121" t="str">
        <f t="shared" ca="1" si="715"/>
        <v>7.9.15.</v>
      </c>
      <c r="L618" s="137" t="str">
        <f ca="1">IF(NOT(ISERROR($Y618)),IF($Y618&lt;&gt;FALSE,INDEX(Banco,$Y618,4),""),"")</f>
        <v>COREN</v>
      </c>
      <c r="M618" s="122" t="s">
        <v>80</v>
      </c>
      <c r="N618" s="139" t="s">
        <v>246</v>
      </c>
      <c r="O618" s="137" t="str">
        <f ca="1">IF(NOT(ISERROR($Y618)),IF($Y618&lt;&gt;FALSE,INDEX(Banco,$Y618,5),""),"")</f>
        <v>Enfermeiro padrão</v>
      </c>
      <c r="P618" s="138" t="str">
        <f ca="1">IF(NOT(ISERROR($Y618)),IF($Y618&lt;&gt;FALSE,INDEX(Banco,$Y618,6),""),"")</f>
        <v>Unidade</v>
      </c>
      <c r="Q618" s="134">
        <v>4</v>
      </c>
      <c r="R618" s="124">
        <f ca="1">IF(NOT(ISERROR($Y618)),IF($Y618&lt;&gt;FALSE,INDEX(Banco,$Y618,7),0),0)</f>
        <v>123.02</v>
      </c>
      <c r="S618" s="136" t="s">
        <v>62</v>
      </c>
      <c r="T618" s="123">
        <f ca="1">IF($J618=$G$2,ROUND(ROUND($R618,2)*IF($R$9="Preço Unitário (R$)",1,1+$AA618),2),0)</f>
        <v>153.78</v>
      </c>
      <c r="U618" s="126">
        <f ca="1">IF($A618="S",VTOTAL1,IF($A618=0,0,ROUND(SomaAgrup,2)))</f>
        <v>615.12</v>
      </c>
      <c r="V618" s="1"/>
      <c r="W618" s="39" t="str">
        <f ca="1">IF(OR($A618=0,$A618="S",$A618&gt;CFF!$A$9),"",MAX(W$11:OFFSET(W618,-1,0))+1)</f>
        <v/>
      </c>
      <c r="X618" s="4" t="str">
        <f>IF(AND($J618=$G$2,$N618&lt;&gt;"",$M618&lt;&gt;""),CONCATENATE($M618,"-",$N618))</f>
        <v>Serv. Terc.-080</v>
      </c>
      <c r="Y618" s="39">
        <f t="shared" ca="1" si="716"/>
        <v>160</v>
      </c>
      <c r="Z618" s="1"/>
      <c r="AA618" s="133">
        <f>IF($J618=$G$2,ROUND(IF(ISNUMBER(S618),S618,IF(LEFT(S618,2)="DI",HLOOKUP(S618,DADOS!$T$29:$X$30,2,FALSE),0)),4),"")</f>
        <v>0.25</v>
      </c>
      <c r="AB618" s="2"/>
    </row>
    <row r="619" spans="1:28">
      <c r="A619" t="str">
        <f t="shared" si="713"/>
        <v>S</v>
      </c>
      <c r="B619">
        <f t="shared" si="714"/>
        <v>0</v>
      </c>
      <c r="C619">
        <f t="shared" ca="1" si="700"/>
        <v>7</v>
      </c>
      <c r="D619">
        <f t="shared" ca="1" si="701"/>
        <v>9</v>
      </c>
      <c r="E619">
        <f t="shared" ca="1" si="702"/>
        <v>0</v>
      </c>
      <c r="F619">
        <f t="shared" ca="1" si="703"/>
        <v>0</v>
      </c>
      <c r="G619">
        <f t="shared" ca="1" si="704"/>
        <v>16</v>
      </c>
      <c r="H619">
        <f ca="1">IF(OR($A619="S",$A619=0),0,MATCH(0,OFFSET($B619,1,$A619,ROW($A$1504)-ROW($A619)),0))</f>
        <v>0</v>
      </c>
      <c r="I619">
        <f ca="1">IF(OR($A619="S",$A619=0),0,MATCH(OFFSET($B619,0,$A619)+1,OFFSET($B619,1,$A619,ROW($A$1504)-ROW($A619)),0))</f>
        <v>0</v>
      </c>
      <c r="J619" s="132" t="s">
        <v>29</v>
      </c>
      <c r="K619" s="121" t="str">
        <f t="shared" ca="1" si="715"/>
        <v>7.9.16.</v>
      </c>
      <c r="L619" s="137" t="str">
        <f t="shared" ca="1" si="706"/>
        <v>Cotação</v>
      </c>
      <c r="M619" s="122" t="s">
        <v>79</v>
      </c>
      <c r="N619" s="139" t="s">
        <v>163</v>
      </c>
      <c r="O619" s="137" t="str">
        <f t="shared" ca="1" si="697"/>
        <v>Guloseimas (balas e pirulito)</v>
      </c>
      <c r="P619" s="138" t="str">
        <f t="shared" ca="1" si="707"/>
        <v>Pacote</v>
      </c>
      <c r="Q619" s="134">
        <v>4</v>
      </c>
      <c r="R619" s="124">
        <f t="shared" ca="1" si="708"/>
        <v>12</v>
      </c>
      <c r="S619" s="136" t="s">
        <v>62</v>
      </c>
      <c r="T619" s="123">
        <f t="shared" ca="1" si="709"/>
        <v>15</v>
      </c>
      <c r="U619" s="126">
        <f t="shared" ca="1" si="710"/>
        <v>60</v>
      </c>
      <c r="V619" s="1"/>
      <c r="W619" s="39" t="str">
        <f ca="1">IF(OR($A619=0,$A619="S",$A619&gt;CFF!$A$9),"",MAX(W$11:OFFSET(W619,-1,0))+1)</f>
        <v/>
      </c>
      <c r="X619" s="4" t="str">
        <f t="shared" si="711"/>
        <v>Rec. Materiais-020</v>
      </c>
      <c r="Y619" s="39">
        <f t="shared" ca="1" si="716"/>
        <v>29</v>
      </c>
      <c r="Z619" s="1"/>
      <c r="AA619" s="133">
        <f>IF($J619=$G$2,ROUND(IF(ISNUMBER(S619),S619,IF(LEFT(S619,2)="DI",HLOOKUP(S619,DADOS!$T$29:$X$30,2,FALSE),0)),4),"")</f>
        <v>0.25</v>
      </c>
      <c r="AB619" s="2"/>
    </row>
    <row r="620" spans="1:28">
      <c r="A620" t="str">
        <f t="shared" si="713"/>
        <v>S</v>
      </c>
      <c r="B620">
        <f t="shared" si="714"/>
        <v>0</v>
      </c>
      <c r="C620">
        <f t="shared" ca="1" si="700"/>
        <v>7</v>
      </c>
      <c r="D620">
        <f t="shared" ca="1" si="701"/>
        <v>9</v>
      </c>
      <c r="E620">
        <f t="shared" ca="1" si="702"/>
        <v>0</v>
      </c>
      <c r="F620">
        <f t="shared" ca="1" si="703"/>
        <v>0</v>
      </c>
      <c r="G620">
        <f t="shared" ca="1" si="704"/>
        <v>17</v>
      </c>
      <c r="H620">
        <f ca="1">IF(OR($A620="S",$A620=0),0,MATCH(0,OFFSET($B620,1,$A620,ROW($A$1504)-ROW($A620)),0))</f>
        <v>0</v>
      </c>
      <c r="I620">
        <f ca="1">IF(OR($A620="S",$A620=0),0,MATCH(OFFSET($B620,0,$A620)+1,OFFSET($B620,1,$A620,ROW($A$1504)-ROW($A620)),0))</f>
        <v>0</v>
      </c>
      <c r="J620" s="132" t="s">
        <v>29</v>
      </c>
      <c r="K620" s="121" t="str">
        <f t="shared" ca="1" si="715"/>
        <v>7.9.17.</v>
      </c>
      <c r="L620" s="137" t="str">
        <f t="shared" ca="1" si="706"/>
        <v>Cotação</v>
      </c>
      <c r="M620" s="122" t="s">
        <v>79</v>
      </c>
      <c r="N620" s="139" t="s">
        <v>165</v>
      </c>
      <c r="O620" s="137" t="str">
        <f ca="1">IF(NOT(ISERROR($Y620)),IF($Y620&lt;&gt;FALSE,INDEX(Banco,$Y620,5),""),"")</f>
        <v>Papel de presente</v>
      </c>
      <c r="P620" s="138" t="str">
        <f t="shared" ca="1" si="707"/>
        <v>Folhas</v>
      </c>
      <c r="Q620" s="134">
        <v>8</v>
      </c>
      <c r="R620" s="124">
        <f t="shared" ca="1" si="708"/>
        <v>1.5</v>
      </c>
      <c r="S620" s="136" t="s">
        <v>62</v>
      </c>
      <c r="T620" s="123">
        <f t="shared" ca="1" si="709"/>
        <v>1.88</v>
      </c>
      <c r="U620" s="126">
        <f t="shared" ca="1" si="710"/>
        <v>15.04</v>
      </c>
      <c r="V620" s="1"/>
      <c r="W620" s="39" t="str">
        <f ca="1">IF(OR($A620=0,$A620="S",$A620&gt;CFF!$A$9),"",MAX(W$11:OFFSET(W620,-1,0))+1)</f>
        <v/>
      </c>
      <c r="X620" s="4" t="str">
        <f t="shared" si="711"/>
        <v>Rec. Materiais-021</v>
      </c>
      <c r="Y620" s="39">
        <f t="shared" ca="1" si="716"/>
        <v>30</v>
      </c>
      <c r="Z620" s="1"/>
      <c r="AA620" s="133">
        <f>IF($J620=$G$2,ROUND(IF(ISNUMBER(S620),S620,IF(LEFT(S620,2)="DI",HLOOKUP(S620,DADOS!$T$29:$X$30,2,FALSE),0)),4),"")</f>
        <v>0.25</v>
      </c>
      <c r="AB620" s="2"/>
    </row>
    <row r="621" spans="1:28">
      <c r="A621" t="str">
        <f t="shared" si="713"/>
        <v>S</v>
      </c>
      <c r="B621">
        <f t="shared" si="714"/>
        <v>0</v>
      </c>
      <c r="C621">
        <f t="shared" ca="1" si="700"/>
        <v>7</v>
      </c>
      <c r="D621">
        <f t="shared" ca="1" si="701"/>
        <v>9</v>
      </c>
      <c r="E621">
        <f t="shared" ca="1" si="702"/>
        <v>0</v>
      </c>
      <c r="F621">
        <f t="shared" ca="1" si="703"/>
        <v>0</v>
      </c>
      <c r="G621">
        <f t="shared" ca="1" si="704"/>
        <v>18</v>
      </c>
      <c r="H621">
        <f ca="1">IF(OR($A621="S",$A621=0),0,MATCH(0,OFFSET($B621,1,$A621,ROW($A$1504)-ROW($A621)),0))</f>
        <v>0</v>
      </c>
      <c r="I621">
        <f ca="1">IF(OR($A621="S",$A621=0),0,MATCH(OFFSET($B621,0,$A621)+1,OFFSET($B621,1,$A621,ROW($A$1504)-ROW($A621)),0))</f>
        <v>0</v>
      </c>
      <c r="J621" s="132" t="s">
        <v>29</v>
      </c>
      <c r="K621" s="121" t="str">
        <f t="shared" ca="1" si="715"/>
        <v>7.9.18.</v>
      </c>
      <c r="L621" s="137" t="str">
        <f t="shared" ca="1" si="706"/>
        <v>Cotação</v>
      </c>
      <c r="M621" s="122" t="s">
        <v>79</v>
      </c>
      <c r="N621" s="139" t="s">
        <v>170</v>
      </c>
      <c r="O621" s="137" t="str">
        <f ca="1">IF(NOT(ISERROR($Y621)),IF($Y621&lt;&gt;FALSE,INDEX(Banco,$Y621,5),""),"")</f>
        <v>Saco de lixo (100 litros)</v>
      </c>
      <c r="P621" s="138" t="str">
        <f t="shared" ca="1" si="707"/>
        <v>Pacote</v>
      </c>
      <c r="Q621" s="134">
        <v>1</v>
      </c>
      <c r="R621" s="124">
        <f t="shared" ca="1" si="708"/>
        <v>15</v>
      </c>
      <c r="S621" s="136" t="s">
        <v>62</v>
      </c>
      <c r="T621" s="123">
        <f t="shared" ca="1" si="709"/>
        <v>18.75</v>
      </c>
      <c r="U621" s="126">
        <f t="shared" ca="1" si="710"/>
        <v>18.75</v>
      </c>
      <c r="V621" s="1"/>
      <c r="W621" s="39" t="str">
        <f ca="1">IF(OR($A621=0,$A621="S",$A621&gt;CFF!$A$9),"",MAX(W$11:OFFSET(W621,-1,0))+1)</f>
        <v/>
      </c>
      <c r="X621" s="4" t="str">
        <f t="shared" si="711"/>
        <v>Rec. Materiais-026</v>
      </c>
      <c r="Y621" s="39">
        <f t="shared" ca="1" si="716"/>
        <v>35</v>
      </c>
      <c r="Z621" s="1"/>
      <c r="AA621" s="133">
        <f>IF($J621=$G$2,ROUND(IF(ISNUMBER(S621),S621,IF(LEFT(S621,2)="DI",HLOOKUP(S621,DADOS!$T$29:$X$30,2,FALSE),0)),4),"")</f>
        <v>0.25</v>
      </c>
      <c r="AB621" s="2"/>
    </row>
    <row r="622" spans="1:28" ht="25.5">
      <c r="A622">
        <f>CHOOSE(1+LOG(1+2*(J622=$C$2)+4*(J622=$D$2)+8*(J622=$E$2)+16*(J622=$F$2)+32*(J622=$G$2),2),0,1,2,3,4,"S")</f>
        <v>2</v>
      </c>
      <c r="B622">
        <f ca="1">IF(OR(A622="S",A622=0),0,IF(ISERROR(I622),H622,SMALL(H622:I622,1)))</f>
        <v>19</v>
      </c>
      <c r="C622">
        <f ca="1">IF($A622=1,OFFSET(C622,-1,0)+1,OFFSET(C622,-1,0))</f>
        <v>7</v>
      </c>
      <c r="D622">
        <f ca="1">IF($A622=1,0,IF($A622=2,OFFSET(D622,-1,0)+1,OFFSET(D622,-1,0)))</f>
        <v>10</v>
      </c>
      <c r="E622">
        <f ca="1">IF(AND($A622&lt;=2,$A622&lt;&gt;0),0,IF($A622=3,OFFSET(E622,-1,0)+1,OFFSET(E622,-1,0)))</f>
        <v>0</v>
      </c>
      <c r="F622">
        <f ca="1">IF(AND($A622&lt;=3,$A622&lt;&gt;0),0,IF($A622=4,OFFSET(F622,-1,0)+1,OFFSET(F622,-1,0)))</f>
        <v>0</v>
      </c>
      <c r="G622">
        <f ca="1">IF(AND($A622&lt;=4,$A622&lt;&gt;0),0,IF($A622="S",OFFSET(G622,-1,0)+1,OFFSET(G622,-1,0)))</f>
        <v>0</v>
      </c>
      <c r="H622">
        <f ca="1">IF(OR($A622="S",$A622=0),0,MATCH(0,OFFSET($B622,1,$A622,ROW($A$1504)-ROW($A622)),0))</f>
        <v>19</v>
      </c>
      <c r="I622">
        <f ca="1">IF(OR($A622="S",$A622=0),0,MATCH(OFFSET($B622,0,$A622)+1,OFFSET($B622,1,$A622,ROW($A$1504)-ROW($A622)),0))</f>
        <v>158</v>
      </c>
      <c r="J622" s="132" t="s">
        <v>68</v>
      </c>
      <c r="K622" s="121" t="str">
        <f ca="1">IF($A622=0,"-",CONCATENATE(C622&amp;".",IF(AND($A$5&gt;=2,$A622&gt;=2),D622&amp;".",""),IF(AND($A$5&gt;=3,$A622&gt;=3),E622&amp;".",""),IF(AND($A$5&gt;=4,$A622&gt;=4),F622&amp;".",""),IF($A622="S",G622&amp;".","")))</f>
        <v>7.10.</v>
      </c>
      <c r="L622" s="137" t="str">
        <f ca="1">IF(NOT(ISERROR($Y622)),IF($Y622&lt;&gt;FALSE,INDEX(Banco,$Y622,4),""),"")</f>
        <v/>
      </c>
      <c r="M622" s="122"/>
      <c r="N622" s="139"/>
      <c r="O622" s="137" t="s">
        <v>391</v>
      </c>
      <c r="P622" s="138" t="str">
        <f ca="1">IF(NOT(ISERROR($Y622)),IF($Y622&lt;&gt;FALSE,INDEX(Banco,$Y622,6),""),"")</f>
        <v/>
      </c>
      <c r="Q622" s="134"/>
      <c r="R622" s="124">
        <f ca="1">IF(NOT(ISERROR($Y622)),IF($Y622&lt;&gt;FALSE,INDEX(Banco,$Y622,7),0),0)</f>
        <v>0</v>
      </c>
      <c r="S622" s="136" t="s">
        <v>62</v>
      </c>
      <c r="T622" s="123">
        <f>IF($J622=$G$2,ROUND(ROUND($R622,2)*IF($R$9="Preço Unitário (R$)",1,1+$AA622),2),0)</f>
        <v>0</v>
      </c>
      <c r="U622" s="126">
        <f ca="1">IF($A622="S",VTOTAL1,IF($A622=0,0,ROUND(SomaAgrup,2)))</f>
        <v>6055.69</v>
      </c>
      <c r="V622" s="1"/>
      <c r="W622" s="39">
        <f ca="1">IF(OR($A622=0,$A622="S",$A622&gt;CFF!$A$9),"",MAX(W$11:OFFSET(W622,-1,0))+1)</f>
        <v>51</v>
      </c>
      <c r="X622" s="4" t="b">
        <f>IF(AND($J622=$G$2,$N622&lt;&gt;"",$M622&lt;&gt;""),CONCATENATE($M622,"-",$N622))</f>
        <v>0</v>
      </c>
      <c r="Y622" s="39" t="b">
        <f ca="1">IF(X622&lt;&gt;FALSE,MATCH(X622,OFFSET(Banco,0,0,,1),0))</f>
        <v>0</v>
      </c>
      <c r="Z622" s="1"/>
      <c r="AA622" s="133" t="str">
        <f>IF($J622=$G$2,ROUND(IF(ISNUMBER(S622),S622,IF(LEFT(S622,2)="DI",HLOOKUP(S622,DADOS!$T$29:$X$30,2,FALSE),0)),4),"")</f>
        <v/>
      </c>
      <c r="AB622" s="2"/>
    </row>
    <row r="623" spans="1:28">
      <c r="A623" t="str">
        <f t="shared" ref="A623:A628" si="717">CHOOSE(1+LOG(1+2*(J623=$C$2)+4*(J623=$D$2)+8*(J623=$E$2)+16*(J623=$F$2)+32*(J623=$G$2),2),0,1,2,3,4,"S")</f>
        <v>S</v>
      </c>
      <c r="B623">
        <f t="shared" ref="B623:B628" si="718">IF(OR(A623="S",A623=0),0,IF(ISERROR(I623),H623,SMALL(H623:I623,1)))</f>
        <v>0</v>
      </c>
      <c r="C623">
        <f t="shared" ref="C623:C640" ca="1" si="719">IF($A623=1,OFFSET(C623,-1,0)+1,OFFSET(C623,-1,0))</f>
        <v>7</v>
      </c>
      <c r="D623">
        <f t="shared" ref="D623:D640" ca="1" si="720">IF($A623=1,0,IF($A623=2,OFFSET(D623,-1,0)+1,OFFSET(D623,-1,0)))</f>
        <v>10</v>
      </c>
      <c r="E623">
        <f t="shared" ref="E623:E640" ca="1" si="721">IF(AND($A623&lt;=2,$A623&lt;&gt;0),0,IF($A623=3,OFFSET(E623,-1,0)+1,OFFSET(E623,-1,0)))</f>
        <v>0</v>
      </c>
      <c r="F623">
        <f t="shared" ref="F623:F640" ca="1" si="722">IF(AND($A623&lt;=3,$A623&lt;&gt;0),0,IF($A623=4,OFFSET(F623,-1,0)+1,OFFSET(F623,-1,0)))</f>
        <v>0</v>
      </c>
      <c r="G623">
        <f t="shared" ref="G623:G640" ca="1" si="723">IF(AND($A623&lt;=4,$A623&lt;&gt;0),0,IF($A623="S",OFFSET(G623,-1,0)+1,OFFSET(G623,-1,0)))</f>
        <v>1</v>
      </c>
      <c r="H623">
        <f ca="1">IF(OR($A623="S",$A623=0),0,MATCH(0,OFFSET($B623,1,$A623,ROW($A$1504)-ROW($A623)),0))</f>
        <v>0</v>
      </c>
      <c r="I623">
        <f ca="1">IF(OR($A623="S",$A623=0),0,MATCH(OFFSET($B623,0,$A623)+1,OFFSET($B623,1,$A623,ROW($A$1504)-ROW($A623)),0))</f>
        <v>0</v>
      </c>
      <c r="J623" s="132" t="s">
        <v>29</v>
      </c>
      <c r="K623" s="121" t="str">
        <f t="shared" ref="K623:K628" ca="1" si="724">IF($A623=0,"-",CONCATENATE(C623&amp;".",IF(AND($A$5&gt;=2,$A623&gt;=2),D623&amp;".",""),IF(AND($A$5&gt;=3,$A623&gt;=3),E623&amp;".",""),IF(AND($A$5&gt;=4,$A623&gt;=4),F623&amp;".",""),IF($A623="S",G623&amp;".","")))</f>
        <v>7.10.1.</v>
      </c>
      <c r="L623" s="137" t="str">
        <f t="shared" ref="L623:L640" ca="1" si="725">IF(NOT(ISERROR($Y623)),IF($Y623&lt;&gt;FALSE,INDEX(Banco,$Y623,4),""),"")</f>
        <v>CRESS</v>
      </c>
      <c r="M623" s="122" t="s">
        <v>78</v>
      </c>
      <c r="N623" s="139" t="s">
        <v>149</v>
      </c>
      <c r="O623" s="137" t="str">
        <f ca="1">IF(NOT(ISERROR($Y623)),IF($Y623&lt;&gt;FALSE,INDEX(Banco,$Y623,5),""),"")</f>
        <v>Responsável Técnica</v>
      </c>
      <c r="P623" s="138" t="str">
        <f t="shared" ref="P623:P640" ca="1" si="726">IF(NOT(ISERROR($Y623)),IF($Y623&lt;&gt;FALSE,INDEX(Banco,$Y623,6),""),"")</f>
        <v>Horas</v>
      </c>
      <c r="Q623" s="134">
        <v>6</v>
      </c>
      <c r="R623" s="124">
        <f t="shared" ref="R623:R640" ca="1" si="727">IF(NOT(ISERROR($Y623)),IF($Y623&lt;&gt;FALSE,INDEX(Banco,$Y623,7),0),0)</f>
        <v>150.28</v>
      </c>
      <c r="S623" s="136" t="s">
        <v>62</v>
      </c>
      <c r="T623" s="123">
        <f t="shared" ref="T623:T640" ca="1" si="728">IF($J623=$G$2,ROUND(ROUND($R623,2)*IF($R$9="Preço Unitário (R$)",1,1+$AA623),2),0)</f>
        <v>187.85</v>
      </c>
      <c r="U623" s="126">
        <f t="shared" ref="U623:U640" ca="1" si="729">IF($A623="S",VTOTAL1,IF($A623=0,0,ROUND(SomaAgrup,2)))</f>
        <v>1127.0999999999999</v>
      </c>
      <c r="V623" s="1"/>
      <c r="W623" s="39" t="str">
        <f ca="1">IF(OR($A623=0,$A623="S",$A623&gt;CFF!$A$9),"",MAX(W$11:OFFSET(W623,-1,0))+1)</f>
        <v/>
      </c>
      <c r="X623" s="4" t="str">
        <f t="shared" ref="X623:X640" si="730">IF(AND($J623=$G$2,$N623&lt;&gt;"",$M623&lt;&gt;""),CONCATENATE($M623,"-",$N623))</f>
        <v>Rec. Humanos-001</v>
      </c>
      <c r="Y623" s="39">
        <f t="shared" ref="Y623:Y628" ca="1" si="731">IF(X623&lt;&gt;FALSE,MATCH(X623,OFFSET(Banco,0,0,,1),0))</f>
        <v>3</v>
      </c>
      <c r="Z623" s="1"/>
      <c r="AA623" s="133">
        <f>IF($J623=$G$2,ROUND(IF(ISNUMBER(S623),S623,IF(LEFT(S623,2)="DI",HLOOKUP(S623,DADOS!$T$29:$X$30,2,FALSE),0)),4),"")</f>
        <v>0.25</v>
      </c>
      <c r="AB623" s="2"/>
    </row>
    <row r="624" spans="1:28">
      <c r="A624" t="str">
        <f t="shared" si="717"/>
        <v>S</v>
      </c>
      <c r="B624">
        <f t="shared" si="718"/>
        <v>0</v>
      </c>
      <c r="C624">
        <f t="shared" ca="1" si="719"/>
        <v>7</v>
      </c>
      <c r="D624">
        <f t="shared" ca="1" si="720"/>
        <v>10</v>
      </c>
      <c r="E624">
        <f t="shared" ca="1" si="721"/>
        <v>0</v>
      </c>
      <c r="F624">
        <f t="shared" ca="1" si="722"/>
        <v>0</v>
      </c>
      <c r="G624">
        <f t="shared" ca="1" si="723"/>
        <v>2</v>
      </c>
      <c r="H624">
        <f ca="1">IF(OR($A624="S",$A624=0),0,MATCH(0,OFFSET($B624,1,$A624,ROW($A$1504)-ROW($A624)),0))</f>
        <v>0</v>
      </c>
      <c r="I624">
        <f ca="1">IF(OR($A624="S",$A624=0),0,MATCH(OFFSET($B624,0,$A624)+1,OFFSET($B624,1,$A624,ROW($A$1504)-ROW($A624)),0))</f>
        <v>0</v>
      </c>
      <c r="J624" s="132" t="s">
        <v>29</v>
      </c>
      <c r="K624" s="121" t="str">
        <f t="shared" ca="1" si="724"/>
        <v>7.10.2.</v>
      </c>
      <c r="L624" s="137" t="str">
        <f t="shared" ca="1" si="725"/>
        <v>CRESS</v>
      </c>
      <c r="M624" s="122" t="s">
        <v>78</v>
      </c>
      <c r="N624" s="139" t="s">
        <v>152</v>
      </c>
      <c r="O624" s="137" t="str">
        <f t="shared" ref="O624:O638" ca="1" si="732">IF(NOT(ISERROR($Y624)),IF($Y624&lt;&gt;FALSE,INDEX(Banco,$Y624,5),""),"")</f>
        <v>Assistente Social</v>
      </c>
      <c r="P624" s="138" t="str">
        <f t="shared" ca="1" si="726"/>
        <v>Horas</v>
      </c>
      <c r="Q624" s="134">
        <v>4</v>
      </c>
      <c r="R624" s="124">
        <f t="shared" ca="1" si="727"/>
        <v>133.81</v>
      </c>
      <c r="S624" s="136" t="s">
        <v>62</v>
      </c>
      <c r="T624" s="123">
        <f t="shared" ca="1" si="728"/>
        <v>167.26</v>
      </c>
      <c r="U624" s="126">
        <f t="shared" ca="1" si="729"/>
        <v>669.04</v>
      </c>
      <c r="V624" s="1"/>
      <c r="W624" s="39" t="str">
        <f ca="1">IF(OR($A624=0,$A624="S",$A624&gt;CFF!$A$9),"",MAX(W$11:OFFSET(W624,-1,0))+1)</f>
        <v/>
      </c>
      <c r="X624" s="4" t="str">
        <f t="shared" si="730"/>
        <v>Rec. Humanos-002</v>
      </c>
      <c r="Y624" s="39">
        <f t="shared" ca="1" si="731"/>
        <v>4</v>
      </c>
      <c r="Z624" s="1"/>
      <c r="AA624" s="133">
        <f>IF($J624=$G$2,ROUND(IF(ISNUMBER(S624),S624,IF(LEFT(S624,2)="DI",HLOOKUP(S624,DADOS!$T$29:$X$30,2,FALSE),0)),4),"")</f>
        <v>0.25</v>
      </c>
      <c r="AB624" s="2"/>
    </row>
    <row r="625" spans="1:28">
      <c r="A625" t="str">
        <f t="shared" si="717"/>
        <v>S</v>
      </c>
      <c r="B625">
        <f t="shared" si="718"/>
        <v>0</v>
      </c>
      <c r="C625">
        <f t="shared" ca="1" si="719"/>
        <v>7</v>
      </c>
      <c r="D625">
        <f t="shared" ca="1" si="720"/>
        <v>10</v>
      </c>
      <c r="E625">
        <f t="shared" ca="1" si="721"/>
        <v>0</v>
      </c>
      <c r="F625">
        <f t="shared" ca="1" si="722"/>
        <v>0</v>
      </c>
      <c r="G625">
        <f t="shared" ca="1" si="723"/>
        <v>3</v>
      </c>
      <c r="H625">
        <f ca="1">IF(OR($A625="S",$A625=0),0,MATCH(0,OFFSET($B625,1,$A625,ROW($A$1504)-ROW($A625)),0))</f>
        <v>0</v>
      </c>
      <c r="I625">
        <f ca="1">IF(OR($A625="S",$A625=0),0,MATCH(OFFSET($B625,0,$A625)+1,OFFSET($B625,1,$A625,ROW($A$1504)-ROW($A625)),0))</f>
        <v>0</v>
      </c>
      <c r="J625" s="132" t="s">
        <v>29</v>
      </c>
      <c r="K625" s="121" t="str">
        <f t="shared" ca="1" si="724"/>
        <v>7.10.3.</v>
      </c>
      <c r="L625" s="137" t="str">
        <f t="shared" ca="1" si="725"/>
        <v>Cotação</v>
      </c>
      <c r="M625" s="122" t="s">
        <v>78</v>
      </c>
      <c r="N625" s="139" t="s">
        <v>151</v>
      </c>
      <c r="O625" s="137" t="str">
        <f t="shared" ca="1" si="732"/>
        <v xml:space="preserve">Administrador (Técnico de Apoio) </v>
      </c>
      <c r="P625" s="138" t="str">
        <f t="shared" ca="1" si="726"/>
        <v>Horas</v>
      </c>
      <c r="Q625" s="134">
        <v>4</v>
      </c>
      <c r="R625" s="124">
        <f t="shared" ca="1" si="727"/>
        <v>103.65</v>
      </c>
      <c r="S625" s="136" t="s">
        <v>62</v>
      </c>
      <c r="T625" s="123">
        <f t="shared" ca="1" si="728"/>
        <v>129.56</v>
      </c>
      <c r="U625" s="126">
        <f t="shared" ca="1" si="729"/>
        <v>518.24</v>
      </c>
      <c r="V625" s="1"/>
      <c r="W625" s="39" t="str">
        <f ca="1">IF(OR($A625=0,$A625="S",$A625&gt;CFF!$A$9),"",MAX(W$11:OFFSET(W625,-1,0))+1)</f>
        <v/>
      </c>
      <c r="X625" s="4" t="str">
        <f t="shared" si="730"/>
        <v>Rec. Humanos-003</v>
      </c>
      <c r="Y625" s="39">
        <f t="shared" ca="1" si="731"/>
        <v>5</v>
      </c>
      <c r="Z625" s="1"/>
      <c r="AA625" s="133">
        <f>IF($J625=$G$2,ROUND(IF(ISNUMBER(S625),S625,IF(LEFT(S625,2)="DI",HLOOKUP(S625,DADOS!$T$29:$X$30,2,FALSE),0)),4),"")</f>
        <v>0.25</v>
      </c>
      <c r="AB625" s="2"/>
    </row>
    <row r="626" spans="1:28">
      <c r="A626" t="str">
        <f t="shared" si="717"/>
        <v>S</v>
      </c>
      <c r="B626">
        <f t="shared" si="718"/>
        <v>0</v>
      </c>
      <c r="C626">
        <f t="shared" ca="1" si="719"/>
        <v>7</v>
      </c>
      <c r="D626">
        <f t="shared" ca="1" si="720"/>
        <v>10</v>
      </c>
      <c r="E626">
        <f t="shared" ca="1" si="721"/>
        <v>0</v>
      </c>
      <c r="F626">
        <f t="shared" ca="1" si="722"/>
        <v>0</v>
      </c>
      <c r="G626">
        <f t="shared" ca="1" si="723"/>
        <v>4</v>
      </c>
      <c r="H626">
        <f ca="1">IF(OR($A626="S",$A626=0),0,MATCH(0,OFFSET($B626,1,$A626,ROW($A$1504)-ROW($A626)),0))</f>
        <v>0</v>
      </c>
      <c r="I626">
        <f ca="1">IF(OR($A626="S",$A626=0),0,MATCH(OFFSET($B626,0,$A626)+1,OFFSET($B626,1,$A626,ROW($A$1504)-ROW($A626)),0))</f>
        <v>0</v>
      </c>
      <c r="J626" s="132" t="s">
        <v>29</v>
      </c>
      <c r="K626" s="121" t="str">
        <f t="shared" ca="1" si="724"/>
        <v>7.10.4.</v>
      </c>
      <c r="L626" s="137" t="str">
        <f t="shared" ca="1" si="725"/>
        <v>SINE</v>
      </c>
      <c r="M626" s="122" t="s">
        <v>78</v>
      </c>
      <c r="N626" s="139" t="s">
        <v>153</v>
      </c>
      <c r="O626" s="137" t="str">
        <f t="shared" ca="1" si="732"/>
        <v>Estagiários</v>
      </c>
      <c r="P626" s="138" t="str">
        <f t="shared" ca="1" si="726"/>
        <v>Horas</v>
      </c>
      <c r="Q626" s="134">
        <v>10</v>
      </c>
      <c r="R626" s="124">
        <f t="shared" ca="1" si="727"/>
        <v>9.7899999999999991</v>
      </c>
      <c r="S626" s="136" t="s">
        <v>62</v>
      </c>
      <c r="T626" s="123">
        <f t="shared" ca="1" si="728"/>
        <v>12.24</v>
      </c>
      <c r="U626" s="126">
        <f t="shared" ca="1" si="729"/>
        <v>122.4</v>
      </c>
      <c r="V626" s="1"/>
      <c r="W626" s="39" t="str">
        <f ca="1">IF(OR($A626=0,$A626="S",$A626&gt;CFF!$A$9),"",MAX(W$11:OFFSET(W626,-1,0))+1)</f>
        <v/>
      </c>
      <c r="X626" s="4" t="str">
        <f t="shared" si="730"/>
        <v>Rec. Humanos-004</v>
      </c>
      <c r="Y626" s="39">
        <f t="shared" ca="1" si="731"/>
        <v>6</v>
      </c>
      <c r="Z626" s="1"/>
      <c r="AA626" s="133">
        <f>IF($J626=$G$2,ROUND(IF(ISNUMBER(S626),S626,IF(LEFT(S626,2)="DI",HLOOKUP(S626,DADOS!$T$29:$X$30,2,FALSE),0)),4),"")</f>
        <v>0.25</v>
      </c>
      <c r="AB626" s="2"/>
    </row>
    <row r="627" spans="1:28">
      <c r="A627" t="str">
        <f t="shared" si="717"/>
        <v>S</v>
      </c>
      <c r="B627">
        <f t="shared" si="718"/>
        <v>0</v>
      </c>
      <c r="C627">
        <f t="shared" ca="1" si="719"/>
        <v>7</v>
      </c>
      <c r="D627">
        <f t="shared" ca="1" si="720"/>
        <v>10</v>
      </c>
      <c r="E627">
        <f t="shared" ca="1" si="721"/>
        <v>0</v>
      </c>
      <c r="F627">
        <f t="shared" ca="1" si="722"/>
        <v>0</v>
      </c>
      <c r="G627">
        <f t="shared" ca="1" si="723"/>
        <v>5</v>
      </c>
      <c r="H627">
        <f ca="1">IF(OR($A627="S",$A627=0),0,MATCH(0,OFFSET($B627,1,$A627,ROW($A$1504)-ROW($A627)),0))</f>
        <v>0</v>
      </c>
      <c r="I627">
        <f ca="1">IF(OR($A627="S",$A627=0),0,MATCH(OFFSET($B627,0,$A627)+1,OFFSET($B627,1,$A627,ROW($A$1504)-ROW($A627)),0))</f>
        <v>0</v>
      </c>
      <c r="J627" s="132" t="s">
        <v>29</v>
      </c>
      <c r="K627" s="121" t="str">
        <f t="shared" ca="1" si="724"/>
        <v>7.10.5.</v>
      </c>
      <c r="L627" s="137" t="str">
        <f t="shared" ca="1" si="725"/>
        <v>Cotação</v>
      </c>
      <c r="M627" s="122" t="s">
        <v>80</v>
      </c>
      <c r="N627" s="139" t="s">
        <v>149</v>
      </c>
      <c r="O627" s="137" t="str">
        <f t="shared" ca="1" si="732"/>
        <v>Fotocópias</v>
      </c>
      <c r="P627" s="138" t="str">
        <f t="shared" ca="1" si="726"/>
        <v>Unidade</v>
      </c>
      <c r="Q627" s="134">
        <v>150</v>
      </c>
      <c r="R627" s="124">
        <f t="shared" ca="1" si="727"/>
        <v>0.3</v>
      </c>
      <c r="S627" s="136" t="s">
        <v>62</v>
      </c>
      <c r="T627" s="123">
        <f t="shared" ca="1" si="728"/>
        <v>0.38</v>
      </c>
      <c r="U627" s="126">
        <f t="shared" ca="1" si="729"/>
        <v>57</v>
      </c>
      <c r="V627" s="1"/>
      <c r="W627" s="39" t="str">
        <f ca="1">IF(OR($A627=0,$A627="S",$A627&gt;CFF!$A$9),"",MAX(W$11:OFFSET(W627,-1,0))+1)</f>
        <v/>
      </c>
      <c r="X627" s="4" t="str">
        <f t="shared" si="730"/>
        <v>Serv. Terc.-001</v>
      </c>
      <c r="Y627" s="39">
        <f t="shared" ca="1" si="731"/>
        <v>81</v>
      </c>
      <c r="Z627" s="1"/>
      <c r="AA627" s="133">
        <f>IF($J627=$G$2,ROUND(IF(ISNUMBER(S627),S627,IF(LEFT(S627,2)="DI",HLOOKUP(S627,DADOS!$T$29:$X$30,2,FALSE),0)),4),"")</f>
        <v>0.25</v>
      </c>
      <c r="AB627" s="2"/>
    </row>
    <row r="628" spans="1:28">
      <c r="A628" t="str">
        <f t="shared" si="717"/>
        <v>S</v>
      </c>
      <c r="B628">
        <f t="shared" si="718"/>
        <v>0</v>
      </c>
      <c r="C628">
        <f ca="1">IF($A628=1,OFFSET(C628,-1,0)+1,OFFSET(C628,-1,0))</f>
        <v>7</v>
      </c>
      <c r="D628">
        <f ca="1">IF($A628=1,0,IF($A628=2,OFFSET(D628,-1,0)+1,OFFSET(D628,-1,0)))</f>
        <v>10</v>
      </c>
      <c r="E628">
        <f ca="1">IF(AND($A628&lt;=2,$A628&lt;&gt;0),0,IF($A628=3,OFFSET(E628,-1,0)+1,OFFSET(E628,-1,0)))</f>
        <v>0</v>
      </c>
      <c r="F628">
        <f ca="1">IF(AND($A628&lt;=3,$A628&lt;&gt;0),0,IF($A628=4,OFFSET(F628,-1,0)+1,OFFSET(F628,-1,0)))</f>
        <v>0</v>
      </c>
      <c r="G628">
        <f ca="1">IF(AND($A628&lt;=4,$A628&lt;&gt;0),0,IF($A628="S",OFFSET(G628,-1,0)+1,OFFSET(G628,-1,0)))</f>
        <v>6</v>
      </c>
      <c r="H628">
        <f ca="1">IF(OR($A628="S",$A628=0),0,MATCH(0,OFFSET($B628,1,$A628,ROW($A$1504)-ROW($A628)),0))</f>
        <v>0</v>
      </c>
      <c r="I628">
        <f ca="1">IF(OR($A628="S",$A628=0),0,MATCH(OFFSET($B628,0,$A628)+1,OFFSET($B628,1,$A628,ROW($A$1504)-ROW($A628)),0))</f>
        <v>0</v>
      </c>
      <c r="J628" s="132" t="s">
        <v>29</v>
      </c>
      <c r="K628" s="121" t="str">
        <f t="shared" ca="1" si="724"/>
        <v>7.10.6.</v>
      </c>
      <c r="L628" s="137" t="str">
        <f ca="1">IF(NOT(ISERROR($Y628)),IF($Y628&lt;&gt;FALSE,INDEX(Banco,$Y628,4),""),"")</f>
        <v>Cotação</v>
      </c>
      <c r="M628" s="122" t="s">
        <v>80</v>
      </c>
      <c r="N628" s="139" t="s">
        <v>256</v>
      </c>
      <c r="O628" s="137" t="str">
        <f ca="1">IF(NOT(ISERROR($Y628)),IF($Y628&lt;&gt;FALSE,INDEX(Banco,$Y628,5),""),"")</f>
        <v>Instrutor/Monitor (Educação Fisíca)</v>
      </c>
      <c r="P628" s="138" t="str">
        <f ca="1">IF(NOT(ISERROR($Y628)),IF($Y628&lt;&gt;FALSE,INDEX(Banco,$Y628,6),""),"")</f>
        <v>Horas</v>
      </c>
      <c r="Q628" s="134">
        <v>3</v>
      </c>
      <c r="R628" s="124">
        <f ca="1">IF(NOT(ISERROR($Y628)),IF($Y628&lt;&gt;FALSE,INDEX(Banco,$Y628,7),0),0)</f>
        <v>100</v>
      </c>
      <c r="S628" s="136" t="s">
        <v>62</v>
      </c>
      <c r="T628" s="123">
        <f ca="1">IF($J628=$G$2,ROUND(ROUND($R628,2)*IF($R$9="Preço Unitário (R$)",1,1+$AA628),2),0)</f>
        <v>125</v>
      </c>
      <c r="U628" s="126">
        <f ca="1">IF($A628="S",VTOTAL1,IF($A628=0,0,ROUND(SomaAgrup,2)))</f>
        <v>375</v>
      </c>
      <c r="V628" s="1"/>
      <c r="W628" s="39" t="str">
        <f ca="1">IF(OR($A628=0,$A628="S",$A628&gt;CFF!$A$9),"",MAX(W$11:OFFSET(W628,-1,0))+1)</f>
        <v/>
      </c>
      <c r="X628" s="4" t="str">
        <f>IF(AND($J628=$G$2,$N628&lt;&gt;"",$M628&lt;&gt;""),CONCATENATE($M628,"-",$N628))</f>
        <v>Serv. Terc.-017</v>
      </c>
      <c r="Y628" s="39">
        <f t="shared" ca="1" si="731"/>
        <v>97</v>
      </c>
      <c r="Z628" s="1"/>
      <c r="AA628" s="133">
        <f>IF($J628=$G$2,ROUND(IF(ISNUMBER(S628),S628,IF(LEFT(S628,2)="DI",HLOOKUP(S628,DADOS!$T$29:$X$30,2,FALSE),0)),4),"")</f>
        <v>0.25</v>
      </c>
      <c r="AB628" s="2"/>
    </row>
    <row r="629" spans="1:28">
      <c r="A629" t="str">
        <f t="shared" ref="A629:A640" si="733">CHOOSE(1+LOG(1+2*(J629=$C$2)+4*(J629=$D$2)+8*(J629=$E$2)+16*(J629=$F$2)+32*(J629=$G$2),2),0,1,2,3,4,"S")</f>
        <v>S</v>
      </c>
      <c r="B629">
        <f t="shared" ref="B629:B640" si="734">IF(OR(A629="S",A629=0),0,IF(ISERROR(I629),H629,SMALL(H629:I629,1)))</f>
        <v>0</v>
      </c>
      <c r="C629">
        <f t="shared" ca="1" si="719"/>
        <v>7</v>
      </c>
      <c r="D629">
        <f t="shared" ca="1" si="720"/>
        <v>10</v>
      </c>
      <c r="E629">
        <f t="shared" ca="1" si="721"/>
        <v>0</v>
      </c>
      <c r="F629">
        <f t="shared" ca="1" si="722"/>
        <v>0</v>
      </c>
      <c r="G629">
        <f t="shared" ca="1" si="723"/>
        <v>7</v>
      </c>
      <c r="H629">
        <f ca="1">IF(OR($A629="S",$A629=0),0,MATCH(0,OFFSET($B629,1,$A629,ROW($A$1504)-ROW($A629)),0))</f>
        <v>0</v>
      </c>
      <c r="I629">
        <f ca="1">IF(OR($A629="S",$A629=0),0,MATCH(OFFSET($B629,0,$A629)+1,OFFSET($B629,1,$A629,ROW($A$1504)-ROW($A629)),0))</f>
        <v>0</v>
      </c>
      <c r="J629" s="132" t="s">
        <v>29</v>
      </c>
      <c r="K629" s="121" t="str">
        <f t="shared" ref="K629:K640" ca="1" si="735">IF($A629=0,"-",CONCATENATE(C629&amp;".",IF(AND($A$5&gt;=2,$A629&gt;=2),D629&amp;".",""),IF(AND($A$5&gt;=3,$A629&gt;=3),E629&amp;".",""),IF(AND($A$5&gt;=4,$A629&gt;=4),F629&amp;".",""),IF($A629="S",G629&amp;".","")))</f>
        <v>7.10.7.</v>
      </c>
      <c r="L629" s="137" t="str">
        <f t="shared" ca="1" si="725"/>
        <v>Cotação</v>
      </c>
      <c r="M629" s="122" t="s">
        <v>80</v>
      </c>
      <c r="N629" s="139" t="s">
        <v>152</v>
      </c>
      <c r="O629" s="137" t="str">
        <f t="shared" ca="1" si="732"/>
        <v>Carro de som com gravação de vinheta</v>
      </c>
      <c r="P629" s="138" t="str">
        <f t="shared" ca="1" si="726"/>
        <v>Horas</v>
      </c>
      <c r="Q629" s="134">
        <v>3</v>
      </c>
      <c r="R629" s="124">
        <f t="shared" ca="1" si="727"/>
        <v>200</v>
      </c>
      <c r="S629" s="136" t="s">
        <v>62</v>
      </c>
      <c r="T629" s="123">
        <f t="shared" ca="1" si="728"/>
        <v>250</v>
      </c>
      <c r="U629" s="126">
        <f t="shared" ca="1" si="729"/>
        <v>750</v>
      </c>
      <c r="V629" s="1"/>
      <c r="W629" s="39" t="str">
        <f ca="1">IF(OR($A629=0,$A629="S",$A629&gt;CFF!$A$9),"",MAX(W$11:OFFSET(W629,-1,0))+1)</f>
        <v/>
      </c>
      <c r="X629" s="4" t="str">
        <f t="shared" si="730"/>
        <v>Serv. Terc.-002</v>
      </c>
      <c r="Y629" s="39">
        <f t="shared" ref="Y629:Y640" ca="1" si="736">IF(X629&lt;&gt;FALSE,MATCH(X629,OFFSET(Banco,0,0,,1),0))</f>
        <v>82</v>
      </c>
      <c r="Z629" s="1"/>
      <c r="AA629" s="133">
        <f>IF($J629=$G$2,ROUND(IF(ISNUMBER(S629),S629,IF(LEFT(S629,2)="DI",HLOOKUP(S629,DADOS!$T$29:$X$30,2,FALSE),0)),4),"")</f>
        <v>0.25</v>
      </c>
      <c r="AB629" s="2"/>
    </row>
    <row r="630" spans="1:28">
      <c r="A630" t="str">
        <f t="shared" si="733"/>
        <v>S</v>
      </c>
      <c r="B630">
        <f t="shared" si="734"/>
        <v>0</v>
      </c>
      <c r="C630">
        <f t="shared" ca="1" si="719"/>
        <v>7</v>
      </c>
      <c r="D630">
        <f t="shared" ca="1" si="720"/>
        <v>10</v>
      </c>
      <c r="E630">
        <f t="shared" ca="1" si="721"/>
        <v>0</v>
      </c>
      <c r="F630">
        <f t="shared" ca="1" si="722"/>
        <v>0</v>
      </c>
      <c r="G630">
        <f t="shared" ca="1" si="723"/>
        <v>8</v>
      </c>
      <c r="H630">
        <f ca="1">IF(OR($A630="S",$A630=0),0,MATCH(0,OFFSET($B630,1,$A630,ROW($A$1504)-ROW($A630)),0))</f>
        <v>0</v>
      </c>
      <c r="I630">
        <f ca="1">IF(OR($A630="S",$A630=0),0,MATCH(OFFSET($B630,0,$A630)+1,OFFSET($B630,1,$A630,ROW($A$1504)-ROW($A630)),0))</f>
        <v>0</v>
      </c>
      <c r="J630" s="132" t="s">
        <v>29</v>
      </c>
      <c r="K630" s="121" t="str">
        <f t="shared" ca="1" si="735"/>
        <v>7.10.8.</v>
      </c>
      <c r="L630" s="137" t="str">
        <f t="shared" ca="1" si="725"/>
        <v>Cotação</v>
      </c>
      <c r="M630" s="122" t="s">
        <v>80</v>
      </c>
      <c r="N630" s="139" t="s">
        <v>154</v>
      </c>
      <c r="O630" s="137" t="str">
        <f t="shared" ca="1" si="732"/>
        <v>Locação de caixa térmica</v>
      </c>
      <c r="P630" s="138" t="str">
        <f t="shared" ca="1" si="726"/>
        <v>Unidade</v>
      </c>
      <c r="Q630" s="134">
        <v>1</v>
      </c>
      <c r="R630" s="124">
        <f t="shared" ca="1" si="727"/>
        <v>40</v>
      </c>
      <c r="S630" s="136" t="s">
        <v>62</v>
      </c>
      <c r="T630" s="123">
        <f t="shared" ca="1" si="728"/>
        <v>50</v>
      </c>
      <c r="U630" s="126">
        <f t="shared" ca="1" si="729"/>
        <v>50</v>
      </c>
      <c r="V630" s="1"/>
      <c r="W630" s="39" t="str">
        <f ca="1">IF(OR($A630=0,$A630="S",$A630&gt;CFF!$A$9),"",MAX(W$11:OFFSET(W630,-1,0))+1)</f>
        <v/>
      </c>
      <c r="X630" s="4" t="str">
        <f t="shared" si="730"/>
        <v>Serv. Terc.-005</v>
      </c>
      <c r="Y630" s="39">
        <f t="shared" ca="1" si="736"/>
        <v>85</v>
      </c>
      <c r="Z630" s="1"/>
      <c r="AA630" s="133">
        <f>IF($J630=$G$2,ROUND(IF(ISNUMBER(S630),S630,IF(LEFT(S630,2)="DI",HLOOKUP(S630,DADOS!$T$29:$X$30,2,FALSE),0)),4),"")</f>
        <v>0.25</v>
      </c>
      <c r="AB630" s="2"/>
    </row>
    <row r="631" spans="1:28">
      <c r="A631" t="str">
        <f t="shared" si="733"/>
        <v>S</v>
      </c>
      <c r="B631">
        <f t="shared" si="734"/>
        <v>0</v>
      </c>
      <c r="C631">
        <f t="shared" ca="1" si="719"/>
        <v>7</v>
      </c>
      <c r="D631">
        <f t="shared" ca="1" si="720"/>
        <v>10</v>
      </c>
      <c r="E631">
        <f t="shared" ca="1" si="721"/>
        <v>0</v>
      </c>
      <c r="F631">
        <f t="shared" ca="1" si="722"/>
        <v>0</v>
      </c>
      <c r="G631">
        <f t="shared" ca="1" si="723"/>
        <v>9</v>
      </c>
      <c r="H631">
        <f ca="1">IF(OR($A631="S",$A631=0),0,MATCH(0,OFFSET($B631,1,$A631,ROW($A$1504)-ROW($A631)),0))</f>
        <v>0</v>
      </c>
      <c r="I631">
        <f ca="1">IF(OR($A631="S",$A631=0),0,MATCH(OFFSET($B631,0,$A631)+1,OFFSET($B631,1,$A631,ROW($A$1504)-ROW($A631)),0))</f>
        <v>0</v>
      </c>
      <c r="J631" s="132" t="s">
        <v>29</v>
      </c>
      <c r="K631" s="121" t="str">
        <f t="shared" ca="1" si="735"/>
        <v>7.10.9.</v>
      </c>
      <c r="L631" s="137" t="str">
        <f t="shared" ca="1" si="725"/>
        <v>Cotação</v>
      </c>
      <c r="M631" s="122" t="s">
        <v>80</v>
      </c>
      <c r="N631" s="139" t="s">
        <v>157</v>
      </c>
      <c r="O631" s="137" t="str">
        <f t="shared" ca="1" si="732"/>
        <v>Locação de pula-pula com monitor</v>
      </c>
      <c r="P631" s="138" t="str">
        <f t="shared" ca="1" si="726"/>
        <v>Unidade</v>
      </c>
      <c r="Q631" s="134">
        <v>1</v>
      </c>
      <c r="R631" s="124">
        <f t="shared" ca="1" si="727"/>
        <v>220</v>
      </c>
      <c r="S631" s="136" t="s">
        <v>62</v>
      </c>
      <c r="T631" s="123">
        <f t="shared" ca="1" si="728"/>
        <v>275</v>
      </c>
      <c r="U631" s="126">
        <f t="shared" ca="1" si="729"/>
        <v>275</v>
      </c>
      <c r="V631" s="1"/>
      <c r="W631" s="39" t="str">
        <f ca="1">IF(OR($A631=0,$A631="S",$A631&gt;CFF!$A$9),"",MAX(W$11:OFFSET(W631,-1,0))+1)</f>
        <v/>
      </c>
      <c r="X631" s="4" t="str">
        <f t="shared" si="730"/>
        <v>Serv. Terc.-008</v>
      </c>
      <c r="Y631" s="39">
        <f t="shared" ca="1" si="736"/>
        <v>88</v>
      </c>
      <c r="Z631" s="1"/>
      <c r="AA631" s="133">
        <f>IF($J631=$G$2,ROUND(IF(ISNUMBER(S631),S631,IF(LEFT(S631,2)="DI",HLOOKUP(S631,DADOS!$T$29:$X$30,2,FALSE),0)),4),"")</f>
        <v>0.25</v>
      </c>
      <c r="AB631" s="2"/>
    </row>
    <row r="632" spans="1:28">
      <c r="A632" t="str">
        <f t="shared" si="733"/>
        <v>S</v>
      </c>
      <c r="B632">
        <f t="shared" si="734"/>
        <v>0</v>
      </c>
      <c r="C632">
        <f t="shared" ca="1" si="719"/>
        <v>7</v>
      </c>
      <c r="D632">
        <f t="shared" ca="1" si="720"/>
        <v>10</v>
      </c>
      <c r="E632">
        <f t="shared" ca="1" si="721"/>
        <v>0</v>
      </c>
      <c r="F632">
        <f t="shared" ca="1" si="722"/>
        <v>0</v>
      </c>
      <c r="G632">
        <f t="shared" ca="1" si="723"/>
        <v>10</v>
      </c>
      <c r="H632">
        <f ca="1">IF(OR($A632="S",$A632=0),0,MATCH(0,OFFSET($B632,1,$A632,ROW($A$1504)-ROW($A632)),0))</f>
        <v>0</v>
      </c>
      <c r="I632">
        <f ca="1">IF(OR($A632="S",$A632=0),0,MATCH(OFFSET($B632,0,$A632)+1,OFFSET($B632,1,$A632,ROW($A$1504)-ROW($A632)),0))</f>
        <v>0</v>
      </c>
      <c r="J632" s="132" t="s">
        <v>29</v>
      </c>
      <c r="K632" s="121" t="str">
        <f t="shared" ca="1" si="735"/>
        <v>7.10.10.</v>
      </c>
      <c r="L632" s="137" t="str">
        <f t="shared" ca="1" si="725"/>
        <v xml:space="preserve">Cotação </v>
      </c>
      <c r="M632" s="122" t="s">
        <v>80</v>
      </c>
      <c r="N632" s="139" t="s">
        <v>160</v>
      </c>
      <c r="O632" s="137" t="str">
        <f t="shared" ca="1" si="732"/>
        <v>Barra de gelo</v>
      </c>
      <c r="P632" s="138" t="str">
        <f t="shared" ca="1" si="726"/>
        <v>Unidade</v>
      </c>
      <c r="Q632" s="134">
        <v>2</v>
      </c>
      <c r="R632" s="124">
        <f t="shared" ca="1" si="727"/>
        <v>12</v>
      </c>
      <c r="S632" s="136" t="s">
        <v>62</v>
      </c>
      <c r="T632" s="123">
        <f t="shared" ca="1" si="728"/>
        <v>15</v>
      </c>
      <c r="U632" s="126">
        <f t="shared" ca="1" si="729"/>
        <v>30</v>
      </c>
      <c r="V632" s="1"/>
      <c r="W632" s="39" t="str">
        <f ca="1">IF(OR($A632=0,$A632="S",$A632&gt;CFF!$A$9),"",MAX(W$11:OFFSET(W632,-1,0))+1)</f>
        <v/>
      </c>
      <c r="X632" s="4" t="str">
        <f t="shared" si="730"/>
        <v>Serv. Terc.-011</v>
      </c>
      <c r="Y632" s="39">
        <f t="shared" ca="1" si="736"/>
        <v>91</v>
      </c>
      <c r="Z632" s="1"/>
      <c r="AA632" s="133">
        <f>IF($J632=$G$2,ROUND(IF(ISNUMBER(S632),S632,IF(LEFT(S632,2)="DI",HLOOKUP(S632,DADOS!$T$29:$X$30,2,FALSE),0)),4),"")</f>
        <v>0.25</v>
      </c>
      <c r="AB632" s="2"/>
    </row>
    <row r="633" spans="1:28">
      <c r="A633" t="str">
        <f t="shared" si="733"/>
        <v>S</v>
      </c>
      <c r="B633">
        <f t="shared" si="734"/>
        <v>0</v>
      </c>
      <c r="C633">
        <f t="shared" ca="1" si="719"/>
        <v>7</v>
      </c>
      <c r="D633">
        <f t="shared" ca="1" si="720"/>
        <v>10</v>
      </c>
      <c r="E633">
        <f t="shared" ca="1" si="721"/>
        <v>0</v>
      </c>
      <c r="F633">
        <f t="shared" ca="1" si="722"/>
        <v>0</v>
      </c>
      <c r="G633">
        <f t="shared" ca="1" si="723"/>
        <v>11</v>
      </c>
      <c r="H633">
        <f ca="1">IF(OR($A633="S",$A633=0),0,MATCH(0,OFFSET($B633,1,$A633,ROW($A$1504)-ROW($A633)),0))</f>
        <v>0</v>
      </c>
      <c r="I633">
        <f ca="1">IF(OR($A633="S",$A633=0),0,MATCH(OFFSET($B633,0,$A633)+1,OFFSET($B633,1,$A633,ROW($A$1504)-ROW($A633)),0))</f>
        <v>0</v>
      </c>
      <c r="J633" s="132" t="s">
        <v>29</v>
      </c>
      <c r="K633" s="121" t="str">
        <f t="shared" ca="1" si="735"/>
        <v>7.10.11.</v>
      </c>
      <c r="L633" s="137" t="str">
        <f t="shared" ca="1" si="725"/>
        <v>Cotação</v>
      </c>
      <c r="M633" s="122" t="s">
        <v>80</v>
      </c>
      <c r="N633" s="139" t="s">
        <v>150</v>
      </c>
      <c r="O633" s="137" t="str">
        <f t="shared" ca="1" si="732"/>
        <v>Sucos</v>
      </c>
      <c r="P633" s="138" t="str">
        <f t="shared" ca="1" si="726"/>
        <v>Unidade</v>
      </c>
      <c r="Q633" s="134">
        <v>6</v>
      </c>
      <c r="R633" s="124">
        <f t="shared" ca="1" si="727"/>
        <v>6.4</v>
      </c>
      <c r="S633" s="136" t="s">
        <v>62</v>
      </c>
      <c r="T633" s="123">
        <f t="shared" ca="1" si="728"/>
        <v>8</v>
      </c>
      <c r="U633" s="126">
        <f t="shared" ca="1" si="729"/>
        <v>48</v>
      </c>
      <c r="V633" s="1"/>
      <c r="W633" s="39" t="str">
        <f ca="1">IF(OR($A633=0,$A633="S",$A633&gt;CFF!$A$9),"",MAX(W$11:OFFSET(W633,-1,0))+1)</f>
        <v/>
      </c>
      <c r="X633" s="4" t="str">
        <f t="shared" si="730"/>
        <v>Serv. Terc.-013</v>
      </c>
      <c r="Y633" s="39">
        <f t="shared" ca="1" si="736"/>
        <v>93</v>
      </c>
      <c r="Z633" s="1"/>
      <c r="AA633" s="133">
        <f>IF($J633=$G$2,ROUND(IF(ISNUMBER(S633),S633,IF(LEFT(S633,2)="DI",HLOOKUP(S633,DADOS!$T$29:$X$30,2,FALSE),0)),4),"")</f>
        <v>0.25</v>
      </c>
      <c r="AB633" s="2"/>
    </row>
    <row r="634" spans="1:28">
      <c r="A634" t="str">
        <f>CHOOSE(1+LOG(1+2*(J634=$C$2)+4*(J634=$D$2)+8*(J634=$E$2)+16*(J634=$F$2)+32*(J634=$G$2),2),0,1,2,3,4,"S")</f>
        <v>S</v>
      </c>
      <c r="B634">
        <f>IF(OR(A634="S",A634=0),0,IF(ISERROR(I634),H634,SMALL(H634:I634,1)))</f>
        <v>0</v>
      </c>
      <c r="C634">
        <f ca="1">IF($A634=1,OFFSET(C634,-1,0)+1,OFFSET(C634,-1,0))</f>
        <v>7</v>
      </c>
      <c r="D634">
        <f ca="1">IF($A634=1,0,IF($A634=2,OFFSET(D634,-1,0)+1,OFFSET(D634,-1,0)))</f>
        <v>10</v>
      </c>
      <c r="E634">
        <f ca="1">IF(AND($A634&lt;=2,$A634&lt;&gt;0),0,IF($A634=3,OFFSET(E634,-1,0)+1,OFFSET(E634,-1,0)))</f>
        <v>0</v>
      </c>
      <c r="F634">
        <f ca="1">IF(AND($A634&lt;=3,$A634&lt;&gt;0),0,IF($A634=4,OFFSET(F634,-1,0)+1,OFFSET(F634,-1,0)))</f>
        <v>0</v>
      </c>
      <c r="G634">
        <f ca="1">IF(AND($A634&lt;=4,$A634&lt;&gt;0),0,IF($A634="S",OFFSET(G634,-1,0)+1,OFFSET(G634,-1,0)))</f>
        <v>12</v>
      </c>
      <c r="H634">
        <f ca="1">IF(OR($A634="S",$A634=0),0,MATCH(0,OFFSET($B634,1,$A634,ROW($A$1504)-ROW($A634)),0))</f>
        <v>0</v>
      </c>
      <c r="I634">
        <f ca="1">IF(OR($A634="S",$A634=0),0,MATCH(OFFSET($B634,0,$A634)+1,OFFSET($B634,1,$A634,ROW($A$1504)-ROW($A634)),0))</f>
        <v>0</v>
      </c>
      <c r="J634" s="132" t="s">
        <v>29</v>
      </c>
      <c r="K634" s="121" t="str">
        <f ca="1">IF($A634=0,"-",CONCATENATE(C634&amp;".",IF(AND($A$5&gt;=2,$A634&gt;=2),D634&amp;".",""),IF(AND($A$5&gt;=3,$A634&gt;=3),E634&amp;".",""),IF(AND($A$5&gt;=4,$A634&gt;=4),F634&amp;".",""),IF($A634="S",G634&amp;".","")))</f>
        <v>7.10.12.</v>
      </c>
      <c r="L634" s="137" t="str">
        <f ca="1">IF(NOT(ISERROR($Y634)),IF($Y634&lt;&gt;FALSE,INDEX(Banco,$Y634,4),""),"")</f>
        <v>Cotação</v>
      </c>
      <c r="M634" s="122" t="s">
        <v>80</v>
      </c>
      <c r="N634" s="139" t="s">
        <v>171</v>
      </c>
      <c r="O634" s="137" t="str">
        <f ca="1">IF(NOT(ISERROR($Y634)),IF($Y634&lt;&gt;FALSE,INDEX(Banco,$Y634,5),""),"")</f>
        <v xml:space="preserve">Refrigerantes (02 litros) </v>
      </c>
      <c r="P634" s="138" t="str">
        <f ca="1">IF(NOT(ISERROR($Y634)),IF($Y634&lt;&gt;FALSE,INDEX(Banco,$Y634,6),""),"")</f>
        <v>Unidade</v>
      </c>
      <c r="Q634" s="134">
        <v>10</v>
      </c>
      <c r="R634" s="124">
        <f ca="1">IF(NOT(ISERROR($Y634)),IF($Y634&lt;&gt;FALSE,INDEX(Banco,$Y634,7),0),0)</f>
        <v>6</v>
      </c>
      <c r="S634" s="136" t="s">
        <v>62</v>
      </c>
      <c r="T634" s="123">
        <f ca="1">IF($J634=$G$2,ROUND(ROUND($R634,2)*IF($R$9="Preço Unitário (R$)",1,1+$AA634),2),0)</f>
        <v>7.5</v>
      </c>
      <c r="U634" s="126">
        <f ca="1">IF($A634="S",VTOTAL1,IF($A634=0,0,ROUND(SomaAgrup,2)))</f>
        <v>75</v>
      </c>
      <c r="V634" s="1"/>
      <c r="W634" s="39" t="str">
        <f ca="1">IF(OR($A634=0,$A634="S",$A634&gt;CFF!$A$9),"",MAX(W$11:OFFSET(W634,-1,0))+1)</f>
        <v/>
      </c>
      <c r="X634" s="4" t="str">
        <f>IF(AND($J634=$G$2,$N634&lt;&gt;"",$M634&lt;&gt;""),CONCATENATE($M634,"-",$N634))</f>
        <v>Serv. Terc.-027</v>
      </c>
      <c r="Y634" s="39">
        <f ca="1">IF(X634&lt;&gt;FALSE,MATCH(X634,OFFSET(Banco,0,0,,1),0))</f>
        <v>107</v>
      </c>
      <c r="Z634" s="1"/>
      <c r="AA634" s="133">
        <f>IF($J634=$G$2,ROUND(IF(ISNUMBER(S634),S634,IF(LEFT(S634,2)="DI",HLOOKUP(S634,DADOS!$T$29:$X$30,2,FALSE),0)),4),"")</f>
        <v>0.25</v>
      </c>
      <c r="AB634" s="2"/>
    </row>
    <row r="635" spans="1:28">
      <c r="A635" t="str">
        <f t="shared" si="733"/>
        <v>S</v>
      </c>
      <c r="B635">
        <f t="shared" si="734"/>
        <v>0</v>
      </c>
      <c r="C635">
        <f ca="1">IF($A635=1,OFFSET(C635,-1,0)+1,OFFSET(C635,-1,0))</f>
        <v>7</v>
      </c>
      <c r="D635">
        <f ca="1">IF($A635=1,0,IF($A635=2,OFFSET(D635,-1,0)+1,OFFSET(D635,-1,0)))</f>
        <v>10</v>
      </c>
      <c r="E635">
        <f ca="1">IF(AND($A635&lt;=2,$A635&lt;&gt;0),0,IF($A635=3,OFFSET(E635,-1,0)+1,OFFSET(E635,-1,0)))</f>
        <v>0</v>
      </c>
      <c r="F635">
        <f ca="1">IF(AND($A635&lt;=3,$A635&lt;&gt;0),0,IF($A635=4,OFFSET(F635,-1,0)+1,OFFSET(F635,-1,0)))</f>
        <v>0</v>
      </c>
      <c r="G635">
        <f ca="1">IF(AND($A635&lt;=4,$A635&lt;&gt;0),0,IF($A635="S",OFFSET(G635,-1,0)+1,OFFSET(G635,-1,0)))</f>
        <v>13</v>
      </c>
      <c r="H635">
        <f ca="1">IF(OR($A635="S",$A635=0),0,MATCH(0,OFFSET($B635,1,$A635,ROW($A$1504)-ROW($A635)),0))</f>
        <v>0</v>
      </c>
      <c r="I635">
        <f ca="1">IF(OR($A635="S",$A635=0),0,MATCH(OFFSET($B635,0,$A635)+1,OFFSET($B635,1,$A635,ROW($A$1504)-ROW($A635)),0))</f>
        <v>0</v>
      </c>
      <c r="J635" s="132" t="s">
        <v>29</v>
      </c>
      <c r="K635" s="121" t="str">
        <f t="shared" ca="1" si="735"/>
        <v>7.10.13.</v>
      </c>
      <c r="L635" s="137" t="str">
        <f ca="1">IF(NOT(ISERROR($Y635)),IF($Y635&lt;&gt;FALSE,INDEX(Banco,$Y635,4),""),"")</f>
        <v xml:space="preserve">Cotação </v>
      </c>
      <c r="M635" s="122" t="s">
        <v>80</v>
      </c>
      <c r="N635" s="139" t="s">
        <v>159</v>
      </c>
      <c r="O635" s="137" t="str">
        <f ca="1">IF(NOT(ISERROR($Y635)),IF($Y635&lt;&gt;FALSE,INDEX(Banco,$Y635,5),""),"")</f>
        <v>Brindes ( descrição nos orçamentos e PTS)</v>
      </c>
      <c r="P635" s="138" t="str">
        <f ca="1">IF(NOT(ISERROR($Y635)),IF($Y635&lt;&gt;FALSE,INDEX(Banco,$Y635,6),""),"")</f>
        <v>Unidade</v>
      </c>
      <c r="Q635" s="134">
        <v>4</v>
      </c>
      <c r="R635" s="124">
        <f ca="1">IF(NOT(ISERROR($Y635)),IF($Y635&lt;&gt;FALSE,INDEX(Banco,$Y635,7),0),0)</f>
        <v>120</v>
      </c>
      <c r="S635" s="136" t="s">
        <v>62</v>
      </c>
      <c r="T635" s="123">
        <f ca="1">IF($J635=$G$2,ROUND(ROUND($R635,2)*IF($R$9="Preço Unitário (R$)",1,1+$AA635),2),0)</f>
        <v>150</v>
      </c>
      <c r="U635" s="126">
        <f ca="1">IF($A635="S",VTOTAL1,IF($A635=0,0,ROUND(SomaAgrup,2)))</f>
        <v>600</v>
      </c>
      <c r="V635" s="1"/>
      <c r="W635" s="39" t="str">
        <f ca="1">IF(OR($A635=0,$A635="S",$A635&gt;CFF!$A$9),"",MAX(W$11:OFFSET(W635,-1,0))+1)</f>
        <v/>
      </c>
      <c r="X635" s="4" t="str">
        <f>IF(AND($J635=$G$2,$N635&lt;&gt;"",$M635&lt;&gt;""),CONCATENATE($M635,"-",$N635))</f>
        <v>Serv. Terc.-010</v>
      </c>
      <c r="Y635" s="39">
        <f t="shared" ca="1" si="736"/>
        <v>90</v>
      </c>
      <c r="Z635" s="1"/>
      <c r="AA635" s="133">
        <f>IF($J635=$G$2,ROUND(IF(ISNUMBER(S635),S635,IF(LEFT(S635,2)="DI",HLOOKUP(S635,DADOS!$T$29:$X$30,2,FALSE),0)),4),"")</f>
        <v>0.25</v>
      </c>
      <c r="AB635" s="2"/>
    </row>
    <row r="636" spans="1:28">
      <c r="A636" t="str">
        <f t="shared" si="733"/>
        <v>S</v>
      </c>
      <c r="B636">
        <f t="shared" si="734"/>
        <v>0</v>
      </c>
      <c r="C636">
        <f t="shared" ca="1" si="719"/>
        <v>7</v>
      </c>
      <c r="D636">
        <f t="shared" ca="1" si="720"/>
        <v>10</v>
      </c>
      <c r="E636">
        <f t="shared" ca="1" si="721"/>
        <v>0</v>
      </c>
      <c r="F636">
        <f t="shared" ca="1" si="722"/>
        <v>0</v>
      </c>
      <c r="G636">
        <f t="shared" ca="1" si="723"/>
        <v>14</v>
      </c>
      <c r="H636">
        <f ca="1">IF(OR($A636="S",$A636=0),0,MATCH(0,OFFSET($B636,1,$A636,ROW($A$1504)-ROW($A636)),0))</f>
        <v>0</v>
      </c>
      <c r="I636">
        <f ca="1">IF(OR($A636="S",$A636=0),0,MATCH(OFFSET($B636,0,$A636)+1,OFFSET($B636,1,$A636,ROW($A$1504)-ROW($A636)),0))</f>
        <v>0</v>
      </c>
      <c r="J636" s="132" t="s">
        <v>29</v>
      </c>
      <c r="K636" s="121" t="str">
        <f t="shared" ca="1" si="735"/>
        <v>7.10.14.</v>
      </c>
      <c r="L636" s="137" t="str">
        <f t="shared" ca="1" si="725"/>
        <v>Cotação</v>
      </c>
      <c r="M636" s="122" t="s">
        <v>80</v>
      </c>
      <c r="N636" s="139" t="s">
        <v>162</v>
      </c>
      <c r="O636" s="137" t="str">
        <f t="shared" ca="1" si="732"/>
        <v>Coffee break (salgados)</v>
      </c>
      <c r="P636" s="138" t="str">
        <f t="shared" ca="1" si="726"/>
        <v>Centro</v>
      </c>
      <c r="Q636" s="134">
        <v>8</v>
      </c>
      <c r="R636" s="124">
        <f t="shared" ca="1" si="727"/>
        <v>65</v>
      </c>
      <c r="S636" s="136" t="s">
        <v>62</v>
      </c>
      <c r="T636" s="123">
        <f t="shared" ca="1" si="728"/>
        <v>81.25</v>
      </c>
      <c r="U636" s="126">
        <f t="shared" ca="1" si="729"/>
        <v>650</v>
      </c>
      <c r="V636" s="1"/>
      <c r="W636" s="39" t="str">
        <f ca="1">IF(OR($A636=0,$A636="S",$A636&gt;CFF!$A$9),"",MAX(W$11:OFFSET(W636,-1,0))+1)</f>
        <v/>
      </c>
      <c r="X636" s="4" t="str">
        <f t="shared" si="730"/>
        <v>Serv. Terc.-015</v>
      </c>
      <c r="Y636" s="39">
        <f t="shared" ca="1" si="736"/>
        <v>95</v>
      </c>
      <c r="Z636" s="1"/>
      <c r="AA636" s="133">
        <f>IF($J636=$G$2,ROUND(IF(ISNUMBER(S636),S636,IF(LEFT(S636,2)="DI",HLOOKUP(S636,DADOS!$T$29:$X$30,2,FALSE),0)),4),"")</f>
        <v>0.25</v>
      </c>
      <c r="AB636" s="2"/>
    </row>
    <row r="637" spans="1:28">
      <c r="A637" t="str">
        <f t="shared" si="733"/>
        <v>S</v>
      </c>
      <c r="B637">
        <f t="shared" si="734"/>
        <v>0</v>
      </c>
      <c r="C637">
        <f ca="1">IF($A637=1,OFFSET(C637,-1,0)+1,OFFSET(C637,-1,0))</f>
        <v>7</v>
      </c>
      <c r="D637">
        <f ca="1">IF($A637=1,0,IF($A637=2,OFFSET(D637,-1,0)+1,OFFSET(D637,-1,0)))</f>
        <v>10</v>
      </c>
      <c r="E637">
        <f ca="1">IF(AND($A637&lt;=2,$A637&lt;&gt;0),0,IF($A637=3,OFFSET(E637,-1,0)+1,OFFSET(E637,-1,0)))</f>
        <v>0</v>
      </c>
      <c r="F637">
        <f ca="1">IF(AND($A637&lt;=3,$A637&lt;&gt;0),0,IF($A637=4,OFFSET(F637,-1,0)+1,OFFSET(F637,-1,0)))</f>
        <v>0</v>
      </c>
      <c r="G637">
        <f ca="1">IF(AND($A637&lt;=4,$A637&lt;&gt;0),0,IF($A637="S",OFFSET(G637,-1,0)+1,OFFSET(G637,-1,0)))</f>
        <v>15</v>
      </c>
      <c r="H637">
        <f ca="1">IF(OR($A637="S",$A637=0),0,MATCH(0,OFFSET($B637,1,$A637,ROW($A$1504)-ROW($A637)),0))</f>
        <v>0</v>
      </c>
      <c r="I637">
        <f ca="1">IF(OR($A637="S",$A637=0),0,MATCH(OFFSET($B637,0,$A637)+1,OFFSET($B637,1,$A637,ROW($A$1504)-ROW($A637)),0))</f>
        <v>0</v>
      </c>
      <c r="J637" s="132" t="s">
        <v>29</v>
      </c>
      <c r="K637" s="121" t="str">
        <f t="shared" ca="1" si="735"/>
        <v>7.10.15.</v>
      </c>
      <c r="L637" s="137" t="str">
        <f ca="1">IF(NOT(ISERROR($Y637)),IF($Y637&lt;&gt;FALSE,INDEX(Banco,$Y637,4),""),"")</f>
        <v>COREN</v>
      </c>
      <c r="M637" s="122" t="s">
        <v>80</v>
      </c>
      <c r="N637" s="139" t="s">
        <v>246</v>
      </c>
      <c r="O637" s="137" t="str">
        <f ca="1">IF(NOT(ISERROR($Y637)),IF($Y637&lt;&gt;FALSE,INDEX(Banco,$Y637,5),""),"")</f>
        <v>Enfermeiro padrão</v>
      </c>
      <c r="P637" s="138" t="str">
        <f ca="1">IF(NOT(ISERROR($Y637)),IF($Y637&lt;&gt;FALSE,INDEX(Banco,$Y637,6),""),"")</f>
        <v>Unidade</v>
      </c>
      <c r="Q637" s="134">
        <v>4</v>
      </c>
      <c r="R637" s="124">
        <f ca="1">IF(NOT(ISERROR($Y637)),IF($Y637&lt;&gt;FALSE,INDEX(Banco,$Y637,7),0),0)</f>
        <v>123.02</v>
      </c>
      <c r="S637" s="136" t="s">
        <v>62</v>
      </c>
      <c r="T637" s="123">
        <f ca="1">IF($J637=$G$2,ROUND(ROUND($R637,2)*IF($R$9="Preço Unitário (R$)",1,1+$AA637),2),0)</f>
        <v>153.78</v>
      </c>
      <c r="U637" s="126">
        <f ca="1">IF($A637="S",VTOTAL1,IF($A637=0,0,ROUND(SomaAgrup,2)))</f>
        <v>615.12</v>
      </c>
      <c r="V637" s="1"/>
      <c r="W637" s="39" t="str">
        <f ca="1">IF(OR($A637=0,$A637="S",$A637&gt;CFF!$A$9),"",MAX(W$11:OFFSET(W637,-1,0))+1)</f>
        <v/>
      </c>
      <c r="X637" s="4" t="str">
        <f>IF(AND($J637=$G$2,$N637&lt;&gt;"",$M637&lt;&gt;""),CONCATENATE($M637,"-",$N637))</f>
        <v>Serv. Terc.-080</v>
      </c>
      <c r="Y637" s="39">
        <f t="shared" ca="1" si="736"/>
        <v>160</v>
      </c>
      <c r="Z637" s="1"/>
      <c r="AA637" s="133">
        <f>IF($J637=$G$2,ROUND(IF(ISNUMBER(S637),S637,IF(LEFT(S637,2)="DI",HLOOKUP(S637,DADOS!$T$29:$X$30,2,FALSE),0)),4),"")</f>
        <v>0.25</v>
      </c>
      <c r="AB637" s="2"/>
    </row>
    <row r="638" spans="1:28">
      <c r="A638" t="str">
        <f t="shared" si="733"/>
        <v>S</v>
      </c>
      <c r="B638">
        <f t="shared" si="734"/>
        <v>0</v>
      </c>
      <c r="C638">
        <f t="shared" ca="1" si="719"/>
        <v>7</v>
      </c>
      <c r="D638">
        <f t="shared" ca="1" si="720"/>
        <v>10</v>
      </c>
      <c r="E638">
        <f t="shared" ca="1" si="721"/>
        <v>0</v>
      </c>
      <c r="F638">
        <f t="shared" ca="1" si="722"/>
        <v>0</v>
      </c>
      <c r="G638">
        <f t="shared" ca="1" si="723"/>
        <v>16</v>
      </c>
      <c r="H638">
        <f ca="1">IF(OR($A638="S",$A638=0),0,MATCH(0,OFFSET($B638,1,$A638,ROW($A$1504)-ROW($A638)),0))</f>
        <v>0</v>
      </c>
      <c r="I638">
        <f ca="1">IF(OR($A638="S",$A638=0),0,MATCH(OFFSET($B638,0,$A638)+1,OFFSET($B638,1,$A638,ROW($A$1504)-ROW($A638)),0))</f>
        <v>0</v>
      </c>
      <c r="J638" s="132" t="s">
        <v>29</v>
      </c>
      <c r="K638" s="121" t="str">
        <f t="shared" ca="1" si="735"/>
        <v>7.10.16.</v>
      </c>
      <c r="L638" s="137" t="str">
        <f t="shared" ca="1" si="725"/>
        <v>Cotação</v>
      </c>
      <c r="M638" s="122" t="s">
        <v>79</v>
      </c>
      <c r="N638" s="139" t="s">
        <v>163</v>
      </c>
      <c r="O638" s="137" t="str">
        <f t="shared" ca="1" si="732"/>
        <v>Guloseimas (balas e pirulito)</v>
      </c>
      <c r="P638" s="138" t="str">
        <f t="shared" ca="1" si="726"/>
        <v>Pacote</v>
      </c>
      <c r="Q638" s="134">
        <v>4</v>
      </c>
      <c r="R638" s="124">
        <f t="shared" ca="1" si="727"/>
        <v>12</v>
      </c>
      <c r="S638" s="136" t="s">
        <v>62</v>
      </c>
      <c r="T638" s="123">
        <f t="shared" ca="1" si="728"/>
        <v>15</v>
      </c>
      <c r="U638" s="126">
        <f t="shared" ca="1" si="729"/>
        <v>60</v>
      </c>
      <c r="V638" s="1"/>
      <c r="W638" s="39" t="str">
        <f ca="1">IF(OR($A638=0,$A638="S",$A638&gt;CFF!$A$9),"",MAX(W$11:OFFSET(W638,-1,0))+1)</f>
        <v/>
      </c>
      <c r="X638" s="4" t="str">
        <f t="shared" si="730"/>
        <v>Rec. Materiais-020</v>
      </c>
      <c r="Y638" s="39">
        <f t="shared" ca="1" si="736"/>
        <v>29</v>
      </c>
      <c r="Z638" s="1"/>
      <c r="AA638" s="133">
        <f>IF($J638=$G$2,ROUND(IF(ISNUMBER(S638),S638,IF(LEFT(S638,2)="DI",HLOOKUP(S638,DADOS!$T$29:$X$30,2,FALSE),0)),4),"")</f>
        <v>0.25</v>
      </c>
      <c r="AB638" s="2"/>
    </row>
    <row r="639" spans="1:28">
      <c r="A639" t="str">
        <f t="shared" si="733"/>
        <v>S</v>
      </c>
      <c r="B639">
        <f t="shared" si="734"/>
        <v>0</v>
      </c>
      <c r="C639">
        <f t="shared" ca="1" si="719"/>
        <v>7</v>
      </c>
      <c r="D639">
        <f t="shared" ca="1" si="720"/>
        <v>10</v>
      </c>
      <c r="E639">
        <f t="shared" ca="1" si="721"/>
        <v>0</v>
      </c>
      <c r="F639">
        <f t="shared" ca="1" si="722"/>
        <v>0</v>
      </c>
      <c r="G639">
        <f t="shared" ca="1" si="723"/>
        <v>17</v>
      </c>
      <c r="H639">
        <f ca="1">IF(OR($A639="S",$A639=0),0,MATCH(0,OFFSET($B639,1,$A639,ROW($A$1504)-ROW($A639)),0))</f>
        <v>0</v>
      </c>
      <c r="I639">
        <f ca="1">IF(OR($A639="S",$A639=0),0,MATCH(OFFSET($B639,0,$A639)+1,OFFSET($B639,1,$A639,ROW($A$1504)-ROW($A639)),0))</f>
        <v>0</v>
      </c>
      <c r="J639" s="132" t="s">
        <v>29</v>
      </c>
      <c r="K639" s="121" t="str">
        <f t="shared" ca="1" si="735"/>
        <v>7.10.17.</v>
      </c>
      <c r="L639" s="137" t="str">
        <f t="shared" ca="1" si="725"/>
        <v>Cotação</v>
      </c>
      <c r="M639" s="122" t="s">
        <v>79</v>
      </c>
      <c r="N639" s="139" t="s">
        <v>165</v>
      </c>
      <c r="O639" s="137" t="str">
        <f ca="1">IF(NOT(ISERROR($Y639)),IF($Y639&lt;&gt;FALSE,INDEX(Banco,$Y639,5),""),"")</f>
        <v>Papel de presente</v>
      </c>
      <c r="P639" s="138" t="str">
        <f t="shared" ca="1" si="726"/>
        <v>Folhas</v>
      </c>
      <c r="Q639" s="134">
        <v>8</v>
      </c>
      <c r="R639" s="124">
        <f t="shared" ca="1" si="727"/>
        <v>1.5</v>
      </c>
      <c r="S639" s="136" t="s">
        <v>62</v>
      </c>
      <c r="T639" s="123">
        <f t="shared" ca="1" si="728"/>
        <v>1.88</v>
      </c>
      <c r="U639" s="126">
        <f t="shared" ca="1" si="729"/>
        <v>15.04</v>
      </c>
      <c r="V639" s="1"/>
      <c r="W639" s="39" t="str">
        <f ca="1">IF(OR($A639=0,$A639="S",$A639&gt;CFF!$A$9),"",MAX(W$11:OFFSET(W639,-1,0))+1)</f>
        <v/>
      </c>
      <c r="X639" s="4" t="str">
        <f t="shared" si="730"/>
        <v>Rec. Materiais-021</v>
      </c>
      <c r="Y639" s="39">
        <f t="shared" ca="1" si="736"/>
        <v>30</v>
      </c>
      <c r="Z639" s="1"/>
      <c r="AA639" s="133">
        <f>IF($J639=$G$2,ROUND(IF(ISNUMBER(S639),S639,IF(LEFT(S639,2)="DI",HLOOKUP(S639,DADOS!$T$29:$X$30,2,FALSE),0)),4),"")</f>
        <v>0.25</v>
      </c>
      <c r="AB639" s="2"/>
    </row>
    <row r="640" spans="1:28">
      <c r="A640" t="str">
        <f t="shared" si="733"/>
        <v>S</v>
      </c>
      <c r="B640">
        <f t="shared" si="734"/>
        <v>0</v>
      </c>
      <c r="C640">
        <f t="shared" ca="1" si="719"/>
        <v>7</v>
      </c>
      <c r="D640">
        <f t="shared" ca="1" si="720"/>
        <v>10</v>
      </c>
      <c r="E640">
        <f t="shared" ca="1" si="721"/>
        <v>0</v>
      </c>
      <c r="F640">
        <f t="shared" ca="1" si="722"/>
        <v>0</v>
      </c>
      <c r="G640">
        <f t="shared" ca="1" si="723"/>
        <v>18</v>
      </c>
      <c r="H640">
        <f ca="1">IF(OR($A640="S",$A640=0),0,MATCH(0,OFFSET($B640,1,$A640,ROW($A$1504)-ROW($A640)),0))</f>
        <v>0</v>
      </c>
      <c r="I640">
        <f ca="1">IF(OR($A640="S",$A640=0),0,MATCH(OFFSET($B640,0,$A640)+1,OFFSET($B640,1,$A640,ROW($A$1504)-ROW($A640)),0))</f>
        <v>0</v>
      </c>
      <c r="J640" s="132" t="s">
        <v>29</v>
      </c>
      <c r="K640" s="121" t="str">
        <f t="shared" ca="1" si="735"/>
        <v>7.10.18.</v>
      </c>
      <c r="L640" s="137" t="str">
        <f t="shared" ca="1" si="725"/>
        <v>Cotação</v>
      </c>
      <c r="M640" s="122" t="s">
        <v>79</v>
      </c>
      <c r="N640" s="139" t="s">
        <v>170</v>
      </c>
      <c r="O640" s="137" t="str">
        <f ca="1">IF(NOT(ISERROR($Y640)),IF($Y640&lt;&gt;FALSE,INDEX(Banco,$Y640,5),""),"")</f>
        <v>Saco de lixo (100 litros)</v>
      </c>
      <c r="P640" s="138" t="str">
        <f t="shared" ca="1" si="726"/>
        <v>Pacote</v>
      </c>
      <c r="Q640" s="134">
        <v>1</v>
      </c>
      <c r="R640" s="124">
        <f t="shared" ca="1" si="727"/>
        <v>15</v>
      </c>
      <c r="S640" s="136" t="s">
        <v>62</v>
      </c>
      <c r="T640" s="123">
        <f t="shared" ca="1" si="728"/>
        <v>18.75</v>
      </c>
      <c r="U640" s="126">
        <f t="shared" ca="1" si="729"/>
        <v>18.75</v>
      </c>
      <c r="V640" s="1"/>
      <c r="W640" s="39" t="str">
        <f ca="1">IF(OR($A640=0,$A640="S",$A640&gt;CFF!$A$9),"",MAX(W$11:OFFSET(W640,-1,0))+1)</f>
        <v/>
      </c>
      <c r="X640" s="4" t="str">
        <f t="shared" si="730"/>
        <v>Rec. Materiais-026</v>
      </c>
      <c r="Y640" s="39">
        <f t="shared" ca="1" si="736"/>
        <v>35</v>
      </c>
      <c r="Z640" s="1"/>
      <c r="AA640" s="133">
        <f>IF($J640=$G$2,ROUND(IF(ISNUMBER(S640),S640,IF(LEFT(S640,2)="DI",HLOOKUP(S640,DADOS!$T$29:$X$30,2,FALSE),0)),4),"")</f>
        <v>0.25</v>
      </c>
      <c r="AB640" s="2"/>
    </row>
    <row r="641" spans="1:28">
      <c r="A641">
        <f t="shared" ref="A641:A649" si="737">CHOOSE(1+LOG(1+2*(J641=$C$2)+4*(J641=$D$2)+8*(J641=$E$2)+16*(J641=$F$2)+32*(J641=$G$2),2),0,1,2,3,4,"S")</f>
        <v>1</v>
      </c>
      <c r="B641">
        <f t="shared" ref="B641:B649" ca="1" si="738">IF(OR(A641="S",A641=0),0,IF(ISERROR(I641),H641,SMALL(H641:I641,1)))</f>
        <v>52</v>
      </c>
      <c r="C641">
        <f t="shared" ref="C641:C649" ca="1" si="739">IF($A641=1,OFFSET(C641,-1,0)+1,OFFSET(C641,-1,0))</f>
        <v>8</v>
      </c>
      <c r="D641">
        <f t="shared" ref="D641:D649" ca="1" si="740">IF($A641=1,0,IF($A641=2,OFFSET(D641,-1,0)+1,OFFSET(D641,-1,0)))</f>
        <v>0</v>
      </c>
      <c r="E641">
        <f t="shared" ref="E641:E649" ca="1" si="741">IF(AND($A641&lt;=2,$A641&lt;&gt;0),0,IF($A641=3,OFFSET(E641,-1,0)+1,OFFSET(E641,-1,0)))</f>
        <v>0</v>
      </c>
      <c r="F641">
        <f t="shared" ref="F641:F649" ca="1" si="742">IF(AND($A641&lt;=3,$A641&lt;&gt;0),0,IF($A641=4,OFFSET(F641,-1,0)+1,OFFSET(F641,-1,0)))</f>
        <v>0</v>
      </c>
      <c r="G641">
        <f t="shared" ref="G641:G649" ca="1" si="743">IF(AND($A641&lt;=4,$A641&lt;&gt;0),0,IF($A641="S",OFFSET(G641,-1,0)+1,OFFSET(G641,-1,0)))</f>
        <v>0</v>
      </c>
      <c r="H641">
        <f ca="1">IF(OR($A641="S",$A641=0),0,MATCH(0,OFFSET($B641,1,$A641,ROW($A$1504)-ROW($A641)),0))</f>
        <v>863</v>
      </c>
      <c r="I641">
        <f ca="1">IF(OR($A641="S",$A641=0),0,MATCH(OFFSET($B641,0,$A641)+1,OFFSET($B641,1,$A641,ROW($A$1504)-ROW($A641)),0))</f>
        <v>52</v>
      </c>
      <c r="J641" s="132" t="s">
        <v>67</v>
      </c>
      <c r="K641" s="121" t="str">
        <f t="shared" ref="K641:K649" ca="1" si="744">IF($A641=0,"-",CONCATENATE(C641&amp;".",IF(AND($A$5&gt;=2,$A641&gt;=2),D641&amp;".",""),IF(AND($A$5&gt;=3,$A641&gt;=3),E641&amp;".",""),IF(AND($A$5&gt;=4,$A641&gt;=4),F641&amp;".",""),IF($A641="S",G641&amp;".","")))</f>
        <v>8.</v>
      </c>
      <c r="L641" s="137" t="str">
        <f t="shared" ref="L641:L649" ca="1" si="745">IF(NOT(ISERROR($Y641)),IF($Y641&lt;&gt;FALSE,INDEX(Banco,$Y641,4),""),"")</f>
        <v/>
      </c>
      <c r="M641" s="122"/>
      <c r="N641" s="139"/>
      <c r="O641" s="137" t="s">
        <v>336</v>
      </c>
      <c r="P641" s="138" t="str">
        <f t="shared" ref="P641:P649" ca="1" si="746">IF(NOT(ISERROR($Y641)),IF($Y641&lt;&gt;FALSE,INDEX(Banco,$Y641,6),""),"")</f>
        <v/>
      </c>
      <c r="Q641" s="134"/>
      <c r="R641" s="124">
        <f t="shared" ref="R641:R649" ca="1" si="747">IF(NOT(ISERROR($Y641)),IF($Y641&lt;&gt;FALSE,INDEX(Banco,$Y641,7),0),0)</f>
        <v>0</v>
      </c>
      <c r="S641" s="136" t="s">
        <v>62</v>
      </c>
      <c r="T641" s="123">
        <f t="shared" ref="T641:T649" si="748">IF($J641=$G$2,ROUND(ROUND($R641,2)*IF($R$9="Preço Unitário (R$)",1,1+$AA641),2),0)</f>
        <v>0</v>
      </c>
      <c r="U641" s="126">
        <f t="shared" ref="U641:U649" ca="1" si="749">IF($A641="S",VTOTAL1,IF($A641=0,0,ROUND(SomaAgrup,2)))</f>
        <v>72339.53</v>
      </c>
      <c r="V641" s="1"/>
      <c r="W641" s="39">
        <f ca="1">IF(OR($A641=0,$A641="S",$A641&gt;CFF!$A$9),"",MAX(W$11:OFFSET(W641,-1,0))+1)</f>
        <v>52</v>
      </c>
      <c r="X641" s="4" t="b">
        <f t="shared" ref="X641:X649" si="750">IF(AND($J641=$G$2,$N641&lt;&gt;"",$M641&lt;&gt;""),CONCATENATE($M641,"-",$N641))</f>
        <v>0</v>
      </c>
      <c r="Y641" s="39" t="b">
        <f t="shared" ref="Y641:Y649" ca="1" si="751">IF(X641&lt;&gt;FALSE,MATCH(X641,OFFSET(Banco,0,0,,1),0))</f>
        <v>0</v>
      </c>
      <c r="Z641" s="1"/>
      <c r="AA641" s="133" t="str">
        <f>IF($J641=$G$2,ROUND(IF(ISNUMBER(S641),S641,IF(LEFT(S641,2)="DI",HLOOKUP(S641,DADOS!$T$29:$X$30,2,FALSE),0)),4),"")</f>
        <v/>
      </c>
      <c r="AB641" s="2"/>
    </row>
    <row r="642" spans="1:28">
      <c r="A642">
        <f>CHOOSE(1+LOG(1+2*(J642=$C$2)+4*(J642=$D$2)+8*(J642=$E$2)+16*(J642=$F$2)+32*(J642=$G$2),2),0,1,2,3,4,"S")</f>
        <v>2</v>
      </c>
      <c r="B642">
        <f ca="1">IF(OR(A642="S",A642=0),0,IF(ISERROR(I642),H642,SMALL(H642:I642,1)))</f>
        <v>8</v>
      </c>
      <c r="C642">
        <f ca="1">IF($A642=1,OFFSET(C642,-1,0)+1,OFFSET(C642,-1,0))</f>
        <v>8</v>
      </c>
      <c r="D642">
        <f ca="1">IF($A642=1,0,IF($A642=2,OFFSET(D642,-1,0)+1,OFFSET(D642,-1,0)))</f>
        <v>1</v>
      </c>
      <c r="E642">
        <f ca="1">IF(AND($A642&lt;=2,$A642&lt;&gt;0),0,IF($A642=3,OFFSET(E642,-1,0)+1,OFFSET(E642,-1,0)))</f>
        <v>0</v>
      </c>
      <c r="F642">
        <f ca="1">IF(AND($A642&lt;=3,$A642&lt;&gt;0),0,IF($A642=4,OFFSET(F642,-1,0)+1,OFFSET(F642,-1,0)))</f>
        <v>0</v>
      </c>
      <c r="G642">
        <f ca="1">IF(AND($A642&lt;=4,$A642&lt;&gt;0),0,IF($A642="S",OFFSET(G642,-1,0)+1,OFFSET(G642,-1,0)))</f>
        <v>0</v>
      </c>
      <c r="H642">
        <f ca="1">IF(OR($A642="S",$A642=0),0,MATCH(0,OFFSET($B642,1,$A642,ROW($A$1504)-ROW($A642)),0))</f>
        <v>51</v>
      </c>
      <c r="I642">
        <f ca="1">IF(OR($A642="S",$A642=0),0,MATCH(OFFSET($B642,0,$A642)+1,OFFSET($B642,1,$A642,ROW($A$1504)-ROW($A642)),0))</f>
        <v>8</v>
      </c>
      <c r="J642" s="132" t="s">
        <v>68</v>
      </c>
      <c r="K642" s="121" t="str">
        <f ca="1">IF($A642=0,"-",CONCATENATE(C642&amp;".",IF(AND($A$5&gt;=2,$A642&gt;=2),D642&amp;".",""),IF(AND($A$5&gt;=3,$A642&gt;=3),E642&amp;".",""),IF(AND($A$5&gt;=4,$A642&gt;=4),F642&amp;".",""),IF($A642="S",G642&amp;".","")))</f>
        <v>8.1.</v>
      </c>
      <c r="L642" s="137" t="str">
        <f ca="1">IF(NOT(ISERROR($Y642)),IF($Y642&lt;&gt;FALSE,INDEX(Banco,$Y642,4),""),"")</f>
        <v/>
      </c>
      <c r="M642" s="122"/>
      <c r="N642" s="139"/>
      <c r="O642" s="137" t="s">
        <v>392</v>
      </c>
      <c r="P642" s="138" t="str">
        <f ca="1">IF(NOT(ISERROR($Y642)),IF($Y642&lt;&gt;FALSE,INDEX(Banco,$Y642,6),""),"")</f>
        <v/>
      </c>
      <c r="Q642" s="134"/>
      <c r="R642" s="124">
        <f ca="1">IF(NOT(ISERROR($Y642)),IF($Y642&lt;&gt;FALSE,INDEX(Banco,$Y642,7),0),0)</f>
        <v>0</v>
      </c>
      <c r="S642" s="136" t="s">
        <v>62</v>
      </c>
      <c r="T642" s="123">
        <f>IF($J642=$G$2,ROUND(ROUND($R642,2)*IF($R$9="Preço Unitário (R$)",1,1+$AA642),2),0)</f>
        <v>0</v>
      </c>
      <c r="U642" s="126">
        <f ca="1">IF($A642="S",VTOTAL1,IF($A642=0,0,ROUND(SomaAgrup,2)))</f>
        <v>10179.82</v>
      </c>
      <c r="V642" s="1"/>
      <c r="W642" s="39">
        <f ca="1">IF(OR($A642=0,$A642="S",$A642&gt;CFF!$A$9),"",MAX(W$11:OFFSET(W642,-1,0))+1)</f>
        <v>53</v>
      </c>
      <c r="X642" s="4" t="b">
        <f>IF(AND($J642=$G$2,$N642&lt;&gt;"",$M642&lt;&gt;""),CONCATENATE($M642,"-",$N642))</f>
        <v>0</v>
      </c>
      <c r="Y642" s="39" t="b">
        <f ca="1">IF(X642&lt;&gt;FALSE,MATCH(X642,OFFSET(Banco,0,0,,1),0))</f>
        <v>0</v>
      </c>
      <c r="Z642" s="1"/>
      <c r="AA642" s="133" t="str">
        <f>IF($J642=$G$2,ROUND(IF(ISNUMBER(S642),S642,IF(LEFT(S642,2)="DI",HLOOKUP(S642,DADOS!$T$29:$X$30,2,FALSE),0)),4),"")</f>
        <v/>
      </c>
      <c r="AB642" s="2"/>
    </row>
    <row r="643" spans="1:28">
      <c r="A643" t="str">
        <f>CHOOSE(1+LOG(1+2*(J643=$C$2)+4*(J643=$D$2)+8*(J643=$E$2)+16*(J643=$F$2)+32*(J643=$G$2),2),0,1,2,3,4,"S")</f>
        <v>S</v>
      </c>
      <c r="B643">
        <f>IF(OR(A643="S",A643=0),0,IF(ISERROR(I643),H643,SMALL(H643:I643,1)))</f>
        <v>0</v>
      </c>
      <c r="C643">
        <f ca="1">IF($A643=1,OFFSET(C643,-1,0)+1,OFFSET(C643,-1,0))</f>
        <v>8</v>
      </c>
      <c r="D643">
        <f ca="1">IF($A643=1,0,IF($A643=2,OFFSET(D643,-1,0)+1,OFFSET(D643,-1,0)))</f>
        <v>1</v>
      </c>
      <c r="E643">
        <f ca="1">IF(AND($A643&lt;=2,$A643&lt;&gt;0),0,IF($A643=3,OFFSET(E643,-1,0)+1,OFFSET(E643,-1,0)))</f>
        <v>0</v>
      </c>
      <c r="F643">
        <f ca="1">IF(AND($A643&lt;=3,$A643&lt;&gt;0),0,IF($A643=4,OFFSET(F643,-1,0)+1,OFFSET(F643,-1,0)))</f>
        <v>0</v>
      </c>
      <c r="G643">
        <f ca="1">IF(AND($A643&lt;=4,$A643&lt;&gt;0),0,IF($A643="S",OFFSET(G643,-1,0)+1,OFFSET(G643,-1,0)))</f>
        <v>1</v>
      </c>
      <c r="H643">
        <f ca="1">IF(OR($A643="S",$A643=0),0,MATCH(0,OFFSET($B643,1,$A643,ROW($A$1504)-ROW($A643)),0))</f>
        <v>0</v>
      </c>
      <c r="I643">
        <f ca="1">IF(OR($A643="S",$A643=0),0,MATCH(OFFSET($B643,0,$A643)+1,OFFSET($B643,1,$A643,ROW($A$1504)-ROW($A643)),0))</f>
        <v>0</v>
      </c>
      <c r="J643" s="132" t="s">
        <v>29</v>
      </c>
      <c r="K643" s="121" t="str">
        <f ca="1">IF($A643=0,"-",CONCATENATE(C643&amp;".",IF(AND($A$5&gt;=2,$A643&gt;=2),D643&amp;".",""),IF(AND($A$5&gt;=3,$A643&gt;=3),E643&amp;".",""),IF(AND($A$5&gt;=4,$A643&gt;=4),F643&amp;".",""),IF($A643="S",G643&amp;".","")))</f>
        <v>8.1.1.</v>
      </c>
      <c r="L643" s="137" t="str">
        <f ca="1">IF(NOT(ISERROR($Y643)),IF($Y643&lt;&gt;FALSE,INDEX(Banco,$Y643,4),""),"")</f>
        <v>CRESS</v>
      </c>
      <c r="M643" s="122" t="s">
        <v>78</v>
      </c>
      <c r="N643" s="139" t="s">
        <v>149</v>
      </c>
      <c r="O643" s="137" t="str">
        <f t="shared" ref="O643:O649" ca="1" si="752">IF(NOT(ISERROR($Y643)),IF($Y643&lt;&gt;FALSE,INDEX(Banco,$Y643,5),""),"")</f>
        <v>Responsável Técnica</v>
      </c>
      <c r="P643" s="138" t="str">
        <f ca="1">IF(NOT(ISERROR($Y643)),IF($Y643&lt;&gt;FALSE,INDEX(Banco,$Y643,6),""),"")</f>
        <v>Horas</v>
      </c>
      <c r="Q643" s="134">
        <v>6</v>
      </c>
      <c r="R643" s="124">
        <f ca="1">IF(NOT(ISERROR($Y643)),IF($Y643&lt;&gt;FALSE,INDEX(Banco,$Y643,7),0),0)</f>
        <v>150.28</v>
      </c>
      <c r="S643" s="136" t="s">
        <v>62</v>
      </c>
      <c r="T643" s="123">
        <f ca="1">IF($J643=$G$2,ROUND(ROUND($R643,2)*IF($R$9="Preço Unitário (R$)",1,1+$AA643),2),0)</f>
        <v>187.85</v>
      </c>
      <c r="U643" s="126">
        <f ca="1">IF($A643="S",VTOTAL1,IF($A643=0,0,ROUND(SomaAgrup,2)))</f>
        <v>1127.0999999999999</v>
      </c>
      <c r="V643" s="1"/>
      <c r="W643" s="39" t="str">
        <f ca="1">IF(OR($A643=0,$A643="S",$A643&gt;CFF!$A$9),"",MAX(W$11:OFFSET(W643,-1,0))+1)</f>
        <v/>
      </c>
      <c r="X643" s="4" t="str">
        <f>IF(AND($J643=$G$2,$N643&lt;&gt;"",$M643&lt;&gt;""),CONCATENATE($M643,"-",$N643))</f>
        <v>Rec. Humanos-001</v>
      </c>
      <c r="Y643" s="39">
        <f ca="1">IF(X643&lt;&gt;FALSE,MATCH(X643,OFFSET(Banco,0,0,,1),0))</f>
        <v>3</v>
      </c>
      <c r="Z643" s="1"/>
      <c r="AA643" s="133">
        <f>IF($J643=$G$2,ROUND(IF(ISNUMBER(S643),S643,IF(LEFT(S643,2)="DI",HLOOKUP(S643,DADOS!$T$29:$X$30,2,FALSE),0)),4),"")</f>
        <v>0.25</v>
      </c>
      <c r="AB643" s="2"/>
    </row>
    <row r="644" spans="1:28">
      <c r="A644" t="str">
        <f t="shared" si="737"/>
        <v>S</v>
      </c>
      <c r="B644">
        <f t="shared" si="738"/>
        <v>0</v>
      </c>
      <c r="C644">
        <f t="shared" ca="1" si="739"/>
        <v>8</v>
      </c>
      <c r="D644">
        <f t="shared" ca="1" si="740"/>
        <v>1</v>
      </c>
      <c r="E644">
        <f t="shared" ca="1" si="741"/>
        <v>0</v>
      </c>
      <c r="F644">
        <f t="shared" ca="1" si="742"/>
        <v>0</v>
      </c>
      <c r="G644">
        <f t="shared" ca="1" si="743"/>
        <v>2</v>
      </c>
      <c r="H644">
        <f ca="1">IF(OR($A644="S",$A644=0),0,MATCH(0,OFFSET($B644,1,$A644,ROW($A$1504)-ROW($A644)),0))</f>
        <v>0</v>
      </c>
      <c r="I644">
        <f ca="1">IF(OR($A644="S",$A644=0),0,MATCH(OFFSET($B644,0,$A644)+1,OFFSET($B644,1,$A644,ROW($A$1504)-ROW($A644)),0))</f>
        <v>0</v>
      </c>
      <c r="J644" s="132" t="s">
        <v>29</v>
      </c>
      <c r="K644" s="121" t="str">
        <f t="shared" ca="1" si="744"/>
        <v>8.1.2.</v>
      </c>
      <c r="L644" s="137" t="str">
        <f t="shared" ca="1" si="745"/>
        <v>CRESS</v>
      </c>
      <c r="M644" s="122" t="s">
        <v>78</v>
      </c>
      <c r="N644" s="139" t="s">
        <v>152</v>
      </c>
      <c r="O644" s="137" t="str">
        <f t="shared" ca="1" si="752"/>
        <v>Assistente Social</v>
      </c>
      <c r="P644" s="138" t="str">
        <f t="shared" ca="1" si="746"/>
        <v>Horas</v>
      </c>
      <c r="Q644" s="134">
        <v>10</v>
      </c>
      <c r="R644" s="124">
        <f t="shared" ca="1" si="747"/>
        <v>133.81</v>
      </c>
      <c r="S644" s="136" t="s">
        <v>62</v>
      </c>
      <c r="T644" s="123">
        <f t="shared" ca="1" si="748"/>
        <v>167.26</v>
      </c>
      <c r="U644" s="126">
        <f t="shared" ca="1" si="749"/>
        <v>1672.6</v>
      </c>
      <c r="V644" s="1"/>
      <c r="W644" s="39" t="str">
        <f ca="1">IF(OR($A644=0,$A644="S",$A644&gt;CFF!$A$9),"",MAX(W$11:OFFSET(W644,-1,0))+1)</f>
        <v/>
      </c>
      <c r="X644" s="4" t="str">
        <f t="shared" si="750"/>
        <v>Rec. Humanos-002</v>
      </c>
      <c r="Y644" s="39">
        <f t="shared" ca="1" si="751"/>
        <v>4</v>
      </c>
      <c r="Z644" s="1"/>
      <c r="AA644" s="133">
        <f>IF($J644=$G$2,ROUND(IF(ISNUMBER(S644),S644,IF(LEFT(S644,2)="DI",HLOOKUP(S644,DADOS!$T$29:$X$30,2,FALSE),0)),4),"")</f>
        <v>0.25</v>
      </c>
      <c r="AB644" s="2"/>
    </row>
    <row r="645" spans="1:28">
      <c r="A645" t="str">
        <f>CHOOSE(1+LOG(1+2*(J645=$C$2)+4*(J645=$D$2)+8*(J645=$E$2)+16*(J645=$F$2)+32*(J645=$G$2),2),0,1,2,3,4,"S")</f>
        <v>S</v>
      </c>
      <c r="B645">
        <f>IF(OR(A645="S",A645=0),0,IF(ISERROR(I645),H645,SMALL(H645:I645,1)))</f>
        <v>0</v>
      </c>
      <c r="C645">
        <f ca="1">IF($A645=1,OFFSET(C645,-1,0)+1,OFFSET(C645,-1,0))</f>
        <v>8</v>
      </c>
      <c r="D645">
        <f ca="1">IF($A645=1,0,IF($A645=2,OFFSET(D645,-1,0)+1,OFFSET(D645,-1,0)))</f>
        <v>1</v>
      </c>
      <c r="E645">
        <f ca="1">IF(AND($A645&lt;=2,$A645&lt;&gt;0),0,IF($A645=3,OFFSET(E645,-1,0)+1,OFFSET(E645,-1,0)))</f>
        <v>0</v>
      </c>
      <c r="F645">
        <f ca="1">IF(AND($A645&lt;=3,$A645&lt;&gt;0),0,IF($A645=4,OFFSET(F645,-1,0)+1,OFFSET(F645,-1,0)))</f>
        <v>0</v>
      </c>
      <c r="G645">
        <f ca="1">IF(AND($A645&lt;=4,$A645&lt;&gt;0),0,IF($A645="S",OFFSET(G645,-1,0)+1,OFFSET(G645,-1,0)))</f>
        <v>3</v>
      </c>
      <c r="H645">
        <f ca="1">IF(OR($A645="S",$A645=0),0,MATCH(0,OFFSET($B645,1,$A645,ROW($A$1504)-ROW($A645)),0))</f>
        <v>0</v>
      </c>
      <c r="I645">
        <f ca="1">IF(OR($A645="S",$A645=0),0,MATCH(OFFSET($B645,0,$A645)+1,OFFSET($B645,1,$A645,ROW($A$1504)-ROW($A645)),0))</f>
        <v>0</v>
      </c>
      <c r="J645" s="132" t="s">
        <v>29</v>
      </c>
      <c r="K645" s="121" t="str">
        <f ca="1">IF($A645=0,"-",CONCATENATE(C645&amp;".",IF(AND($A$5&gt;=2,$A645&gt;=2),D645&amp;".",""),IF(AND($A$5&gt;=3,$A645&gt;=3),E645&amp;".",""),IF(AND($A$5&gt;=4,$A645&gt;=4),F645&amp;".",""),IF($A645="S",G645&amp;".","")))</f>
        <v>8.1.3.</v>
      </c>
      <c r="L645" s="137" t="str">
        <f ca="1">IF(NOT(ISERROR($Y645)),IF($Y645&lt;&gt;FALSE,INDEX(Banco,$Y645,4),""),"")</f>
        <v>SINE</v>
      </c>
      <c r="M645" s="122" t="s">
        <v>78</v>
      </c>
      <c r="N645" s="139" t="s">
        <v>153</v>
      </c>
      <c r="O645" s="137" t="str">
        <f t="shared" ca="1" si="752"/>
        <v>Estagiários</v>
      </c>
      <c r="P645" s="138" t="str">
        <f ca="1">IF(NOT(ISERROR($Y645)),IF($Y645&lt;&gt;FALSE,INDEX(Banco,$Y645,6),""),"")</f>
        <v>Horas</v>
      </c>
      <c r="Q645" s="134">
        <v>12</v>
      </c>
      <c r="R645" s="124">
        <f ca="1">IF(NOT(ISERROR($Y645)),IF($Y645&lt;&gt;FALSE,INDEX(Banco,$Y645,7),0),0)</f>
        <v>9.7899999999999991</v>
      </c>
      <c r="S645" s="136" t="s">
        <v>62</v>
      </c>
      <c r="T645" s="123">
        <f ca="1">IF($J645=$G$2,ROUND(ROUND($R645,2)*IF($R$9="Preço Unitário (R$)",1,1+$AA645),2),0)</f>
        <v>12.24</v>
      </c>
      <c r="U645" s="126">
        <f ca="1">IF($A645="S",VTOTAL1,IF($A645=0,0,ROUND(SomaAgrup,2)))</f>
        <v>146.88</v>
      </c>
      <c r="V645" s="1"/>
      <c r="W645" s="39" t="str">
        <f ca="1">IF(OR($A645=0,$A645="S",$A645&gt;CFF!$A$9),"",MAX(W$11:OFFSET(W645,-1,0))+1)</f>
        <v/>
      </c>
      <c r="X645" s="4" t="str">
        <f>IF(AND($J645=$G$2,$N645&lt;&gt;"",$M645&lt;&gt;""),CONCATENATE($M645,"-",$N645))</f>
        <v>Rec. Humanos-004</v>
      </c>
      <c r="Y645" s="39">
        <f ca="1">IF(X645&lt;&gt;FALSE,MATCH(X645,OFFSET(Banco,0,0,,1),0))</f>
        <v>6</v>
      </c>
      <c r="Z645" s="1"/>
      <c r="AA645" s="133">
        <f>IF($J645=$G$2,ROUND(IF(ISNUMBER(S645),S645,IF(LEFT(S645,2)="DI",HLOOKUP(S645,DADOS!$T$29:$X$30,2,FALSE),0)),4),"")</f>
        <v>0.25</v>
      </c>
      <c r="AB645" s="2"/>
    </row>
    <row r="646" spans="1:28">
      <c r="A646" t="str">
        <f t="shared" si="737"/>
        <v>S</v>
      </c>
      <c r="B646">
        <f t="shared" si="738"/>
        <v>0</v>
      </c>
      <c r="C646">
        <f t="shared" ca="1" si="739"/>
        <v>8</v>
      </c>
      <c r="D646">
        <f t="shared" ca="1" si="740"/>
        <v>1</v>
      </c>
      <c r="E646">
        <f t="shared" ca="1" si="741"/>
        <v>0</v>
      </c>
      <c r="F646">
        <f t="shared" ca="1" si="742"/>
        <v>0</v>
      </c>
      <c r="G646">
        <f t="shared" ca="1" si="743"/>
        <v>4</v>
      </c>
      <c r="H646">
        <f ca="1">IF(OR($A646="S",$A646=0),0,MATCH(0,OFFSET($B646,1,$A646,ROW($A$1504)-ROW($A646)),0))</f>
        <v>0</v>
      </c>
      <c r="I646">
        <f ca="1">IF(OR($A646="S",$A646=0),0,MATCH(OFFSET($B646,0,$A646)+1,OFFSET($B646,1,$A646,ROW($A$1504)-ROW($A646)),0))</f>
        <v>0</v>
      </c>
      <c r="J646" s="132" t="s">
        <v>29</v>
      </c>
      <c r="K646" s="121" t="str">
        <f t="shared" ca="1" si="744"/>
        <v>8.1.4.</v>
      </c>
      <c r="L646" s="137" t="str">
        <f t="shared" ca="1" si="745"/>
        <v>Cotação</v>
      </c>
      <c r="M646" s="122" t="s">
        <v>78</v>
      </c>
      <c r="N646" s="139" t="s">
        <v>151</v>
      </c>
      <c r="O646" s="137" t="str">
        <f t="shared" ca="1" si="752"/>
        <v xml:space="preserve">Administrador (Técnico de Apoio) </v>
      </c>
      <c r="P646" s="138" t="str">
        <f t="shared" ca="1" si="746"/>
        <v>Horas</v>
      </c>
      <c r="Q646" s="134">
        <v>4</v>
      </c>
      <c r="R646" s="124">
        <f t="shared" ca="1" si="747"/>
        <v>103.65</v>
      </c>
      <c r="S646" s="136" t="s">
        <v>62</v>
      </c>
      <c r="T646" s="123">
        <f t="shared" ca="1" si="748"/>
        <v>129.56</v>
      </c>
      <c r="U646" s="126">
        <f t="shared" ca="1" si="749"/>
        <v>518.24</v>
      </c>
      <c r="V646" s="1"/>
      <c r="W646" s="39" t="str">
        <f ca="1">IF(OR($A646=0,$A646="S",$A646&gt;CFF!$A$9),"",MAX(W$11:OFFSET(W646,-1,0))+1)</f>
        <v/>
      </c>
      <c r="X646" s="4" t="str">
        <f t="shared" si="750"/>
        <v>Rec. Humanos-003</v>
      </c>
      <c r="Y646" s="39">
        <f t="shared" ca="1" si="751"/>
        <v>5</v>
      </c>
      <c r="Z646" s="1"/>
      <c r="AA646" s="133">
        <f>IF($J646=$G$2,ROUND(IF(ISNUMBER(S646),S646,IF(LEFT(S646,2)="DI",HLOOKUP(S646,DADOS!$T$29:$X$30,2,FALSE),0)),4),"")</f>
        <v>0.25</v>
      </c>
      <c r="AB646" s="2"/>
    </row>
    <row r="647" spans="1:28">
      <c r="A647" t="str">
        <f t="shared" si="737"/>
        <v>S</v>
      </c>
      <c r="B647">
        <f t="shared" si="738"/>
        <v>0</v>
      </c>
      <c r="C647">
        <f t="shared" ca="1" si="739"/>
        <v>8</v>
      </c>
      <c r="D647">
        <f t="shared" ca="1" si="740"/>
        <v>1</v>
      </c>
      <c r="E647">
        <f t="shared" ca="1" si="741"/>
        <v>0</v>
      </c>
      <c r="F647">
        <f t="shared" ca="1" si="742"/>
        <v>0</v>
      </c>
      <c r="G647">
        <f t="shared" ca="1" si="743"/>
        <v>5</v>
      </c>
      <c r="H647">
        <f ca="1">IF(OR($A647="S",$A647=0),0,MATCH(0,OFFSET($B647,1,$A647,ROW($A$1504)-ROW($A647)),0))</f>
        <v>0</v>
      </c>
      <c r="I647">
        <f ca="1">IF(OR($A647="S",$A647=0),0,MATCH(OFFSET($B647,0,$A647)+1,OFFSET($B647,1,$A647,ROW($A$1504)-ROW($A647)),0))</f>
        <v>0</v>
      </c>
      <c r="J647" s="132" t="s">
        <v>29</v>
      </c>
      <c r="K647" s="121" t="str">
        <f t="shared" ca="1" si="744"/>
        <v>8.1.5.</v>
      </c>
      <c r="L647" s="137" t="str">
        <f t="shared" ca="1" si="745"/>
        <v>Cotação</v>
      </c>
      <c r="M647" s="122" t="s">
        <v>80</v>
      </c>
      <c r="N647" s="139" t="s">
        <v>165</v>
      </c>
      <c r="O647" s="137" t="str">
        <f t="shared" ca="1" si="752"/>
        <v>Automaquiagem (Curso completo)</v>
      </c>
      <c r="P647" s="138" t="str">
        <f t="shared" ca="1" si="746"/>
        <v>Vagas</v>
      </c>
      <c r="Q647" s="134">
        <v>30</v>
      </c>
      <c r="R647" s="124">
        <f t="shared" ca="1" si="747"/>
        <v>168</v>
      </c>
      <c r="S647" s="136" t="s">
        <v>62</v>
      </c>
      <c r="T647" s="123">
        <f t="shared" ca="1" si="748"/>
        <v>210</v>
      </c>
      <c r="U647" s="126">
        <f t="shared" ca="1" si="749"/>
        <v>6300</v>
      </c>
      <c r="V647" s="1"/>
      <c r="W647" s="39" t="str">
        <f ca="1">IF(OR($A647=0,$A647="S",$A647&gt;CFF!$A$9),"",MAX(W$11:OFFSET(W647,-1,0))+1)</f>
        <v/>
      </c>
      <c r="X647" s="4" t="str">
        <f t="shared" si="750"/>
        <v>Serv. Terc.-021</v>
      </c>
      <c r="Y647" s="39">
        <f t="shared" ca="1" si="751"/>
        <v>101</v>
      </c>
      <c r="Z647" s="1"/>
      <c r="AA647" s="133">
        <f>IF($J647=$G$2,ROUND(IF(ISNUMBER(S647),S647,IF(LEFT(S647,2)="DI",HLOOKUP(S647,DADOS!$T$29:$X$30,2,FALSE),0)),4),"")</f>
        <v>0.25</v>
      </c>
      <c r="AB647" s="2"/>
    </row>
    <row r="648" spans="1:28">
      <c r="A648" t="str">
        <f t="shared" si="737"/>
        <v>S</v>
      </c>
      <c r="B648">
        <f t="shared" si="738"/>
        <v>0</v>
      </c>
      <c r="C648">
        <f t="shared" ca="1" si="739"/>
        <v>8</v>
      </c>
      <c r="D648">
        <f t="shared" ca="1" si="740"/>
        <v>1</v>
      </c>
      <c r="E648">
        <f t="shared" ca="1" si="741"/>
        <v>0</v>
      </c>
      <c r="F648">
        <f t="shared" ca="1" si="742"/>
        <v>0</v>
      </c>
      <c r="G648">
        <f t="shared" ca="1" si="743"/>
        <v>6</v>
      </c>
      <c r="H648">
        <f ca="1">IF(OR($A648="S",$A648=0),0,MATCH(0,OFFSET($B648,1,$A648,ROW($A$1504)-ROW($A648)),0))</f>
        <v>0</v>
      </c>
      <c r="I648">
        <f ca="1">IF(OR($A648="S",$A648=0),0,MATCH(OFFSET($B648,0,$A648)+1,OFFSET($B648,1,$A648,ROW($A$1504)-ROW($A648)),0))</f>
        <v>0</v>
      </c>
      <c r="J648" s="132" t="s">
        <v>29</v>
      </c>
      <c r="K648" s="121" t="str">
        <f t="shared" ca="1" si="744"/>
        <v>8.1.6.</v>
      </c>
      <c r="L648" s="137" t="str">
        <f t="shared" ca="1" si="745"/>
        <v>Cotação</v>
      </c>
      <c r="M648" s="122" t="s">
        <v>80</v>
      </c>
      <c r="N648" s="139" t="s">
        <v>170</v>
      </c>
      <c r="O648" s="137" t="str">
        <f t="shared" ca="1" si="752"/>
        <v>Coffee break (salgados)</v>
      </c>
      <c r="P648" s="138" t="str">
        <f t="shared" ca="1" si="746"/>
        <v>Centro</v>
      </c>
      <c r="Q648" s="134">
        <v>4</v>
      </c>
      <c r="R648" s="124">
        <f t="shared" ca="1" si="747"/>
        <v>65</v>
      </c>
      <c r="S648" s="136" t="s">
        <v>62</v>
      </c>
      <c r="T648" s="123">
        <f t="shared" ca="1" si="748"/>
        <v>81.25</v>
      </c>
      <c r="U648" s="126">
        <f t="shared" ca="1" si="749"/>
        <v>325</v>
      </c>
      <c r="V648" s="1"/>
      <c r="W648" s="39" t="str">
        <f ca="1">IF(OR($A648=0,$A648="S",$A648&gt;CFF!$A$9),"",MAX(W$11:OFFSET(W648,-1,0))+1)</f>
        <v/>
      </c>
      <c r="X648" s="4" t="str">
        <f t="shared" si="750"/>
        <v>Serv. Terc.-026</v>
      </c>
      <c r="Y648" s="39">
        <f t="shared" ca="1" si="751"/>
        <v>106</v>
      </c>
      <c r="Z648" s="1"/>
      <c r="AA648" s="133">
        <f>IF($J648=$G$2,ROUND(IF(ISNUMBER(S648),S648,IF(LEFT(S648,2)="DI",HLOOKUP(S648,DADOS!$T$29:$X$30,2,FALSE),0)),4),"")</f>
        <v>0.25</v>
      </c>
      <c r="AB648" s="2"/>
    </row>
    <row r="649" spans="1:28">
      <c r="A649" t="str">
        <f t="shared" si="737"/>
        <v>S</v>
      </c>
      <c r="B649">
        <f t="shared" si="738"/>
        <v>0</v>
      </c>
      <c r="C649">
        <f t="shared" ca="1" si="739"/>
        <v>8</v>
      </c>
      <c r="D649">
        <f t="shared" ca="1" si="740"/>
        <v>1</v>
      </c>
      <c r="E649">
        <f t="shared" ca="1" si="741"/>
        <v>0</v>
      </c>
      <c r="F649">
        <f t="shared" ca="1" si="742"/>
        <v>0</v>
      </c>
      <c r="G649">
        <f t="shared" ca="1" si="743"/>
        <v>7</v>
      </c>
      <c r="H649">
        <f ca="1">IF(OR($A649="S",$A649=0),0,MATCH(0,OFFSET($B649,1,$A649,ROW($A$1504)-ROW($A649)),0))</f>
        <v>0</v>
      </c>
      <c r="I649">
        <f ca="1">IF(OR($A649="S",$A649=0),0,MATCH(OFFSET($B649,0,$A649)+1,OFFSET($B649,1,$A649,ROW($A$1504)-ROW($A649)),0))</f>
        <v>0</v>
      </c>
      <c r="J649" s="132" t="s">
        <v>29</v>
      </c>
      <c r="K649" s="121" t="str">
        <f t="shared" ca="1" si="744"/>
        <v>8.1.7.</v>
      </c>
      <c r="L649" s="137" t="str">
        <f t="shared" ca="1" si="745"/>
        <v>Cotação</v>
      </c>
      <c r="M649" s="122" t="s">
        <v>80</v>
      </c>
      <c r="N649" s="139" t="s">
        <v>171</v>
      </c>
      <c r="O649" s="137" t="str">
        <f t="shared" ca="1" si="752"/>
        <v xml:space="preserve">Refrigerantes (02 litros) </v>
      </c>
      <c r="P649" s="138" t="str">
        <f t="shared" ca="1" si="746"/>
        <v>Unidade</v>
      </c>
      <c r="Q649" s="134">
        <v>12</v>
      </c>
      <c r="R649" s="124">
        <f t="shared" ca="1" si="747"/>
        <v>6</v>
      </c>
      <c r="S649" s="136" t="s">
        <v>62</v>
      </c>
      <c r="T649" s="123">
        <f t="shared" ca="1" si="748"/>
        <v>7.5</v>
      </c>
      <c r="U649" s="126">
        <f t="shared" ca="1" si="749"/>
        <v>90</v>
      </c>
      <c r="V649" s="1"/>
      <c r="W649" s="39" t="str">
        <f ca="1">IF(OR($A649=0,$A649="S",$A649&gt;CFF!$A$9),"",MAX(W$11:OFFSET(W649,-1,0))+1)</f>
        <v/>
      </c>
      <c r="X649" s="4" t="str">
        <f t="shared" si="750"/>
        <v>Serv. Terc.-027</v>
      </c>
      <c r="Y649" s="39">
        <f t="shared" ca="1" si="751"/>
        <v>107</v>
      </c>
      <c r="Z649" s="1"/>
      <c r="AA649" s="133">
        <f>IF($J649=$G$2,ROUND(IF(ISNUMBER(S649),S649,IF(LEFT(S649,2)="DI",HLOOKUP(S649,DADOS!$T$29:$X$30,2,FALSE),0)),4),"")</f>
        <v>0.25</v>
      </c>
      <c r="AB649" s="2"/>
    </row>
    <row r="650" spans="1:28">
      <c r="A650">
        <f>CHOOSE(1+LOG(1+2*(J650=$C$2)+4*(J650=$D$2)+8*(J650=$E$2)+16*(J650=$F$2)+32*(J650=$G$2),2),0,1,2,3,4,"S")</f>
        <v>2</v>
      </c>
      <c r="B650">
        <f ca="1">IF(OR(A650="S",A650=0),0,IF(ISERROR(I650),H650,SMALL(H650:I650,1)))</f>
        <v>3</v>
      </c>
      <c r="C650">
        <f ca="1">IF($A650=1,OFFSET(C650,-1,0)+1,OFFSET(C650,-1,0))</f>
        <v>8</v>
      </c>
      <c r="D650">
        <f ca="1">IF($A650=1,0,IF($A650=2,OFFSET(D650,-1,0)+1,OFFSET(D650,-1,0)))</f>
        <v>2</v>
      </c>
      <c r="E650">
        <f ca="1">IF(AND($A650&lt;=2,$A650&lt;&gt;0),0,IF($A650=3,OFFSET(E650,-1,0)+1,OFFSET(E650,-1,0)))</f>
        <v>0</v>
      </c>
      <c r="F650">
        <f ca="1">IF(AND($A650&lt;=3,$A650&lt;&gt;0),0,IF($A650=4,OFFSET(F650,-1,0)+1,OFFSET(F650,-1,0)))</f>
        <v>0</v>
      </c>
      <c r="G650">
        <f ca="1">IF(AND($A650&lt;=4,$A650&lt;&gt;0),0,IF($A650="S",OFFSET(G650,-1,0)+1,OFFSET(G650,-1,0)))</f>
        <v>0</v>
      </c>
      <c r="H650">
        <f ca="1">IF(OR($A650="S",$A650=0),0,MATCH(0,OFFSET($B650,1,$A650,ROW($A$1504)-ROW($A650)),0))</f>
        <v>43</v>
      </c>
      <c r="I650">
        <f ca="1">IF(OR($A650="S",$A650=0),0,MATCH(OFFSET($B650,0,$A650)+1,OFFSET($B650,1,$A650,ROW($A$1504)-ROW($A650)),0))</f>
        <v>3</v>
      </c>
      <c r="J650" s="132" t="s">
        <v>68</v>
      </c>
      <c r="K650" s="121" t="str">
        <f ca="1">IF($A650=0,"-",CONCATENATE(C650&amp;".",IF(AND($A$5&gt;=2,$A650&gt;=2),D650&amp;".",""),IF(AND($A$5&gt;=3,$A650&gt;=3),E650&amp;".",""),IF(AND($A$5&gt;=4,$A650&gt;=4),F650&amp;".",""),IF($A650="S",G650&amp;".","")))</f>
        <v>8.2.</v>
      </c>
      <c r="L650" s="137" t="str">
        <f ca="1">IF(NOT(ISERROR($Y650)),IF($Y650&lt;&gt;FALSE,INDEX(Banco,$Y650,4),""),"")</f>
        <v/>
      </c>
      <c r="M650" s="122"/>
      <c r="N650" s="139"/>
      <c r="O650" s="137" t="s">
        <v>393</v>
      </c>
      <c r="P650" s="138" t="str">
        <f ca="1">IF(NOT(ISERROR($Y650)),IF($Y650&lt;&gt;FALSE,INDEX(Banco,$Y650,6),""),"")</f>
        <v/>
      </c>
      <c r="Q650" s="134"/>
      <c r="R650" s="124">
        <f ca="1">IF(NOT(ISERROR($Y650)),IF($Y650&lt;&gt;FALSE,INDEX(Banco,$Y650,7),0),0)</f>
        <v>0</v>
      </c>
      <c r="S650" s="136" t="s">
        <v>62</v>
      </c>
      <c r="T650" s="123">
        <f>IF($J650=$G$2,ROUND(ROUND($R650,2)*IF($R$9="Preço Unitário (R$)",1,1+$AA650),2),0)</f>
        <v>0</v>
      </c>
      <c r="U650" s="126">
        <f ca="1">IF($A650="S",VTOTAL1,IF($A650=0,0,ROUND(SomaAgrup,2)))</f>
        <v>3427.56</v>
      </c>
      <c r="V650" s="1"/>
      <c r="W650" s="39">
        <f ca="1">IF(OR($A650=0,$A650="S",$A650&gt;CFF!$A$9),"",MAX(W$11:OFFSET(W650,-1,0))+1)</f>
        <v>54</v>
      </c>
      <c r="X650" s="4" t="b">
        <f>IF(AND($J650=$G$2,$N650&lt;&gt;"",$M650&lt;&gt;""),CONCATENATE($M650,"-",$N650))</f>
        <v>0</v>
      </c>
      <c r="Y650" s="39" t="b">
        <f ca="1">IF(X650&lt;&gt;FALSE,MATCH(X650,OFFSET(Banco,0,0,,1),0))</f>
        <v>0</v>
      </c>
      <c r="Z650" s="1"/>
      <c r="AA650" s="133" t="str">
        <f>IF($J650=$G$2,ROUND(IF(ISNUMBER(S650),S650,IF(LEFT(S650,2)="DI",HLOOKUP(S650,DADOS!$T$29:$X$30,2,FALSE),0)),4),"")</f>
        <v/>
      </c>
      <c r="AB650" s="2"/>
    </row>
    <row r="651" spans="1:28">
      <c r="A651" t="str">
        <f t="shared" ref="A651:A656" si="753">CHOOSE(1+LOG(1+2*(J651=$C$2)+4*(J651=$D$2)+8*(J651=$E$2)+16*(J651=$F$2)+32*(J651=$G$2),2),0,1,2,3,4,"S")</f>
        <v>S</v>
      </c>
      <c r="B651">
        <f t="shared" ref="B651:B656" si="754">IF(OR(A651="S",A651=0),0,IF(ISERROR(I651),H651,SMALL(H651:I651,1)))</f>
        <v>0</v>
      </c>
      <c r="C651">
        <f t="shared" ref="C651:C652" ca="1" si="755">IF($A651=1,OFFSET(C651,-1,0)+1,OFFSET(C651,-1,0))</f>
        <v>8</v>
      </c>
      <c r="D651">
        <f t="shared" ref="D651:D652" ca="1" si="756">IF($A651=1,0,IF($A651=2,OFFSET(D651,-1,0)+1,OFFSET(D651,-1,0)))</f>
        <v>2</v>
      </c>
      <c r="E651">
        <f t="shared" ref="E651:E652" ca="1" si="757">IF(AND($A651&lt;=2,$A651&lt;&gt;0),0,IF($A651=3,OFFSET(E651,-1,0)+1,OFFSET(E651,-1,0)))</f>
        <v>0</v>
      </c>
      <c r="F651">
        <f t="shared" ref="F651:F652" ca="1" si="758">IF(AND($A651&lt;=3,$A651&lt;&gt;0),0,IF($A651=4,OFFSET(F651,-1,0)+1,OFFSET(F651,-1,0)))</f>
        <v>0</v>
      </c>
      <c r="G651">
        <f t="shared" ref="G651:G652" ca="1" si="759">IF(AND($A651&lt;=4,$A651&lt;&gt;0),0,IF($A651="S",OFFSET(G651,-1,0)+1,OFFSET(G651,-1,0)))</f>
        <v>1</v>
      </c>
      <c r="H651">
        <f ca="1">IF(OR($A651="S",$A651=0),0,MATCH(0,OFFSET($B651,1,$A651,ROW($A$1504)-ROW($A651)),0))</f>
        <v>0</v>
      </c>
      <c r="I651">
        <f ca="1">IF(OR($A651="S",$A651=0),0,MATCH(OFFSET($B651,0,$A651)+1,OFFSET($B651,1,$A651,ROW($A$1504)-ROW($A651)),0))</f>
        <v>0</v>
      </c>
      <c r="J651" s="132" t="s">
        <v>29</v>
      </c>
      <c r="K651" s="121" t="str">
        <f t="shared" ref="K651:K656" ca="1" si="760">IF($A651=0,"-",CONCATENATE(C651&amp;".",IF(AND($A$5&gt;=2,$A651&gt;=2),D651&amp;".",""),IF(AND($A$5&gt;=3,$A651&gt;=3),E651&amp;".",""),IF(AND($A$5&gt;=4,$A651&gt;=4),F651&amp;".",""),IF($A651="S",G651&amp;".","")))</f>
        <v>8.2.1.</v>
      </c>
      <c r="L651" s="137" t="str">
        <f t="shared" ref="L651:L652" ca="1" si="761">IF(NOT(ISERROR($Y651)),IF($Y651&lt;&gt;FALSE,INDEX(Banco,$Y651,4),""),"")</f>
        <v>CRESS</v>
      </c>
      <c r="M651" s="122" t="s">
        <v>78</v>
      </c>
      <c r="N651" s="139" t="s">
        <v>149</v>
      </c>
      <c r="O651" s="137" t="str">
        <f ca="1">IF(NOT(ISERROR($Y651)),IF($Y651&lt;&gt;FALSE,INDEX(Banco,$Y651,5),""),"")</f>
        <v>Responsável Técnica</v>
      </c>
      <c r="P651" s="138" t="str">
        <f t="shared" ref="P651:P652" ca="1" si="762">IF(NOT(ISERROR($Y651)),IF($Y651&lt;&gt;FALSE,INDEX(Banco,$Y651,6),""),"")</f>
        <v>Horas</v>
      </c>
      <c r="Q651" s="134">
        <v>4</v>
      </c>
      <c r="R651" s="124">
        <f t="shared" ref="R651:R652" ca="1" si="763">IF(NOT(ISERROR($Y651)),IF($Y651&lt;&gt;FALSE,INDEX(Banco,$Y651,7),0),0)</f>
        <v>150.28</v>
      </c>
      <c r="S651" s="136" t="s">
        <v>62</v>
      </c>
      <c r="T651" s="123">
        <f t="shared" ref="T651:T652" ca="1" si="764">IF($J651=$G$2,ROUND(ROUND($R651,2)*IF($R$9="Preço Unitário (R$)",1,1+$AA651),2),0)</f>
        <v>187.85</v>
      </c>
      <c r="U651" s="126">
        <f t="shared" ref="U651:U652" ca="1" si="765">IF($A651="S",VTOTAL1,IF($A651=0,0,ROUND(SomaAgrup,2)))</f>
        <v>751.4</v>
      </c>
      <c r="V651" s="1"/>
      <c r="W651" s="39" t="str">
        <f ca="1">IF(OR($A651=0,$A651="S",$A651&gt;CFF!$A$9),"",MAX(W$11:OFFSET(W651,-1,0))+1)</f>
        <v/>
      </c>
      <c r="X651" s="4" t="str">
        <f t="shared" ref="X651:X652" si="766">IF(AND($J651=$G$2,$N651&lt;&gt;"",$M651&lt;&gt;""),CONCATENATE($M651,"-",$N651))</f>
        <v>Rec. Humanos-001</v>
      </c>
      <c r="Y651" s="39">
        <f t="shared" ref="Y651:Y656" ca="1" si="767">IF(X651&lt;&gt;FALSE,MATCH(X651,OFFSET(Banco,0,0,,1),0))</f>
        <v>3</v>
      </c>
      <c r="Z651" s="1"/>
      <c r="AA651" s="133">
        <f>IF($J651=$G$2,ROUND(IF(ISNUMBER(S651),S651,IF(LEFT(S651,2)="DI",HLOOKUP(S651,DADOS!$T$29:$X$30,2,FALSE),0)),4),"")</f>
        <v>0.25</v>
      </c>
      <c r="AB651" s="2"/>
    </row>
    <row r="652" spans="1:28">
      <c r="A652" t="str">
        <f t="shared" si="753"/>
        <v>S</v>
      </c>
      <c r="B652">
        <f t="shared" si="754"/>
        <v>0</v>
      </c>
      <c r="C652">
        <f t="shared" ca="1" si="755"/>
        <v>8</v>
      </c>
      <c r="D652">
        <f t="shared" ca="1" si="756"/>
        <v>2</v>
      </c>
      <c r="E652">
        <f t="shared" ca="1" si="757"/>
        <v>0</v>
      </c>
      <c r="F652">
        <f t="shared" ca="1" si="758"/>
        <v>0</v>
      </c>
      <c r="G652">
        <f t="shared" ca="1" si="759"/>
        <v>2</v>
      </c>
      <c r="H652">
        <f ca="1">IF(OR($A652="S",$A652=0),0,MATCH(0,OFFSET($B652,1,$A652,ROW($A$1504)-ROW($A652)),0))</f>
        <v>0</v>
      </c>
      <c r="I652">
        <f ca="1">IF(OR($A652="S",$A652=0),0,MATCH(OFFSET($B652,0,$A652)+1,OFFSET($B652,1,$A652,ROW($A$1504)-ROW($A652)),0))</f>
        <v>0</v>
      </c>
      <c r="J652" s="132" t="s">
        <v>29</v>
      </c>
      <c r="K652" s="121" t="str">
        <f t="shared" ca="1" si="760"/>
        <v>8.2.2.</v>
      </c>
      <c r="L652" s="137" t="str">
        <f t="shared" ca="1" si="761"/>
        <v>CRESS</v>
      </c>
      <c r="M652" s="122" t="s">
        <v>78</v>
      </c>
      <c r="N652" s="139" t="s">
        <v>152</v>
      </c>
      <c r="O652" s="137" t="str">
        <f ca="1">IF(NOT(ISERROR($Y652)),IF($Y652&lt;&gt;FALSE,INDEX(Banco,$Y652,5),""),"")</f>
        <v>Assistente Social</v>
      </c>
      <c r="P652" s="138" t="str">
        <f t="shared" ca="1" si="762"/>
        <v>Horas</v>
      </c>
      <c r="Q652" s="134">
        <v>16</v>
      </c>
      <c r="R652" s="124">
        <f t="shared" ca="1" si="763"/>
        <v>133.81</v>
      </c>
      <c r="S652" s="136" t="s">
        <v>62</v>
      </c>
      <c r="T652" s="123">
        <f t="shared" ca="1" si="764"/>
        <v>167.26</v>
      </c>
      <c r="U652" s="126">
        <f t="shared" ca="1" si="765"/>
        <v>2676.16</v>
      </c>
      <c r="V652" s="1"/>
      <c r="W652" s="39" t="str">
        <f ca="1">IF(OR($A652=0,$A652="S",$A652&gt;CFF!$A$9),"",MAX(W$11:OFFSET(W652,-1,0))+1)</f>
        <v/>
      </c>
      <c r="X652" s="4" t="str">
        <f t="shared" si="766"/>
        <v>Rec. Humanos-002</v>
      </c>
      <c r="Y652" s="39">
        <f t="shared" ca="1" si="767"/>
        <v>4</v>
      </c>
      <c r="Z652" s="1"/>
      <c r="AA652" s="133">
        <f>IF($J652=$G$2,ROUND(IF(ISNUMBER(S652),S652,IF(LEFT(S652,2)="DI",HLOOKUP(S652,DADOS!$T$29:$X$30,2,FALSE),0)),4),"")</f>
        <v>0.25</v>
      </c>
      <c r="AB652" s="2"/>
    </row>
    <row r="653" spans="1:28">
      <c r="A653">
        <f>CHOOSE(1+LOG(1+2*(J653=$C$2)+4*(J653=$D$2)+8*(J653=$E$2)+16*(J653=$F$2)+32*(J653=$G$2),2),0,1,2,3,4,"S")</f>
        <v>2</v>
      </c>
      <c r="B653">
        <f ca="1">IF(OR(A653="S",A653=0),0,IF(ISERROR(I653),H653,SMALL(H653:I653,1)))</f>
        <v>4</v>
      </c>
      <c r="C653">
        <f ca="1">IF($A653=1,OFFSET(C653,-1,0)+1,OFFSET(C653,-1,0))</f>
        <v>8</v>
      </c>
      <c r="D653">
        <f ca="1">IF($A653=1,0,IF($A653=2,OFFSET(D653,-1,0)+1,OFFSET(D653,-1,0)))</f>
        <v>3</v>
      </c>
      <c r="E653">
        <f ca="1">IF(AND($A653&lt;=2,$A653&lt;&gt;0),0,IF($A653=3,OFFSET(E653,-1,0)+1,OFFSET(E653,-1,0)))</f>
        <v>0</v>
      </c>
      <c r="F653">
        <f ca="1">IF(AND($A653&lt;=3,$A653&lt;&gt;0),0,IF($A653=4,OFFSET(F653,-1,0)+1,OFFSET(F653,-1,0)))</f>
        <v>0</v>
      </c>
      <c r="G653">
        <f ca="1">IF(AND($A653&lt;=4,$A653&lt;&gt;0),0,IF($A653="S",OFFSET(G653,-1,0)+1,OFFSET(G653,-1,0)))</f>
        <v>0</v>
      </c>
      <c r="H653">
        <f ca="1">IF(OR($A653="S",$A653=0),0,MATCH(0,OFFSET($B653,1,$A653,ROW($A$1504)-ROW($A653)),0))</f>
        <v>40</v>
      </c>
      <c r="I653">
        <f ca="1">IF(OR($A653="S",$A653=0),0,MATCH(OFFSET($B653,0,$A653)+1,OFFSET($B653,1,$A653,ROW($A$1504)-ROW($A653)),0))</f>
        <v>4</v>
      </c>
      <c r="J653" s="132" t="s">
        <v>68</v>
      </c>
      <c r="K653" s="121" t="str">
        <f ca="1">IF($A653=0,"-",CONCATENATE(C653&amp;".",IF(AND($A$5&gt;=2,$A653&gt;=2),D653&amp;".",""),IF(AND($A$5&gt;=3,$A653&gt;=3),E653&amp;".",""),IF(AND($A$5&gt;=4,$A653&gt;=4),F653&amp;".",""),IF($A653="S",G653&amp;".","")))</f>
        <v>8.3.</v>
      </c>
      <c r="L653" s="137" t="str">
        <f ca="1">IF(NOT(ISERROR($Y653)),IF($Y653&lt;&gt;FALSE,INDEX(Banco,$Y653,4),""),"")</f>
        <v/>
      </c>
      <c r="M653" s="122"/>
      <c r="N653" s="139"/>
      <c r="O653" s="137" t="s">
        <v>394</v>
      </c>
      <c r="P653" s="138" t="str">
        <f ca="1">IF(NOT(ISERROR($Y653)),IF($Y653&lt;&gt;FALSE,INDEX(Banco,$Y653,6),""),"")</f>
        <v/>
      </c>
      <c r="Q653" s="134"/>
      <c r="R653" s="124">
        <f ca="1">IF(NOT(ISERROR($Y653)),IF($Y653&lt;&gt;FALSE,INDEX(Banco,$Y653,7),0),0)</f>
        <v>0</v>
      </c>
      <c r="S653" s="136" t="s">
        <v>62</v>
      </c>
      <c r="T653" s="123">
        <f>IF($J653=$G$2,ROUND(ROUND($R653,2)*IF($R$9="Preço Unitário (R$)",1,1+$AA653),2),0)</f>
        <v>0</v>
      </c>
      <c r="U653" s="126">
        <f ca="1">IF($A653="S",VTOTAL1,IF($A653=0,0,ROUND(SomaAgrup,2)))</f>
        <v>12670.98</v>
      </c>
      <c r="V653" s="1"/>
      <c r="W653" s="39">
        <f ca="1">IF(OR($A653=0,$A653="S",$A653&gt;CFF!$A$9),"",MAX(W$11:OFFSET(W653,-1,0))+1)</f>
        <v>55</v>
      </c>
      <c r="X653" s="4" t="b">
        <f>IF(AND($J653=$G$2,$N653&lt;&gt;"",$M653&lt;&gt;""),CONCATENATE($M653,"-",$N653))</f>
        <v>0</v>
      </c>
      <c r="Y653" s="39" t="b">
        <f ca="1">IF(X653&lt;&gt;FALSE,MATCH(X653,OFFSET(Banco,0,0,,1),0))</f>
        <v>0</v>
      </c>
      <c r="Z653" s="1"/>
      <c r="AA653" s="133" t="str">
        <f>IF($J653=$G$2,ROUND(IF(ISNUMBER(S653),S653,IF(LEFT(S653,2)="DI",HLOOKUP(S653,DADOS!$T$29:$X$30,2,FALSE),0)),4),"")</f>
        <v/>
      </c>
      <c r="AB653" s="2"/>
    </row>
    <row r="654" spans="1:28">
      <c r="A654" t="str">
        <f t="shared" si="753"/>
        <v>S</v>
      </c>
      <c r="B654">
        <f t="shared" si="754"/>
        <v>0</v>
      </c>
      <c r="C654">
        <f t="shared" ref="C654:C662" ca="1" si="768">IF($A654=1,OFFSET(C654,-1,0)+1,OFFSET(C654,-1,0))</f>
        <v>8</v>
      </c>
      <c r="D654">
        <f t="shared" ref="D654:D662" ca="1" si="769">IF($A654=1,0,IF($A654=2,OFFSET(D654,-1,0)+1,OFFSET(D654,-1,0)))</f>
        <v>3</v>
      </c>
      <c r="E654">
        <f t="shared" ref="E654:E662" ca="1" si="770">IF(AND($A654&lt;=2,$A654&lt;&gt;0),0,IF($A654=3,OFFSET(E654,-1,0)+1,OFFSET(E654,-1,0)))</f>
        <v>0</v>
      </c>
      <c r="F654">
        <f t="shared" ref="F654:F662" ca="1" si="771">IF(AND($A654&lt;=3,$A654&lt;&gt;0),0,IF($A654=4,OFFSET(F654,-1,0)+1,OFFSET(F654,-1,0)))</f>
        <v>0</v>
      </c>
      <c r="G654">
        <f t="shared" ref="G654:G662" ca="1" si="772">IF(AND($A654&lt;=4,$A654&lt;&gt;0),0,IF($A654="S",OFFSET(G654,-1,0)+1,OFFSET(G654,-1,0)))</f>
        <v>1</v>
      </c>
      <c r="H654">
        <f ca="1">IF(OR($A654="S",$A654=0),0,MATCH(0,OFFSET($B654,1,$A654,ROW($A$1504)-ROW($A654)),0))</f>
        <v>0</v>
      </c>
      <c r="I654">
        <f ca="1">IF(OR($A654="S",$A654=0),0,MATCH(OFFSET($B654,0,$A654)+1,OFFSET($B654,1,$A654,ROW($A$1504)-ROW($A654)),0))</f>
        <v>0</v>
      </c>
      <c r="J654" s="132" t="s">
        <v>29</v>
      </c>
      <c r="K654" s="121" t="str">
        <f t="shared" ca="1" si="760"/>
        <v>8.3.1.</v>
      </c>
      <c r="L654" s="137" t="str">
        <f t="shared" ref="L654:L662" ca="1" si="773">IF(NOT(ISERROR($Y654)),IF($Y654&lt;&gt;FALSE,INDEX(Banco,$Y654,4),""),"")</f>
        <v>CRESS</v>
      </c>
      <c r="M654" s="122" t="s">
        <v>78</v>
      </c>
      <c r="N654" s="139" t="s">
        <v>152</v>
      </c>
      <c r="O654" s="137" t="str">
        <f ca="1">IF(NOT(ISERROR($Y654)),IF($Y654&lt;&gt;FALSE,INDEX(Banco,$Y654,5),""),"")</f>
        <v>Assistente Social</v>
      </c>
      <c r="P654" s="138" t="str">
        <f t="shared" ref="P654:P662" ca="1" si="774">IF(NOT(ISERROR($Y654)),IF($Y654&lt;&gt;FALSE,INDEX(Banco,$Y654,6),""),"")</f>
        <v>Horas</v>
      </c>
      <c r="Q654" s="134">
        <v>4</v>
      </c>
      <c r="R654" s="124">
        <f t="shared" ref="R654:R662" ca="1" si="775">IF(NOT(ISERROR($Y654)),IF($Y654&lt;&gt;FALSE,INDEX(Banco,$Y654,7),0),0)</f>
        <v>133.81</v>
      </c>
      <c r="S654" s="136" t="s">
        <v>62</v>
      </c>
      <c r="T654" s="123">
        <f t="shared" ref="T654:T662" ca="1" si="776">IF($J654=$G$2,ROUND(ROUND($R654,2)*IF($R$9="Preço Unitário (R$)",1,1+$AA654),2),0)</f>
        <v>167.26</v>
      </c>
      <c r="U654" s="126">
        <f t="shared" ref="U654:U662" ca="1" si="777">IF($A654="S",VTOTAL1,IF($A654=0,0,ROUND(SomaAgrup,2)))</f>
        <v>669.04</v>
      </c>
      <c r="V654" s="1"/>
      <c r="W654" s="39" t="str">
        <f ca="1">IF(OR($A654=0,$A654="S",$A654&gt;CFF!$A$9),"",MAX(W$11:OFFSET(W654,-1,0))+1)</f>
        <v/>
      </c>
      <c r="X654" s="4" t="str">
        <f t="shared" ref="X654:X662" si="778">IF(AND($J654=$G$2,$N654&lt;&gt;"",$M654&lt;&gt;""),CONCATENATE($M654,"-",$N654))</f>
        <v>Rec. Humanos-002</v>
      </c>
      <c r="Y654" s="39">
        <f t="shared" ca="1" si="767"/>
        <v>4</v>
      </c>
      <c r="Z654" s="1"/>
      <c r="AA654" s="133">
        <f>IF($J654=$G$2,ROUND(IF(ISNUMBER(S654),S654,IF(LEFT(S654,2)="DI",HLOOKUP(S654,DADOS!$T$29:$X$30,2,FALSE),0)),4),"")</f>
        <v>0.25</v>
      </c>
      <c r="AB654" s="2"/>
    </row>
    <row r="655" spans="1:28">
      <c r="A655" t="str">
        <f t="shared" si="753"/>
        <v>S</v>
      </c>
      <c r="B655">
        <f t="shared" si="754"/>
        <v>0</v>
      </c>
      <c r="C655">
        <f t="shared" ca="1" si="768"/>
        <v>8</v>
      </c>
      <c r="D655">
        <f t="shared" ca="1" si="769"/>
        <v>3</v>
      </c>
      <c r="E655">
        <f t="shared" ca="1" si="770"/>
        <v>0</v>
      </c>
      <c r="F655">
        <f t="shared" ca="1" si="771"/>
        <v>0</v>
      </c>
      <c r="G655">
        <f t="shared" ca="1" si="772"/>
        <v>2</v>
      </c>
      <c r="H655">
        <f ca="1">IF(OR($A655="S",$A655=0),0,MATCH(0,OFFSET($B655,1,$A655,ROW($A$1504)-ROW($A655)),0))</f>
        <v>0</v>
      </c>
      <c r="I655">
        <f ca="1">IF(OR($A655="S",$A655=0),0,MATCH(OFFSET($B655,0,$A655)+1,OFFSET($B655,1,$A655,ROW($A$1504)-ROW($A655)),0))</f>
        <v>0</v>
      </c>
      <c r="J655" s="132" t="s">
        <v>29</v>
      </c>
      <c r="K655" s="121" t="str">
        <f t="shared" ca="1" si="760"/>
        <v>8.3.2.</v>
      </c>
      <c r="L655" s="137" t="str">
        <f t="shared" ca="1" si="773"/>
        <v>Cotação</v>
      </c>
      <c r="M655" s="122" t="s">
        <v>78</v>
      </c>
      <c r="N655" s="139" t="s">
        <v>151</v>
      </c>
      <c r="O655" s="137" t="str">
        <f ca="1">IF(NOT(ISERROR($Y655)),IF($Y655&lt;&gt;FALSE,INDEX(Banco,$Y655,5),""),"")</f>
        <v xml:space="preserve">Administrador (Técnico de Apoio) </v>
      </c>
      <c r="P655" s="138" t="str">
        <f t="shared" ca="1" si="774"/>
        <v>Horas</v>
      </c>
      <c r="Q655" s="134">
        <v>4</v>
      </c>
      <c r="R655" s="124">
        <f t="shared" ca="1" si="775"/>
        <v>103.65</v>
      </c>
      <c r="S655" s="136" t="s">
        <v>62</v>
      </c>
      <c r="T655" s="123">
        <f t="shared" ca="1" si="776"/>
        <v>129.56</v>
      </c>
      <c r="U655" s="126">
        <f t="shared" ca="1" si="777"/>
        <v>518.24</v>
      </c>
      <c r="V655" s="1"/>
      <c r="W655" s="39" t="str">
        <f ca="1">IF(OR($A655=0,$A655="S",$A655&gt;CFF!$A$9),"",MAX(W$11:OFFSET(W655,-1,0))+1)</f>
        <v/>
      </c>
      <c r="X655" s="4" t="str">
        <f t="shared" si="778"/>
        <v>Rec. Humanos-003</v>
      </c>
      <c r="Y655" s="39">
        <f t="shared" ca="1" si="767"/>
        <v>5</v>
      </c>
      <c r="Z655" s="1"/>
      <c r="AA655" s="133">
        <f>IF($J655=$G$2,ROUND(IF(ISNUMBER(S655),S655,IF(LEFT(S655,2)="DI",HLOOKUP(S655,DADOS!$T$29:$X$30,2,FALSE),0)),4),"")</f>
        <v>0.25</v>
      </c>
      <c r="AB655" s="2"/>
    </row>
    <row r="656" spans="1:28">
      <c r="A656" t="str">
        <f t="shared" si="753"/>
        <v>S</v>
      </c>
      <c r="B656">
        <f t="shared" si="754"/>
        <v>0</v>
      </c>
      <c r="C656">
        <f t="shared" ca="1" si="768"/>
        <v>8</v>
      </c>
      <c r="D656">
        <f t="shared" ca="1" si="769"/>
        <v>3</v>
      </c>
      <c r="E656">
        <f t="shared" ca="1" si="770"/>
        <v>0</v>
      </c>
      <c r="F656">
        <f t="shared" ca="1" si="771"/>
        <v>0</v>
      </c>
      <c r="G656">
        <f t="shared" ca="1" si="772"/>
        <v>3</v>
      </c>
      <c r="H656">
        <f ca="1">IF(OR($A656="S",$A656=0),0,MATCH(0,OFFSET($B656,1,$A656,ROW($A$1504)-ROW($A656)),0))</f>
        <v>0</v>
      </c>
      <c r="I656">
        <f ca="1">IF(OR($A656="S",$A656=0),0,MATCH(OFFSET($B656,0,$A656)+1,OFFSET($B656,1,$A656,ROW($A$1504)-ROW($A656)),0))</f>
        <v>0</v>
      </c>
      <c r="J656" s="132" t="s">
        <v>29</v>
      </c>
      <c r="K656" s="121" t="str">
        <f t="shared" ca="1" si="760"/>
        <v>8.3.3.</v>
      </c>
      <c r="L656" s="137" t="str">
        <f t="shared" ca="1" si="773"/>
        <v>SENAI</v>
      </c>
      <c r="M656" s="122" t="s">
        <v>80</v>
      </c>
      <c r="N656" s="139" t="s">
        <v>259</v>
      </c>
      <c r="O656" s="137" t="str">
        <f ca="1">IF(NOT(ISERROR($Y656)),IF($Y656&lt;&gt;FALSE,INDEX(Banco,$Y656,5),""),"")</f>
        <v>Culinária com técnica de congelado (curso completo)</v>
      </c>
      <c r="P656" s="138" t="str">
        <f t="shared" ca="1" si="774"/>
        <v>Vagas</v>
      </c>
      <c r="Q656" s="134">
        <v>30</v>
      </c>
      <c r="R656" s="124">
        <f t="shared" ca="1" si="775"/>
        <v>306.23</v>
      </c>
      <c r="S656" s="136" t="s">
        <v>62</v>
      </c>
      <c r="T656" s="123">
        <f t="shared" ca="1" si="776"/>
        <v>382.79</v>
      </c>
      <c r="U656" s="126">
        <f t="shared" ca="1" si="777"/>
        <v>11483.7</v>
      </c>
      <c r="V656" s="1"/>
      <c r="W656" s="39" t="str">
        <f ca="1">IF(OR($A656=0,$A656="S",$A656&gt;CFF!$A$9),"",MAX(W$11:OFFSET(W656,-1,0))+1)</f>
        <v/>
      </c>
      <c r="X656" s="4" t="str">
        <f t="shared" si="778"/>
        <v>Serv. Terc.-084</v>
      </c>
      <c r="Y656" s="39">
        <f t="shared" ca="1" si="767"/>
        <v>164</v>
      </c>
      <c r="Z656" s="1"/>
      <c r="AA656" s="133">
        <f>IF($J656=$G$2,ROUND(IF(ISNUMBER(S656),S656,IF(LEFT(S656,2)="DI",HLOOKUP(S656,DADOS!$T$29:$X$30,2,FALSE),0)),4),"")</f>
        <v>0.25</v>
      </c>
      <c r="AB656" s="2"/>
    </row>
    <row r="657" spans="1:28">
      <c r="A657">
        <f>CHOOSE(1+LOG(1+2*(J657=$C$2)+4*(J657=$D$2)+8*(J657=$E$2)+16*(J657=$F$2)+32*(J657=$G$2),2),0,1,2,3,4,"S")</f>
        <v>2</v>
      </c>
      <c r="B657">
        <f ca="1">IF(OR(A657="S",A657=0),0,IF(ISERROR(I657),H657,SMALL(H657:I657,1)))</f>
        <v>6</v>
      </c>
      <c r="C657">
        <f ca="1">IF($A657=1,OFFSET(C657,-1,0)+1,OFFSET(C657,-1,0))</f>
        <v>8</v>
      </c>
      <c r="D657">
        <f ca="1">IF($A657=1,0,IF($A657=2,OFFSET(D657,-1,0)+1,OFFSET(D657,-1,0)))</f>
        <v>4</v>
      </c>
      <c r="E657">
        <f ca="1">IF(AND($A657&lt;=2,$A657&lt;&gt;0),0,IF($A657=3,OFFSET(E657,-1,0)+1,OFFSET(E657,-1,0)))</f>
        <v>0</v>
      </c>
      <c r="F657">
        <f ca="1">IF(AND($A657&lt;=3,$A657&lt;&gt;0),0,IF($A657=4,OFFSET(F657,-1,0)+1,OFFSET(F657,-1,0)))</f>
        <v>0</v>
      </c>
      <c r="G657">
        <f ca="1">IF(AND($A657&lt;=4,$A657&lt;&gt;0),0,IF($A657="S",OFFSET(G657,-1,0)+1,OFFSET(G657,-1,0)))</f>
        <v>0</v>
      </c>
      <c r="H657">
        <f ca="1">IF(OR($A657="S",$A657=0),0,MATCH(0,OFFSET($B657,1,$A657,ROW($A$1504)-ROW($A657)),0))</f>
        <v>36</v>
      </c>
      <c r="I657">
        <f ca="1">IF(OR($A657="S",$A657=0),0,MATCH(OFFSET($B657,0,$A657)+1,OFFSET($B657,1,$A657,ROW($A$1504)-ROW($A657)),0))</f>
        <v>6</v>
      </c>
      <c r="J657" s="132" t="s">
        <v>68</v>
      </c>
      <c r="K657" s="121" t="str">
        <f ca="1">IF($A657=0,"-",CONCATENATE(C657&amp;".",IF(AND($A$5&gt;=2,$A657&gt;=2),D657&amp;".",""),IF(AND($A$5&gt;=3,$A657&gt;=3),E657&amp;".",""),IF(AND($A$5&gt;=4,$A657&gt;=4),F657&amp;".",""),IF($A657="S",G657&amp;".","")))</f>
        <v>8.4.</v>
      </c>
      <c r="L657" s="137" t="str">
        <f ca="1">IF(NOT(ISERROR($Y657)),IF($Y657&lt;&gt;FALSE,INDEX(Banco,$Y657,4),""),"")</f>
        <v/>
      </c>
      <c r="M657" s="122"/>
      <c r="N657" s="139"/>
      <c r="O657" s="137" t="s">
        <v>395</v>
      </c>
      <c r="P657" s="138" t="str">
        <f ca="1">IF(NOT(ISERROR($Y657)),IF($Y657&lt;&gt;FALSE,INDEX(Banco,$Y657,6),""),"")</f>
        <v/>
      </c>
      <c r="Q657" s="134"/>
      <c r="R657" s="124">
        <f ca="1">IF(NOT(ISERROR($Y657)),IF($Y657&lt;&gt;FALSE,INDEX(Banco,$Y657,7),0),0)</f>
        <v>0</v>
      </c>
      <c r="S657" s="136" t="s">
        <v>62</v>
      </c>
      <c r="T657" s="123">
        <f>IF($J657=$G$2,ROUND(ROUND($R657,2)*IF($R$9="Preço Unitário (R$)",1,1+$AA657),2),0)</f>
        <v>0</v>
      </c>
      <c r="U657" s="126">
        <f ca="1">IF($A657="S",VTOTAL1,IF($A657=0,0,ROUND(SomaAgrup,2)))</f>
        <v>7902.28</v>
      </c>
      <c r="V657" s="1"/>
      <c r="W657" s="39">
        <f ca="1">IF(OR($A657=0,$A657="S",$A657&gt;CFF!$A$9),"",MAX(W$11:OFFSET(W657,-1,0))+1)</f>
        <v>56</v>
      </c>
      <c r="X657" s="4" t="b">
        <f>IF(AND($J657=$G$2,$N657&lt;&gt;"",$M657&lt;&gt;""),CONCATENATE($M657,"-",$N657))</f>
        <v>0</v>
      </c>
      <c r="Y657" s="39" t="b">
        <f ca="1">IF(X657&lt;&gt;FALSE,MATCH(X657,OFFSET(Banco,0,0,,1),0))</f>
        <v>0</v>
      </c>
      <c r="Z657" s="1"/>
      <c r="AA657" s="133" t="str">
        <f>IF($J657=$G$2,ROUND(IF(ISNUMBER(S657),S657,IF(LEFT(S657,2)="DI",HLOOKUP(S657,DADOS!$T$29:$X$30,2,FALSE),0)),4),"")</f>
        <v/>
      </c>
      <c r="AB657" s="2"/>
    </row>
    <row r="658" spans="1:28">
      <c r="A658" t="str">
        <f t="shared" ref="A658:A662" si="779">CHOOSE(1+LOG(1+2*(J658=$C$2)+4*(J658=$D$2)+8*(J658=$E$2)+16*(J658=$F$2)+32*(J658=$G$2),2),0,1,2,3,4,"S")</f>
        <v>S</v>
      </c>
      <c r="B658">
        <f t="shared" ref="B658:B662" si="780">IF(OR(A658="S",A658=0),0,IF(ISERROR(I658),H658,SMALL(H658:I658,1)))</f>
        <v>0</v>
      </c>
      <c r="C658">
        <f t="shared" ca="1" si="768"/>
        <v>8</v>
      </c>
      <c r="D658">
        <f t="shared" ca="1" si="769"/>
        <v>4</v>
      </c>
      <c r="E658">
        <f t="shared" ca="1" si="770"/>
        <v>0</v>
      </c>
      <c r="F658">
        <f t="shared" ca="1" si="771"/>
        <v>0</v>
      </c>
      <c r="G658">
        <f t="shared" ca="1" si="772"/>
        <v>1</v>
      </c>
      <c r="H658">
        <f ca="1">IF(OR($A658="S",$A658=0),0,MATCH(0,OFFSET($B658,1,$A658,ROW($A$1504)-ROW($A658)),0))</f>
        <v>0</v>
      </c>
      <c r="I658">
        <f ca="1">IF(OR($A658="S",$A658=0),0,MATCH(OFFSET($B658,0,$A658)+1,OFFSET($B658,1,$A658,ROW($A$1504)-ROW($A658)),0))</f>
        <v>0</v>
      </c>
      <c r="J658" s="132" t="s">
        <v>29</v>
      </c>
      <c r="K658" s="121" t="str">
        <f t="shared" ref="K658:K662" ca="1" si="781">IF($A658=0,"-",CONCATENATE(C658&amp;".",IF(AND($A$5&gt;=2,$A658&gt;=2),D658&amp;".",""),IF(AND($A$5&gt;=3,$A658&gt;=3),E658&amp;".",""),IF(AND($A$5&gt;=4,$A658&gt;=4),F658&amp;".",""),IF($A658="S",G658&amp;".","")))</f>
        <v>8.4.1.</v>
      </c>
      <c r="L658" s="137" t="str">
        <f t="shared" ca="1" si="773"/>
        <v>CRESS</v>
      </c>
      <c r="M658" s="122" t="s">
        <v>78</v>
      </c>
      <c r="N658" s="139" t="s">
        <v>152</v>
      </c>
      <c r="O658" s="137" t="str">
        <f ca="1">IF(NOT(ISERROR($Y658)),IF($Y658&lt;&gt;FALSE,INDEX(Banco,$Y658,5),""),"")</f>
        <v>Assistente Social</v>
      </c>
      <c r="P658" s="138" t="str">
        <f t="shared" ca="1" si="774"/>
        <v>Horas</v>
      </c>
      <c r="Q658" s="134">
        <v>4</v>
      </c>
      <c r="R658" s="124">
        <f t="shared" ca="1" si="775"/>
        <v>133.81</v>
      </c>
      <c r="S658" s="136" t="s">
        <v>62</v>
      </c>
      <c r="T658" s="123">
        <f t="shared" ca="1" si="776"/>
        <v>167.26</v>
      </c>
      <c r="U658" s="126">
        <f t="shared" ca="1" si="777"/>
        <v>669.04</v>
      </c>
      <c r="V658" s="1"/>
      <c r="W658" s="39" t="str">
        <f ca="1">IF(OR($A658=0,$A658="S",$A658&gt;CFF!$A$9),"",MAX(W$11:OFFSET(W658,-1,0))+1)</f>
        <v/>
      </c>
      <c r="X658" s="4" t="str">
        <f t="shared" si="778"/>
        <v>Rec. Humanos-002</v>
      </c>
      <c r="Y658" s="39">
        <f t="shared" ref="Y658:Y662" ca="1" si="782">IF(X658&lt;&gt;FALSE,MATCH(X658,OFFSET(Banco,0,0,,1),0))</f>
        <v>4</v>
      </c>
      <c r="Z658" s="1"/>
      <c r="AA658" s="133">
        <f>IF($J658=$G$2,ROUND(IF(ISNUMBER(S658),S658,IF(LEFT(S658,2)="DI",HLOOKUP(S658,DADOS!$T$29:$X$30,2,FALSE),0)),4),"")</f>
        <v>0.25</v>
      </c>
      <c r="AB658" s="2"/>
    </row>
    <row r="659" spans="1:28">
      <c r="A659" t="str">
        <f t="shared" si="779"/>
        <v>S</v>
      </c>
      <c r="B659">
        <f t="shared" si="780"/>
        <v>0</v>
      </c>
      <c r="C659">
        <f t="shared" ca="1" si="768"/>
        <v>8</v>
      </c>
      <c r="D659">
        <f t="shared" ca="1" si="769"/>
        <v>4</v>
      </c>
      <c r="E659">
        <f t="shared" ca="1" si="770"/>
        <v>0</v>
      </c>
      <c r="F659">
        <f t="shared" ca="1" si="771"/>
        <v>0</v>
      </c>
      <c r="G659">
        <f t="shared" ca="1" si="772"/>
        <v>2</v>
      </c>
      <c r="H659">
        <f ca="1">IF(OR($A659="S",$A659=0),0,MATCH(0,OFFSET($B659,1,$A659,ROW($A$1504)-ROW($A659)),0))</f>
        <v>0</v>
      </c>
      <c r="I659">
        <f ca="1">IF(OR($A659="S",$A659=0),0,MATCH(OFFSET($B659,0,$A659)+1,OFFSET($B659,1,$A659,ROW($A$1504)-ROW($A659)),0))</f>
        <v>0</v>
      </c>
      <c r="J659" s="132" t="s">
        <v>29</v>
      </c>
      <c r="K659" s="121" t="str">
        <f t="shared" ca="1" si="781"/>
        <v>8.4.2.</v>
      </c>
      <c r="L659" s="137" t="str">
        <f t="shared" ca="1" si="773"/>
        <v>Cotação</v>
      </c>
      <c r="M659" s="122" t="s">
        <v>78</v>
      </c>
      <c r="N659" s="139" t="s">
        <v>151</v>
      </c>
      <c r="O659" s="137" t="str">
        <f ca="1">IF(NOT(ISERROR($Y659)),IF($Y659&lt;&gt;FALSE,INDEX(Banco,$Y659,5),""),"")</f>
        <v xml:space="preserve">Administrador (Técnico de Apoio) </v>
      </c>
      <c r="P659" s="138" t="str">
        <f t="shared" ca="1" si="774"/>
        <v>Horas</v>
      </c>
      <c r="Q659" s="134">
        <v>4</v>
      </c>
      <c r="R659" s="124">
        <f t="shared" ca="1" si="775"/>
        <v>103.65</v>
      </c>
      <c r="S659" s="136" t="s">
        <v>62</v>
      </c>
      <c r="T659" s="123">
        <f t="shared" ca="1" si="776"/>
        <v>129.56</v>
      </c>
      <c r="U659" s="126">
        <f t="shared" ca="1" si="777"/>
        <v>518.24</v>
      </c>
      <c r="V659" s="1"/>
      <c r="W659" s="39" t="str">
        <f ca="1">IF(OR($A659=0,$A659="S",$A659&gt;CFF!$A$9),"",MAX(W$11:OFFSET(W659,-1,0))+1)</f>
        <v/>
      </c>
      <c r="X659" s="4" t="str">
        <f t="shared" si="778"/>
        <v>Rec. Humanos-003</v>
      </c>
      <c r="Y659" s="39">
        <f t="shared" ca="1" si="782"/>
        <v>5</v>
      </c>
      <c r="Z659" s="1"/>
      <c r="AA659" s="133">
        <f>IF($J659=$G$2,ROUND(IF(ISNUMBER(S659),S659,IF(LEFT(S659,2)="DI",HLOOKUP(S659,DADOS!$T$29:$X$30,2,FALSE),0)),4),"")</f>
        <v>0.25</v>
      </c>
      <c r="AB659" s="2"/>
    </row>
    <row r="660" spans="1:28">
      <c r="A660" t="str">
        <f t="shared" si="779"/>
        <v>S</v>
      </c>
      <c r="B660">
        <f t="shared" si="780"/>
        <v>0</v>
      </c>
      <c r="C660">
        <f t="shared" ca="1" si="768"/>
        <v>8</v>
      </c>
      <c r="D660">
        <f t="shared" ca="1" si="769"/>
        <v>4</v>
      </c>
      <c r="E660">
        <f t="shared" ca="1" si="770"/>
        <v>0</v>
      </c>
      <c r="F660">
        <f t="shared" ca="1" si="771"/>
        <v>0</v>
      </c>
      <c r="G660">
        <f t="shared" ca="1" si="772"/>
        <v>3</v>
      </c>
      <c r="H660">
        <f ca="1">IF(OR($A660="S",$A660=0),0,MATCH(0,OFFSET($B660,1,$A660,ROW($A$1504)-ROW($A660)),0))</f>
        <v>0</v>
      </c>
      <c r="I660">
        <f ca="1">IF(OR($A660="S",$A660=0),0,MATCH(OFFSET($B660,0,$A660)+1,OFFSET($B660,1,$A660,ROW($A$1504)-ROW($A660)),0))</f>
        <v>0</v>
      </c>
      <c r="J660" s="132" t="s">
        <v>29</v>
      </c>
      <c r="K660" s="121" t="str">
        <f t="shared" ca="1" si="781"/>
        <v>8.4.3.</v>
      </c>
      <c r="L660" s="137" t="str">
        <f t="shared" ca="1" si="773"/>
        <v>Cotação</v>
      </c>
      <c r="M660" s="122" t="s">
        <v>80</v>
      </c>
      <c r="N660" s="139" t="s">
        <v>165</v>
      </c>
      <c r="O660" s="137" t="str">
        <f ca="1">IF(NOT(ISERROR($Y660)),IF($Y660&lt;&gt;FALSE,INDEX(Banco,$Y660,5),""),"")</f>
        <v>Automaquiagem (Curso completo)</v>
      </c>
      <c r="P660" s="138" t="str">
        <f t="shared" ca="1" si="774"/>
        <v>Vagas</v>
      </c>
      <c r="Q660" s="134">
        <v>30</v>
      </c>
      <c r="R660" s="124">
        <f t="shared" ca="1" si="775"/>
        <v>168</v>
      </c>
      <c r="S660" s="136" t="s">
        <v>62</v>
      </c>
      <c r="T660" s="123">
        <f t="shared" ca="1" si="776"/>
        <v>210</v>
      </c>
      <c r="U660" s="126">
        <f t="shared" ca="1" si="777"/>
        <v>6300</v>
      </c>
      <c r="V660" s="1"/>
      <c r="W660" s="39" t="str">
        <f ca="1">IF(OR($A660=0,$A660="S",$A660&gt;CFF!$A$9),"",MAX(W$11:OFFSET(W660,-1,0))+1)</f>
        <v/>
      </c>
      <c r="X660" s="4" t="str">
        <f t="shared" si="778"/>
        <v>Serv. Terc.-021</v>
      </c>
      <c r="Y660" s="39">
        <f t="shared" ca="1" si="782"/>
        <v>101</v>
      </c>
      <c r="Z660" s="1"/>
      <c r="AA660" s="133">
        <f>IF($J660=$G$2,ROUND(IF(ISNUMBER(S660),S660,IF(LEFT(S660,2)="DI",HLOOKUP(S660,DADOS!$T$29:$X$30,2,FALSE),0)),4),"")</f>
        <v>0.25</v>
      </c>
      <c r="AB660" s="2"/>
    </row>
    <row r="661" spans="1:28">
      <c r="A661" t="str">
        <f t="shared" si="779"/>
        <v>S</v>
      </c>
      <c r="B661">
        <f t="shared" si="780"/>
        <v>0</v>
      </c>
      <c r="C661">
        <f t="shared" ca="1" si="768"/>
        <v>8</v>
      </c>
      <c r="D661">
        <f t="shared" ca="1" si="769"/>
        <v>4</v>
      </c>
      <c r="E661">
        <f t="shared" ca="1" si="770"/>
        <v>0</v>
      </c>
      <c r="F661">
        <f t="shared" ca="1" si="771"/>
        <v>0</v>
      </c>
      <c r="G661">
        <f t="shared" ca="1" si="772"/>
        <v>4</v>
      </c>
      <c r="H661">
        <f ca="1">IF(OR($A661="S",$A661=0),0,MATCH(0,OFFSET($B661,1,$A661,ROW($A$1504)-ROW($A661)),0))</f>
        <v>0</v>
      </c>
      <c r="I661">
        <f ca="1">IF(OR($A661="S",$A661=0),0,MATCH(OFFSET($B661,0,$A661)+1,OFFSET($B661,1,$A661,ROW($A$1504)-ROW($A661)),0))</f>
        <v>0</v>
      </c>
      <c r="J661" s="132" t="s">
        <v>29</v>
      </c>
      <c r="K661" s="121" t="str">
        <f t="shared" ca="1" si="781"/>
        <v>8.4.4.</v>
      </c>
      <c r="L661" s="137" t="str">
        <f t="shared" ca="1" si="773"/>
        <v>Cotação</v>
      </c>
      <c r="M661" s="122" t="s">
        <v>80</v>
      </c>
      <c r="N661" s="139" t="s">
        <v>170</v>
      </c>
      <c r="O661" s="137" t="str">
        <f ca="1">IF(NOT(ISERROR($Y661)),IF($Y661&lt;&gt;FALSE,INDEX(Banco,$Y661,5),""),"")</f>
        <v>Coffee break (salgados)</v>
      </c>
      <c r="P661" s="138" t="str">
        <f t="shared" ca="1" si="774"/>
        <v>Centro</v>
      </c>
      <c r="Q661" s="134">
        <v>4</v>
      </c>
      <c r="R661" s="124">
        <f t="shared" ca="1" si="775"/>
        <v>65</v>
      </c>
      <c r="S661" s="136" t="s">
        <v>62</v>
      </c>
      <c r="T661" s="123">
        <f t="shared" ca="1" si="776"/>
        <v>81.25</v>
      </c>
      <c r="U661" s="126">
        <f t="shared" ca="1" si="777"/>
        <v>325</v>
      </c>
      <c r="V661" s="1"/>
      <c r="W661" s="39" t="str">
        <f ca="1">IF(OR($A661=0,$A661="S",$A661&gt;CFF!$A$9),"",MAX(W$11:OFFSET(W661,-1,0))+1)</f>
        <v/>
      </c>
      <c r="X661" s="4" t="str">
        <f t="shared" si="778"/>
        <v>Serv. Terc.-026</v>
      </c>
      <c r="Y661" s="39">
        <f t="shared" ca="1" si="782"/>
        <v>106</v>
      </c>
      <c r="Z661" s="1"/>
      <c r="AA661" s="133">
        <f>IF($J661=$G$2,ROUND(IF(ISNUMBER(S661),S661,IF(LEFT(S661,2)="DI",HLOOKUP(S661,DADOS!$T$29:$X$30,2,FALSE),0)),4),"")</f>
        <v>0.25</v>
      </c>
      <c r="AB661" s="2"/>
    </row>
    <row r="662" spans="1:28">
      <c r="A662" t="str">
        <f t="shared" si="779"/>
        <v>S</v>
      </c>
      <c r="B662">
        <f t="shared" si="780"/>
        <v>0</v>
      </c>
      <c r="C662">
        <f t="shared" ca="1" si="768"/>
        <v>8</v>
      </c>
      <c r="D662">
        <f t="shared" ca="1" si="769"/>
        <v>4</v>
      </c>
      <c r="E662">
        <f t="shared" ca="1" si="770"/>
        <v>0</v>
      </c>
      <c r="F662">
        <f t="shared" ca="1" si="771"/>
        <v>0</v>
      </c>
      <c r="G662">
        <f t="shared" ca="1" si="772"/>
        <v>5</v>
      </c>
      <c r="H662">
        <f ca="1">IF(OR($A662="S",$A662=0),0,MATCH(0,OFFSET($B662,1,$A662,ROW($A$1504)-ROW($A662)),0))</f>
        <v>0</v>
      </c>
      <c r="I662">
        <f ca="1">IF(OR($A662="S",$A662=0),0,MATCH(OFFSET($B662,0,$A662)+1,OFFSET($B662,1,$A662,ROW($A$1504)-ROW($A662)),0))</f>
        <v>0</v>
      </c>
      <c r="J662" s="132" t="s">
        <v>29</v>
      </c>
      <c r="K662" s="121" t="str">
        <f t="shared" ca="1" si="781"/>
        <v>8.4.5.</v>
      </c>
      <c r="L662" s="137" t="str">
        <f t="shared" ca="1" si="773"/>
        <v>Cotação</v>
      </c>
      <c r="M662" s="122" t="s">
        <v>80</v>
      </c>
      <c r="N662" s="139" t="s">
        <v>171</v>
      </c>
      <c r="O662" s="137" t="str">
        <f ca="1">IF(NOT(ISERROR($Y662)),IF($Y662&lt;&gt;FALSE,INDEX(Banco,$Y662,5),""),"")</f>
        <v xml:space="preserve">Refrigerantes (02 litros) </v>
      </c>
      <c r="P662" s="138" t="str">
        <f t="shared" ca="1" si="774"/>
        <v>Unidade</v>
      </c>
      <c r="Q662" s="134">
        <v>12</v>
      </c>
      <c r="R662" s="124">
        <f t="shared" ca="1" si="775"/>
        <v>6</v>
      </c>
      <c r="S662" s="136" t="s">
        <v>62</v>
      </c>
      <c r="T662" s="123">
        <f t="shared" ca="1" si="776"/>
        <v>7.5</v>
      </c>
      <c r="U662" s="126">
        <f t="shared" ca="1" si="777"/>
        <v>90</v>
      </c>
      <c r="V662" s="1"/>
      <c r="W662" s="39" t="str">
        <f ca="1">IF(OR($A662=0,$A662="S",$A662&gt;CFF!$A$9),"",MAX(W$11:OFFSET(W662,-1,0))+1)</f>
        <v/>
      </c>
      <c r="X662" s="4" t="str">
        <f t="shared" si="778"/>
        <v>Serv. Terc.-027</v>
      </c>
      <c r="Y662" s="39">
        <f t="shared" ca="1" si="782"/>
        <v>107</v>
      </c>
      <c r="Z662" s="1"/>
      <c r="AA662" s="133">
        <f>IF($J662=$G$2,ROUND(IF(ISNUMBER(S662),S662,IF(LEFT(S662,2)="DI",HLOOKUP(S662,DADOS!$T$29:$X$30,2,FALSE),0)),4),"")</f>
        <v>0.25</v>
      </c>
      <c r="AB662" s="2"/>
    </row>
    <row r="663" spans="1:28">
      <c r="A663">
        <f>CHOOSE(1+LOG(1+2*(J663=$C$2)+4*(J663=$D$2)+8*(J663=$E$2)+16*(J663=$F$2)+32*(J663=$G$2),2),0,1,2,3,4,"S")</f>
        <v>2</v>
      </c>
      <c r="B663">
        <f ca="1">IF(OR(A663="S",A663=0),0,IF(ISERROR(I663),H663,SMALL(H663:I663,1)))</f>
        <v>3</v>
      </c>
      <c r="C663">
        <f ca="1">IF($A663=1,OFFSET(C663,-1,0)+1,OFFSET(C663,-1,0))</f>
        <v>8</v>
      </c>
      <c r="D663">
        <f ca="1">IF($A663=1,0,IF($A663=2,OFFSET(D663,-1,0)+1,OFFSET(D663,-1,0)))</f>
        <v>5</v>
      </c>
      <c r="E663">
        <f ca="1">IF(AND($A663&lt;=2,$A663&lt;&gt;0),0,IF($A663=3,OFFSET(E663,-1,0)+1,OFFSET(E663,-1,0)))</f>
        <v>0</v>
      </c>
      <c r="F663">
        <f ca="1">IF(AND($A663&lt;=3,$A663&lt;&gt;0),0,IF($A663=4,OFFSET(F663,-1,0)+1,OFFSET(F663,-1,0)))</f>
        <v>0</v>
      </c>
      <c r="G663">
        <f ca="1">IF(AND($A663&lt;=4,$A663&lt;&gt;0),0,IF($A663="S",OFFSET(G663,-1,0)+1,OFFSET(G663,-1,0)))</f>
        <v>0</v>
      </c>
      <c r="H663">
        <f ca="1">IF(OR($A663="S",$A663=0),0,MATCH(0,OFFSET($B663,1,$A663,ROW($A$1504)-ROW($A663)),0))</f>
        <v>30</v>
      </c>
      <c r="I663">
        <f ca="1">IF(OR($A663="S",$A663=0),0,MATCH(OFFSET($B663,0,$A663)+1,OFFSET($B663,1,$A663,ROW($A$1504)-ROW($A663)),0))</f>
        <v>3</v>
      </c>
      <c r="J663" s="132" t="s">
        <v>68</v>
      </c>
      <c r="K663" s="121" t="str">
        <f ca="1">IF($A663=0,"-",CONCATENATE(C663&amp;".",IF(AND($A$5&gt;=2,$A663&gt;=2),D663&amp;".",""),IF(AND($A$5&gt;=3,$A663&gt;=3),E663&amp;".",""),IF(AND($A$5&gt;=4,$A663&gt;=4),F663&amp;".",""),IF($A663="S",G663&amp;".","")))</f>
        <v>8.5.</v>
      </c>
      <c r="L663" s="137" t="str">
        <f ca="1">IF(NOT(ISERROR($Y663)),IF($Y663&lt;&gt;FALSE,INDEX(Banco,$Y663,4),""),"")</f>
        <v/>
      </c>
      <c r="M663" s="122"/>
      <c r="N663" s="139"/>
      <c r="O663" s="137" t="s">
        <v>396</v>
      </c>
      <c r="P663" s="138" t="str">
        <f ca="1">IF(NOT(ISERROR($Y663)),IF($Y663&lt;&gt;FALSE,INDEX(Banco,$Y663,6),""),"")</f>
        <v/>
      </c>
      <c r="Q663" s="134"/>
      <c r="R663" s="124">
        <f ca="1">IF(NOT(ISERROR($Y663)),IF($Y663&lt;&gt;FALSE,INDEX(Banco,$Y663,7),0),0)</f>
        <v>0</v>
      </c>
      <c r="S663" s="136" t="s">
        <v>62</v>
      </c>
      <c r="T663" s="123">
        <f>IF($J663=$G$2,ROUND(ROUND($R663,2)*IF($R$9="Preço Unitário (R$)",1,1+$AA663),2),0)</f>
        <v>0</v>
      </c>
      <c r="U663" s="126">
        <f ca="1">IF($A663="S",VTOTAL1,IF($A663=0,0,ROUND(SomaAgrup,2)))</f>
        <v>3427.56</v>
      </c>
      <c r="V663" s="1"/>
      <c r="W663" s="39">
        <f ca="1">IF(OR($A663=0,$A663="S",$A663&gt;CFF!$A$9),"",MAX(W$11:OFFSET(W663,-1,0))+1)</f>
        <v>57</v>
      </c>
      <c r="X663" s="4" t="b">
        <f>IF(AND($J663=$G$2,$N663&lt;&gt;"",$M663&lt;&gt;""),CONCATENATE($M663,"-",$N663))</f>
        <v>0</v>
      </c>
      <c r="Y663" s="39" t="b">
        <f ca="1">IF(X663&lt;&gt;FALSE,MATCH(X663,OFFSET(Banco,0,0,,1),0))</f>
        <v>0</v>
      </c>
      <c r="Z663" s="1"/>
      <c r="AA663" s="133" t="str">
        <f>IF($J663=$G$2,ROUND(IF(ISNUMBER(S663),S663,IF(LEFT(S663,2)="DI",HLOOKUP(S663,DADOS!$T$29:$X$30,2,FALSE),0)),4),"")</f>
        <v/>
      </c>
      <c r="AB663" s="2"/>
    </row>
    <row r="664" spans="1:28">
      <c r="A664" t="str">
        <f t="shared" ref="A664:A671" si="783">CHOOSE(1+LOG(1+2*(J664=$C$2)+4*(J664=$D$2)+8*(J664=$E$2)+16*(J664=$F$2)+32*(J664=$G$2),2),0,1,2,3,4,"S")</f>
        <v>S</v>
      </c>
      <c r="B664">
        <f t="shared" ref="B664:B671" si="784">IF(OR(A664="S",A664=0),0,IF(ISERROR(I664),H664,SMALL(H664:I664,1)))</f>
        <v>0</v>
      </c>
      <c r="C664">
        <f t="shared" ref="C664:C665" ca="1" si="785">IF($A664=1,OFFSET(C664,-1,0)+1,OFFSET(C664,-1,0))</f>
        <v>8</v>
      </c>
      <c r="D664">
        <f t="shared" ref="D664:D665" ca="1" si="786">IF($A664=1,0,IF($A664=2,OFFSET(D664,-1,0)+1,OFFSET(D664,-1,0)))</f>
        <v>5</v>
      </c>
      <c r="E664">
        <f t="shared" ref="E664:E665" ca="1" si="787">IF(AND($A664&lt;=2,$A664&lt;&gt;0),0,IF($A664=3,OFFSET(E664,-1,0)+1,OFFSET(E664,-1,0)))</f>
        <v>0</v>
      </c>
      <c r="F664">
        <f t="shared" ref="F664:F665" ca="1" si="788">IF(AND($A664&lt;=3,$A664&lt;&gt;0),0,IF($A664=4,OFFSET(F664,-1,0)+1,OFFSET(F664,-1,0)))</f>
        <v>0</v>
      </c>
      <c r="G664">
        <f t="shared" ref="G664:G665" ca="1" si="789">IF(AND($A664&lt;=4,$A664&lt;&gt;0),0,IF($A664="S",OFFSET(G664,-1,0)+1,OFFSET(G664,-1,0)))</f>
        <v>1</v>
      </c>
      <c r="H664">
        <f ca="1">IF(OR($A664="S",$A664=0),0,MATCH(0,OFFSET($B664,1,$A664,ROW($A$1504)-ROW($A664)),0))</f>
        <v>0</v>
      </c>
      <c r="I664">
        <f ca="1">IF(OR($A664="S",$A664=0),0,MATCH(OFFSET($B664,0,$A664)+1,OFFSET($B664,1,$A664,ROW($A$1504)-ROW($A664)),0))</f>
        <v>0</v>
      </c>
      <c r="J664" s="132" t="s">
        <v>29</v>
      </c>
      <c r="K664" s="121" t="str">
        <f t="shared" ref="K664:K671" ca="1" si="790">IF($A664=0,"-",CONCATENATE(C664&amp;".",IF(AND($A$5&gt;=2,$A664&gt;=2),D664&amp;".",""),IF(AND($A$5&gt;=3,$A664&gt;=3),E664&amp;".",""),IF(AND($A$5&gt;=4,$A664&gt;=4),F664&amp;".",""),IF($A664="S",G664&amp;".","")))</f>
        <v>8.5.1.</v>
      </c>
      <c r="L664" s="137" t="str">
        <f t="shared" ref="L664:L665" ca="1" si="791">IF(NOT(ISERROR($Y664)),IF($Y664&lt;&gt;FALSE,INDEX(Banco,$Y664,4),""),"")</f>
        <v>CRESS</v>
      </c>
      <c r="M664" s="122" t="s">
        <v>78</v>
      </c>
      <c r="N664" s="139" t="s">
        <v>149</v>
      </c>
      <c r="O664" s="137" t="str">
        <f ca="1">IF(NOT(ISERROR($Y664)),IF($Y664&lt;&gt;FALSE,INDEX(Banco,$Y664,5),""),"")</f>
        <v>Responsável Técnica</v>
      </c>
      <c r="P664" s="138" t="str">
        <f t="shared" ref="P664:P665" ca="1" si="792">IF(NOT(ISERROR($Y664)),IF($Y664&lt;&gt;FALSE,INDEX(Banco,$Y664,6),""),"")</f>
        <v>Horas</v>
      </c>
      <c r="Q664" s="134">
        <v>4</v>
      </c>
      <c r="R664" s="124">
        <f t="shared" ref="R664:R665" ca="1" si="793">IF(NOT(ISERROR($Y664)),IF($Y664&lt;&gt;FALSE,INDEX(Banco,$Y664,7),0),0)</f>
        <v>150.28</v>
      </c>
      <c r="S664" s="136" t="s">
        <v>62</v>
      </c>
      <c r="T664" s="123">
        <f t="shared" ref="T664:T665" ca="1" si="794">IF($J664=$G$2,ROUND(ROUND($R664,2)*IF($R$9="Preço Unitário (R$)",1,1+$AA664),2),0)</f>
        <v>187.85</v>
      </c>
      <c r="U664" s="126">
        <f t="shared" ref="U664:U665" ca="1" si="795">IF($A664="S",VTOTAL1,IF($A664=0,0,ROUND(SomaAgrup,2)))</f>
        <v>751.4</v>
      </c>
      <c r="V664" s="1"/>
      <c r="W664" s="39" t="str">
        <f ca="1">IF(OR($A664=0,$A664="S",$A664&gt;CFF!$A$9),"",MAX(W$11:OFFSET(W664,-1,0))+1)</f>
        <v/>
      </c>
      <c r="X664" s="4" t="str">
        <f t="shared" ref="X664:X665" si="796">IF(AND($J664=$G$2,$N664&lt;&gt;"",$M664&lt;&gt;""),CONCATENATE($M664,"-",$N664))</f>
        <v>Rec. Humanos-001</v>
      </c>
      <c r="Y664" s="39">
        <f t="shared" ref="Y664:Y671" ca="1" si="797">IF(X664&lt;&gt;FALSE,MATCH(X664,OFFSET(Banco,0,0,,1),0))</f>
        <v>3</v>
      </c>
      <c r="Z664" s="1"/>
      <c r="AA664" s="133">
        <f>IF($J664=$G$2,ROUND(IF(ISNUMBER(S664),S664,IF(LEFT(S664,2)="DI",HLOOKUP(S664,DADOS!$T$29:$X$30,2,FALSE),0)),4),"")</f>
        <v>0.25</v>
      </c>
      <c r="AB664" s="2"/>
    </row>
    <row r="665" spans="1:28">
      <c r="A665" t="str">
        <f t="shared" si="783"/>
        <v>S</v>
      </c>
      <c r="B665">
        <f t="shared" si="784"/>
        <v>0</v>
      </c>
      <c r="C665">
        <f t="shared" ca="1" si="785"/>
        <v>8</v>
      </c>
      <c r="D665">
        <f t="shared" ca="1" si="786"/>
        <v>5</v>
      </c>
      <c r="E665">
        <f t="shared" ca="1" si="787"/>
        <v>0</v>
      </c>
      <c r="F665">
        <f t="shared" ca="1" si="788"/>
        <v>0</v>
      </c>
      <c r="G665">
        <f t="shared" ca="1" si="789"/>
        <v>2</v>
      </c>
      <c r="H665">
        <f ca="1">IF(OR($A665="S",$A665=0),0,MATCH(0,OFFSET($B665,1,$A665,ROW($A$1504)-ROW($A665)),0))</f>
        <v>0</v>
      </c>
      <c r="I665">
        <f ca="1">IF(OR($A665="S",$A665=0),0,MATCH(OFFSET($B665,0,$A665)+1,OFFSET($B665,1,$A665,ROW($A$1504)-ROW($A665)),0))</f>
        <v>0</v>
      </c>
      <c r="J665" s="132" t="s">
        <v>29</v>
      </c>
      <c r="K665" s="121" t="str">
        <f t="shared" ca="1" si="790"/>
        <v>8.5.2.</v>
      </c>
      <c r="L665" s="137" t="str">
        <f t="shared" ca="1" si="791"/>
        <v>CRESS</v>
      </c>
      <c r="M665" s="122" t="s">
        <v>78</v>
      </c>
      <c r="N665" s="139" t="s">
        <v>152</v>
      </c>
      <c r="O665" s="137" t="str">
        <f ca="1">IF(NOT(ISERROR($Y665)),IF($Y665&lt;&gt;FALSE,INDEX(Banco,$Y665,5),""),"")</f>
        <v>Assistente Social</v>
      </c>
      <c r="P665" s="138" t="str">
        <f t="shared" ca="1" si="792"/>
        <v>Horas</v>
      </c>
      <c r="Q665" s="134">
        <v>16</v>
      </c>
      <c r="R665" s="124">
        <f t="shared" ca="1" si="793"/>
        <v>133.81</v>
      </c>
      <c r="S665" s="136" t="s">
        <v>62</v>
      </c>
      <c r="T665" s="123">
        <f t="shared" ca="1" si="794"/>
        <v>167.26</v>
      </c>
      <c r="U665" s="126">
        <f t="shared" ca="1" si="795"/>
        <v>2676.16</v>
      </c>
      <c r="V665" s="1"/>
      <c r="W665" s="39" t="str">
        <f ca="1">IF(OR($A665=0,$A665="S",$A665&gt;CFF!$A$9),"",MAX(W$11:OFFSET(W665,-1,0))+1)</f>
        <v/>
      </c>
      <c r="X665" s="4" t="str">
        <f t="shared" si="796"/>
        <v>Rec. Humanos-002</v>
      </c>
      <c r="Y665" s="39">
        <f t="shared" ca="1" si="797"/>
        <v>4</v>
      </c>
      <c r="Z665" s="1"/>
      <c r="AA665" s="133">
        <f>IF($J665=$G$2,ROUND(IF(ISNUMBER(S665),S665,IF(LEFT(S665,2)="DI",HLOOKUP(S665,DADOS!$T$29:$X$30,2,FALSE),0)),4),"")</f>
        <v>0.25</v>
      </c>
      <c r="AB665" s="2"/>
    </row>
    <row r="666" spans="1:28">
      <c r="A666">
        <f>CHOOSE(1+LOG(1+2*(J666=$C$2)+4*(J666=$D$2)+8*(J666=$E$2)+16*(J666=$F$2)+32*(J666=$G$2),2),0,1,2,3,4,"S")</f>
        <v>2</v>
      </c>
      <c r="B666">
        <f ca="1">IF(OR(A666="S",A666=0),0,IF(ISERROR(I666),H666,SMALL(H666:I666,1)))</f>
        <v>6</v>
      </c>
      <c r="C666">
        <f ca="1">IF($A666=1,OFFSET(C666,-1,0)+1,OFFSET(C666,-1,0))</f>
        <v>8</v>
      </c>
      <c r="D666">
        <f ca="1">IF($A666=1,0,IF($A666=2,OFFSET(D666,-1,0)+1,OFFSET(D666,-1,0)))</f>
        <v>6</v>
      </c>
      <c r="E666">
        <f ca="1">IF(AND($A666&lt;=2,$A666&lt;&gt;0),0,IF($A666=3,OFFSET(E666,-1,0)+1,OFFSET(E666,-1,0)))</f>
        <v>0</v>
      </c>
      <c r="F666">
        <f ca="1">IF(AND($A666&lt;=3,$A666&lt;&gt;0),0,IF($A666=4,OFFSET(F666,-1,0)+1,OFFSET(F666,-1,0)))</f>
        <v>0</v>
      </c>
      <c r="G666">
        <f ca="1">IF(AND($A666&lt;=4,$A666&lt;&gt;0),0,IF($A666="S",OFFSET(G666,-1,0)+1,OFFSET(G666,-1,0)))</f>
        <v>0</v>
      </c>
      <c r="H666">
        <f ca="1">IF(OR($A666="S",$A666=0),0,MATCH(0,OFFSET($B666,1,$A666,ROW($A$1504)-ROW($A666)),0))</f>
        <v>27</v>
      </c>
      <c r="I666">
        <f ca="1">IF(OR($A666="S",$A666=0),0,MATCH(OFFSET($B666,0,$A666)+1,OFFSET($B666,1,$A666,ROW($A$1504)-ROW($A666)),0))</f>
        <v>6</v>
      </c>
      <c r="J666" s="132" t="s">
        <v>68</v>
      </c>
      <c r="K666" s="121" t="str">
        <f ca="1">IF($A666=0,"-",CONCATENATE(C666&amp;".",IF(AND($A$5&gt;=2,$A666&gt;=2),D666&amp;".",""),IF(AND($A$5&gt;=3,$A666&gt;=3),E666&amp;".",""),IF(AND($A$5&gt;=4,$A666&gt;=4),F666&amp;".",""),IF($A666="S",G666&amp;".","")))</f>
        <v>8.6.</v>
      </c>
      <c r="L666" s="137" t="str">
        <f ca="1">IF(NOT(ISERROR($Y666)),IF($Y666&lt;&gt;FALSE,INDEX(Banco,$Y666,4),""),"")</f>
        <v/>
      </c>
      <c r="M666" s="122"/>
      <c r="N666" s="139"/>
      <c r="O666" s="137" t="s">
        <v>397</v>
      </c>
      <c r="P666" s="138" t="str">
        <f ca="1">IF(NOT(ISERROR($Y666)),IF($Y666&lt;&gt;FALSE,INDEX(Banco,$Y666,6),""),"")</f>
        <v/>
      </c>
      <c r="Q666" s="134"/>
      <c r="R666" s="124">
        <f ca="1">IF(NOT(ISERROR($Y666)),IF($Y666&lt;&gt;FALSE,INDEX(Banco,$Y666,7),0),0)</f>
        <v>0</v>
      </c>
      <c r="S666" s="136" t="s">
        <v>62</v>
      </c>
      <c r="T666" s="123">
        <f>IF($J666=$G$2,ROUND(ROUND($R666,2)*IF($R$9="Preço Unitário (R$)",1,1+$AA666),2),0)</f>
        <v>0</v>
      </c>
      <c r="U666" s="126">
        <f ca="1">IF($A666="S",VTOTAL1,IF($A666=0,0,ROUND(SomaAgrup,2)))</f>
        <v>15714.1</v>
      </c>
      <c r="V666" s="1"/>
      <c r="W666" s="39">
        <f ca="1">IF(OR($A666=0,$A666="S",$A666&gt;CFF!$A$9),"",MAX(W$11:OFFSET(W666,-1,0))+1)</f>
        <v>58</v>
      </c>
      <c r="X666" s="4" t="b">
        <f>IF(AND($J666=$G$2,$N666&lt;&gt;"",$M666&lt;&gt;""),CONCATENATE($M666,"-",$N666))</f>
        <v>0</v>
      </c>
      <c r="Y666" s="39" t="b">
        <f ca="1">IF(X666&lt;&gt;FALSE,MATCH(X666,OFFSET(Banco,0,0,,1),0))</f>
        <v>0</v>
      </c>
      <c r="Z666" s="1"/>
      <c r="AA666" s="133" t="str">
        <f>IF($J666=$G$2,ROUND(IF(ISNUMBER(S666),S666,IF(LEFT(S666,2)="DI",HLOOKUP(S666,DADOS!$T$29:$X$30,2,FALSE),0)),4),"")</f>
        <v/>
      </c>
      <c r="AB666" s="2"/>
    </row>
    <row r="667" spans="1:28">
      <c r="A667" t="str">
        <f>CHOOSE(1+LOG(1+2*(J667=$C$2)+4*(J667=$D$2)+8*(J667=$E$2)+16*(J667=$F$2)+32*(J667=$G$2),2),0,1,2,3,4,"S")</f>
        <v>S</v>
      </c>
      <c r="B667">
        <f>IF(OR(A667="S",A667=0),0,IF(ISERROR(I667),H667,SMALL(H667:I667,1)))</f>
        <v>0</v>
      </c>
      <c r="C667">
        <f ca="1">IF($A667=1,OFFSET(C667,-1,0)+1,OFFSET(C667,-1,0))</f>
        <v>8</v>
      </c>
      <c r="D667">
        <f ca="1">IF($A667=1,0,IF($A667=2,OFFSET(D667,-1,0)+1,OFFSET(D667,-1,0)))</f>
        <v>6</v>
      </c>
      <c r="E667">
        <f ca="1">IF(AND($A667&lt;=2,$A667&lt;&gt;0),0,IF($A667=3,OFFSET(E667,-1,0)+1,OFFSET(E667,-1,0)))</f>
        <v>0</v>
      </c>
      <c r="F667">
        <f ca="1">IF(AND($A667&lt;=3,$A667&lt;&gt;0),0,IF($A667=4,OFFSET(F667,-1,0)+1,OFFSET(F667,-1,0)))</f>
        <v>0</v>
      </c>
      <c r="G667">
        <f ca="1">IF(AND($A667&lt;=4,$A667&lt;&gt;0),0,IF($A667="S",OFFSET(G667,-1,0)+1,OFFSET(G667,-1,0)))</f>
        <v>1</v>
      </c>
      <c r="H667">
        <f ca="1">IF(OR($A667="S",$A667=0),0,MATCH(0,OFFSET($B667,1,$A667,ROW($A$1504)-ROW($A667)),0))</f>
        <v>0</v>
      </c>
      <c r="I667">
        <f ca="1">IF(OR($A667="S",$A667=0),0,MATCH(OFFSET($B667,0,$A667)+1,OFFSET($B667,1,$A667,ROW($A$1504)-ROW($A667)),0))</f>
        <v>0</v>
      </c>
      <c r="J667" s="132" t="s">
        <v>29</v>
      </c>
      <c r="K667" s="121" t="str">
        <f ca="1">IF($A667=0,"-",CONCATENATE(C667&amp;".",IF(AND($A$5&gt;=2,$A667&gt;=2),D667&amp;".",""),IF(AND($A$5&gt;=3,$A667&gt;=3),E667&amp;".",""),IF(AND($A$5&gt;=4,$A667&gt;=4),F667&amp;".",""),IF($A667="S",G667&amp;".","")))</f>
        <v>8.6.1.</v>
      </c>
      <c r="L667" s="137" t="str">
        <f ca="1">IF(NOT(ISERROR($Y667)),IF($Y667&lt;&gt;FALSE,INDEX(Banco,$Y667,4),""),"")</f>
        <v>CRESS</v>
      </c>
      <c r="M667" s="122" t="s">
        <v>78</v>
      </c>
      <c r="N667" s="139" t="s">
        <v>149</v>
      </c>
      <c r="O667" s="137" t="str">
        <f ca="1">IF(NOT(ISERROR($Y667)),IF($Y667&lt;&gt;FALSE,INDEX(Banco,$Y667,5),""),"")</f>
        <v>Responsável Técnica</v>
      </c>
      <c r="P667" s="138" t="str">
        <f ca="1">IF(NOT(ISERROR($Y667)),IF($Y667&lt;&gt;FALSE,INDEX(Banco,$Y667,6),""),"")</f>
        <v>Horas</v>
      </c>
      <c r="Q667" s="134">
        <v>6</v>
      </c>
      <c r="R667" s="124">
        <f ca="1">IF(NOT(ISERROR($Y667)),IF($Y667&lt;&gt;FALSE,INDEX(Banco,$Y667,7),0),0)</f>
        <v>150.28</v>
      </c>
      <c r="S667" s="136" t="s">
        <v>62</v>
      </c>
      <c r="T667" s="123">
        <f ca="1">IF($J667=$G$2,ROUND(ROUND($R667,2)*IF($R$9="Preço Unitário (R$)",1,1+$AA667),2),0)</f>
        <v>187.85</v>
      </c>
      <c r="U667" s="126">
        <f ca="1">IF($A667="S",VTOTAL1,IF($A667=0,0,ROUND(SomaAgrup,2)))</f>
        <v>1127.0999999999999</v>
      </c>
      <c r="V667" s="1"/>
      <c r="W667" s="39" t="str">
        <f ca="1">IF(OR($A667=0,$A667="S",$A667&gt;CFF!$A$9),"",MAX(W$11:OFFSET(W667,-1,0))+1)</f>
        <v/>
      </c>
      <c r="X667" s="4" t="str">
        <f>IF(AND($J667=$G$2,$N667&lt;&gt;"",$M667&lt;&gt;""),CONCATENATE($M667,"-",$N667))</f>
        <v>Rec. Humanos-001</v>
      </c>
      <c r="Y667" s="39">
        <f ca="1">IF(X667&lt;&gt;FALSE,MATCH(X667,OFFSET(Banco,0,0,,1),0))</f>
        <v>3</v>
      </c>
      <c r="Z667" s="1"/>
      <c r="AA667" s="133">
        <f>IF($J667=$G$2,ROUND(IF(ISNUMBER(S667),S667,IF(LEFT(S667,2)="DI",HLOOKUP(S667,DADOS!$T$29:$X$30,2,FALSE),0)),4),"")</f>
        <v>0.25</v>
      </c>
      <c r="AB667" s="2"/>
    </row>
    <row r="668" spans="1:28">
      <c r="A668" t="str">
        <f t="shared" si="783"/>
        <v>S</v>
      </c>
      <c r="B668">
        <f t="shared" si="784"/>
        <v>0</v>
      </c>
      <c r="C668">
        <f t="shared" ref="C668:C683" ca="1" si="798">IF($A668=1,OFFSET(C668,-1,0)+1,OFFSET(C668,-1,0))</f>
        <v>8</v>
      </c>
      <c r="D668">
        <f t="shared" ref="D668:D683" ca="1" si="799">IF($A668=1,0,IF($A668=2,OFFSET(D668,-1,0)+1,OFFSET(D668,-1,0)))</f>
        <v>6</v>
      </c>
      <c r="E668">
        <f t="shared" ref="E668:E683" ca="1" si="800">IF(AND($A668&lt;=2,$A668&lt;&gt;0),0,IF($A668=3,OFFSET(E668,-1,0)+1,OFFSET(E668,-1,0)))</f>
        <v>0</v>
      </c>
      <c r="F668">
        <f t="shared" ref="F668:F683" ca="1" si="801">IF(AND($A668&lt;=3,$A668&lt;&gt;0),0,IF($A668=4,OFFSET(F668,-1,0)+1,OFFSET(F668,-1,0)))</f>
        <v>0</v>
      </c>
      <c r="G668">
        <f t="shared" ref="G668:G683" ca="1" si="802">IF(AND($A668&lt;=4,$A668&lt;&gt;0),0,IF($A668="S",OFFSET(G668,-1,0)+1,OFFSET(G668,-1,0)))</f>
        <v>2</v>
      </c>
      <c r="H668">
        <f ca="1">IF(OR($A668="S",$A668=0),0,MATCH(0,OFFSET($B668,1,$A668,ROW($A$1504)-ROW($A668)),0))</f>
        <v>0</v>
      </c>
      <c r="I668">
        <f ca="1">IF(OR($A668="S",$A668=0),0,MATCH(OFFSET($B668,0,$A668)+1,OFFSET($B668,1,$A668,ROW($A$1504)-ROW($A668)),0))</f>
        <v>0</v>
      </c>
      <c r="J668" s="132" t="s">
        <v>29</v>
      </c>
      <c r="K668" s="121" t="str">
        <f t="shared" ca="1" si="790"/>
        <v>8.6.2.</v>
      </c>
      <c r="L668" s="137" t="str">
        <f t="shared" ref="L668:L683" ca="1" si="803">IF(NOT(ISERROR($Y668)),IF($Y668&lt;&gt;FALSE,INDEX(Banco,$Y668,4),""),"")</f>
        <v>CRESS</v>
      </c>
      <c r="M668" s="122" t="s">
        <v>78</v>
      </c>
      <c r="N668" s="139" t="s">
        <v>152</v>
      </c>
      <c r="O668" s="137" t="str">
        <f ca="1">IF(NOT(ISERROR($Y668)),IF($Y668&lt;&gt;FALSE,INDEX(Banco,$Y668,5),""),"")</f>
        <v>Assistente Social</v>
      </c>
      <c r="P668" s="138" t="str">
        <f t="shared" ref="P668:P683" ca="1" si="804">IF(NOT(ISERROR($Y668)),IF($Y668&lt;&gt;FALSE,INDEX(Banco,$Y668,6),""),"")</f>
        <v>Horas</v>
      </c>
      <c r="Q668" s="134">
        <v>10</v>
      </c>
      <c r="R668" s="124">
        <f t="shared" ref="R668:R683" ca="1" si="805">IF(NOT(ISERROR($Y668)),IF($Y668&lt;&gt;FALSE,INDEX(Banco,$Y668,7),0),0)</f>
        <v>133.81</v>
      </c>
      <c r="S668" s="136" t="s">
        <v>62</v>
      </c>
      <c r="T668" s="123">
        <f t="shared" ref="T668:T683" ca="1" si="806">IF($J668=$G$2,ROUND(ROUND($R668,2)*IF($R$9="Preço Unitário (R$)",1,1+$AA668),2),0)</f>
        <v>167.26</v>
      </c>
      <c r="U668" s="126">
        <f t="shared" ref="U668:U683" ca="1" si="807">IF($A668="S",VTOTAL1,IF($A668=0,0,ROUND(SomaAgrup,2)))</f>
        <v>1672.6</v>
      </c>
      <c r="V668" s="1"/>
      <c r="W668" s="39" t="str">
        <f ca="1">IF(OR($A668=0,$A668="S",$A668&gt;CFF!$A$9),"",MAX(W$11:OFFSET(W668,-1,0))+1)</f>
        <v/>
      </c>
      <c r="X668" s="4" t="str">
        <f t="shared" ref="X668:X683" si="808">IF(AND($J668=$G$2,$N668&lt;&gt;"",$M668&lt;&gt;""),CONCATENATE($M668,"-",$N668))</f>
        <v>Rec. Humanos-002</v>
      </c>
      <c r="Y668" s="39">
        <f t="shared" ca="1" si="797"/>
        <v>4</v>
      </c>
      <c r="Z668" s="1"/>
      <c r="AA668" s="133">
        <f>IF($J668=$G$2,ROUND(IF(ISNUMBER(S668),S668,IF(LEFT(S668,2)="DI",HLOOKUP(S668,DADOS!$T$29:$X$30,2,FALSE),0)),4),"")</f>
        <v>0.25</v>
      </c>
      <c r="AB668" s="2"/>
    </row>
    <row r="669" spans="1:28">
      <c r="A669" t="str">
        <f>CHOOSE(1+LOG(1+2*(J669=$C$2)+4*(J669=$D$2)+8*(J669=$E$2)+16*(J669=$F$2)+32*(J669=$G$2),2),0,1,2,3,4,"S")</f>
        <v>S</v>
      </c>
      <c r="B669">
        <f>IF(OR(A669="S",A669=0),0,IF(ISERROR(I669),H669,SMALL(H669:I669,1)))</f>
        <v>0</v>
      </c>
      <c r="C669">
        <f ca="1">IF($A669=1,OFFSET(C669,-1,0)+1,OFFSET(C669,-1,0))</f>
        <v>8</v>
      </c>
      <c r="D669">
        <f ca="1">IF($A669=1,0,IF($A669=2,OFFSET(D669,-1,0)+1,OFFSET(D669,-1,0)))</f>
        <v>6</v>
      </c>
      <c r="E669">
        <f ca="1">IF(AND($A669&lt;=2,$A669&lt;&gt;0),0,IF($A669=3,OFFSET(E669,-1,0)+1,OFFSET(E669,-1,0)))</f>
        <v>0</v>
      </c>
      <c r="F669">
        <f ca="1">IF(AND($A669&lt;=3,$A669&lt;&gt;0),0,IF($A669=4,OFFSET(F669,-1,0)+1,OFFSET(F669,-1,0)))</f>
        <v>0</v>
      </c>
      <c r="G669">
        <f ca="1">IF(AND($A669&lt;=4,$A669&lt;&gt;0),0,IF($A669="S",OFFSET(G669,-1,0)+1,OFFSET(G669,-1,0)))</f>
        <v>3</v>
      </c>
      <c r="H669">
        <f ca="1">IF(OR($A669="S",$A669=0),0,MATCH(0,OFFSET($B669,1,$A669,ROW($A$1504)-ROW($A669)),0))</f>
        <v>0</v>
      </c>
      <c r="I669">
        <f ca="1">IF(OR($A669="S",$A669=0),0,MATCH(OFFSET($B669,0,$A669)+1,OFFSET($B669,1,$A669,ROW($A$1504)-ROW($A669)),0))</f>
        <v>0</v>
      </c>
      <c r="J669" s="132" t="s">
        <v>29</v>
      </c>
      <c r="K669" s="121" t="str">
        <f ca="1">IF($A669=0,"-",CONCATENATE(C669&amp;".",IF(AND($A$5&gt;=2,$A669&gt;=2),D669&amp;".",""),IF(AND($A$5&gt;=3,$A669&gt;=3),E669&amp;".",""),IF(AND($A$5&gt;=4,$A669&gt;=4),F669&amp;".",""),IF($A669="S",G669&amp;".","")))</f>
        <v>8.6.3.</v>
      </c>
      <c r="L669" s="137" t="str">
        <f ca="1">IF(NOT(ISERROR($Y669)),IF($Y669&lt;&gt;FALSE,INDEX(Banco,$Y669,4),""),"")</f>
        <v>SINE</v>
      </c>
      <c r="M669" s="122" t="s">
        <v>78</v>
      </c>
      <c r="N669" s="139" t="s">
        <v>153</v>
      </c>
      <c r="O669" s="137" t="str">
        <f ca="1">IF(NOT(ISERROR($Y669)),IF($Y669&lt;&gt;FALSE,INDEX(Banco,$Y669,5),""),"")</f>
        <v>Estagiários</v>
      </c>
      <c r="P669" s="138" t="str">
        <f ca="1">IF(NOT(ISERROR($Y669)),IF($Y669&lt;&gt;FALSE,INDEX(Banco,$Y669,6),""),"")</f>
        <v>Horas</v>
      </c>
      <c r="Q669" s="134">
        <v>12</v>
      </c>
      <c r="R669" s="124">
        <f ca="1">IF(NOT(ISERROR($Y669)),IF($Y669&lt;&gt;FALSE,INDEX(Banco,$Y669,7),0),0)</f>
        <v>9.7899999999999991</v>
      </c>
      <c r="S669" s="136" t="s">
        <v>62</v>
      </c>
      <c r="T669" s="123">
        <f ca="1">IF($J669=$G$2,ROUND(ROUND($R669,2)*IF($R$9="Preço Unitário (R$)",1,1+$AA669),2),0)</f>
        <v>12.24</v>
      </c>
      <c r="U669" s="126">
        <f ca="1">IF($A669="S",VTOTAL1,IF($A669=0,0,ROUND(SomaAgrup,2)))</f>
        <v>146.88</v>
      </c>
      <c r="V669" s="1"/>
      <c r="W669" s="39" t="str">
        <f ca="1">IF(OR($A669=0,$A669="S",$A669&gt;CFF!$A$9),"",MAX(W$11:OFFSET(W669,-1,0))+1)</f>
        <v/>
      </c>
      <c r="X669" s="4" t="str">
        <f>IF(AND($J669=$G$2,$N669&lt;&gt;"",$M669&lt;&gt;""),CONCATENATE($M669,"-",$N669))</f>
        <v>Rec. Humanos-004</v>
      </c>
      <c r="Y669" s="39">
        <f ca="1">IF(X669&lt;&gt;FALSE,MATCH(X669,OFFSET(Banco,0,0,,1),0))</f>
        <v>6</v>
      </c>
      <c r="Z669" s="1"/>
      <c r="AA669" s="133">
        <f>IF($J669=$G$2,ROUND(IF(ISNUMBER(S669),S669,IF(LEFT(S669,2)="DI",HLOOKUP(S669,DADOS!$T$29:$X$30,2,FALSE),0)),4),"")</f>
        <v>0.25</v>
      </c>
      <c r="AB669" s="2"/>
    </row>
    <row r="670" spans="1:28">
      <c r="A670" t="str">
        <f t="shared" si="783"/>
        <v>S</v>
      </c>
      <c r="B670">
        <f t="shared" si="784"/>
        <v>0</v>
      </c>
      <c r="C670">
        <f t="shared" ca="1" si="798"/>
        <v>8</v>
      </c>
      <c r="D670">
        <f t="shared" ca="1" si="799"/>
        <v>6</v>
      </c>
      <c r="E670">
        <f t="shared" ca="1" si="800"/>
        <v>0</v>
      </c>
      <c r="F670">
        <f t="shared" ca="1" si="801"/>
        <v>0</v>
      </c>
      <c r="G670">
        <f t="shared" ca="1" si="802"/>
        <v>4</v>
      </c>
      <c r="H670">
        <f ca="1">IF(OR($A670="S",$A670=0),0,MATCH(0,OFFSET($B670,1,$A670,ROW($A$1504)-ROW($A670)),0))</f>
        <v>0</v>
      </c>
      <c r="I670">
        <f ca="1">IF(OR($A670="S",$A670=0),0,MATCH(OFFSET($B670,0,$A670)+1,OFFSET($B670,1,$A670,ROW($A$1504)-ROW($A670)),0))</f>
        <v>0</v>
      </c>
      <c r="J670" s="132" t="s">
        <v>29</v>
      </c>
      <c r="K670" s="121" t="str">
        <f t="shared" ca="1" si="790"/>
        <v>8.6.4.</v>
      </c>
      <c r="L670" s="137" t="str">
        <f t="shared" ca="1" si="803"/>
        <v>Cotação</v>
      </c>
      <c r="M670" s="122" t="s">
        <v>78</v>
      </c>
      <c r="N670" s="139" t="s">
        <v>151</v>
      </c>
      <c r="O670" s="137" t="str">
        <f ca="1">IF(NOT(ISERROR($Y670)),IF($Y670&lt;&gt;FALSE,INDEX(Banco,$Y670,5),""),"")</f>
        <v xml:space="preserve">Administrador (Técnico de Apoio) </v>
      </c>
      <c r="P670" s="138" t="str">
        <f t="shared" ca="1" si="804"/>
        <v>Horas</v>
      </c>
      <c r="Q670" s="134">
        <v>4</v>
      </c>
      <c r="R670" s="124">
        <f t="shared" ca="1" si="805"/>
        <v>103.65</v>
      </c>
      <c r="S670" s="136" t="s">
        <v>62</v>
      </c>
      <c r="T670" s="123">
        <f t="shared" ca="1" si="806"/>
        <v>129.56</v>
      </c>
      <c r="U670" s="126">
        <f t="shared" ca="1" si="807"/>
        <v>518.24</v>
      </c>
      <c r="V670" s="1"/>
      <c r="W670" s="39" t="str">
        <f ca="1">IF(OR($A670=0,$A670="S",$A670&gt;CFF!$A$9),"",MAX(W$11:OFFSET(W670,-1,0))+1)</f>
        <v/>
      </c>
      <c r="X670" s="4" t="str">
        <f t="shared" si="808"/>
        <v>Rec. Humanos-003</v>
      </c>
      <c r="Y670" s="39">
        <f t="shared" ca="1" si="797"/>
        <v>5</v>
      </c>
      <c r="Z670" s="1"/>
      <c r="AA670" s="133">
        <f>IF($J670=$G$2,ROUND(IF(ISNUMBER(S670),S670,IF(LEFT(S670,2)="DI",HLOOKUP(S670,DADOS!$T$29:$X$30,2,FALSE),0)),4),"")</f>
        <v>0.25</v>
      </c>
      <c r="AB670" s="2"/>
    </row>
    <row r="671" spans="1:28">
      <c r="A671" t="str">
        <f t="shared" si="783"/>
        <v>S</v>
      </c>
      <c r="B671">
        <f t="shared" si="784"/>
        <v>0</v>
      </c>
      <c r="C671">
        <f t="shared" ca="1" si="798"/>
        <v>8</v>
      </c>
      <c r="D671">
        <f t="shared" ca="1" si="799"/>
        <v>6</v>
      </c>
      <c r="E671">
        <f t="shared" ca="1" si="800"/>
        <v>0</v>
      </c>
      <c r="F671">
        <f t="shared" ca="1" si="801"/>
        <v>0</v>
      </c>
      <c r="G671">
        <f t="shared" ca="1" si="802"/>
        <v>5</v>
      </c>
      <c r="H671">
        <f ca="1">IF(OR($A671="S",$A671=0),0,MATCH(0,OFFSET($B671,1,$A671,ROW($A$1504)-ROW($A671)),0))</f>
        <v>0</v>
      </c>
      <c r="I671">
        <f ca="1">IF(OR($A671="S",$A671=0),0,MATCH(OFFSET($B671,0,$A671)+1,OFFSET($B671,1,$A671,ROW($A$1504)-ROW($A671)),0))</f>
        <v>0</v>
      </c>
      <c r="J671" s="132" t="s">
        <v>29</v>
      </c>
      <c r="K671" s="121" t="str">
        <f t="shared" ca="1" si="790"/>
        <v>8.6.5.</v>
      </c>
      <c r="L671" s="137" t="str">
        <f t="shared" ca="1" si="803"/>
        <v>SENAI</v>
      </c>
      <c r="M671" s="122" t="s">
        <v>80</v>
      </c>
      <c r="N671" s="139" t="s">
        <v>259</v>
      </c>
      <c r="O671" s="137" t="str">
        <f ca="1">IF(NOT(ISERROR($Y671)),IF($Y671&lt;&gt;FALSE,INDEX(Banco,$Y671,5),""),"")</f>
        <v>Culinária com técnica de congelado (curso completo)</v>
      </c>
      <c r="P671" s="138" t="str">
        <f t="shared" ca="1" si="804"/>
        <v>Vagas</v>
      </c>
      <c r="Q671" s="134">
        <v>32</v>
      </c>
      <c r="R671" s="124">
        <f t="shared" ca="1" si="805"/>
        <v>306.23</v>
      </c>
      <c r="S671" s="136" t="s">
        <v>62</v>
      </c>
      <c r="T671" s="123">
        <f t="shared" ca="1" si="806"/>
        <v>382.79</v>
      </c>
      <c r="U671" s="126">
        <f t="shared" ca="1" si="807"/>
        <v>12249.28</v>
      </c>
      <c r="V671" s="1"/>
      <c r="W671" s="39" t="str">
        <f ca="1">IF(OR($A671=0,$A671="S",$A671&gt;CFF!$A$9),"",MAX(W$11:OFFSET(W671,-1,0))+1)</f>
        <v/>
      </c>
      <c r="X671" s="4" t="str">
        <f t="shared" si="808"/>
        <v>Serv. Terc.-084</v>
      </c>
      <c r="Y671" s="39">
        <f t="shared" ca="1" si="797"/>
        <v>164</v>
      </c>
      <c r="Z671" s="1"/>
      <c r="AA671" s="133">
        <f>IF($J671=$G$2,ROUND(IF(ISNUMBER(S671),S671,IF(LEFT(S671,2)="DI",HLOOKUP(S671,DADOS!$T$29:$X$30,2,FALSE),0)),4),"")</f>
        <v>0.25</v>
      </c>
      <c r="AB671" s="2"/>
    </row>
    <row r="672" spans="1:28">
      <c r="A672">
        <f>CHOOSE(1+LOG(1+2*(J672=$C$2)+4*(J672=$D$2)+8*(J672=$E$2)+16*(J672=$F$2)+32*(J672=$G$2),2),0,1,2,3,4,"S")</f>
        <v>2</v>
      </c>
      <c r="B672">
        <f ca="1">IF(OR(A672="S",A672=0),0,IF(ISERROR(I672),H672,SMALL(H672:I672,1)))</f>
        <v>12</v>
      </c>
      <c r="C672">
        <f ca="1">IF($A672=1,OFFSET(C672,-1,0)+1,OFFSET(C672,-1,0))</f>
        <v>8</v>
      </c>
      <c r="D672">
        <f ca="1">IF($A672=1,0,IF($A672=2,OFFSET(D672,-1,0)+1,OFFSET(D672,-1,0)))</f>
        <v>7</v>
      </c>
      <c r="E672">
        <f ca="1">IF(AND($A672&lt;=2,$A672&lt;&gt;0),0,IF($A672=3,OFFSET(E672,-1,0)+1,OFFSET(E672,-1,0)))</f>
        <v>0</v>
      </c>
      <c r="F672">
        <f ca="1">IF(AND($A672&lt;=3,$A672&lt;&gt;0),0,IF($A672=4,OFFSET(F672,-1,0)+1,OFFSET(F672,-1,0)))</f>
        <v>0</v>
      </c>
      <c r="G672">
        <f ca="1">IF(AND($A672&lt;=4,$A672&lt;&gt;0),0,IF($A672="S",OFFSET(G672,-1,0)+1,OFFSET(G672,-1,0)))</f>
        <v>0</v>
      </c>
      <c r="H672">
        <f ca="1">IF(OR($A672="S",$A672=0),0,MATCH(0,OFFSET($B672,1,$A672,ROW($A$1504)-ROW($A672)),0))</f>
        <v>21</v>
      </c>
      <c r="I672">
        <f ca="1">IF(OR($A672="S",$A672=0),0,MATCH(OFFSET($B672,0,$A672)+1,OFFSET($B672,1,$A672,ROW($A$1504)-ROW($A672)),0))</f>
        <v>12</v>
      </c>
      <c r="J672" s="132" t="s">
        <v>68</v>
      </c>
      <c r="K672" s="121" t="str">
        <f ca="1">IF($A672=0,"-",CONCATENATE(C672&amp;".",IF(AND($A$5&gt;=2,$A672&gt;=2),D672&amp;".",""),IF(AND($A$5&gt;=3,$A672&gt;=3),E672&amp;".",""),IF(AND($A$5&gt;=4,$A672&gt;=4),F672&amp;".",""),IF($A672="S",G672&amp;".","")))</f>
        <v>8.7.</v>
      </c>
      <c r="L672" s="137" t="str">
        <f ca="1">IF(NOT(ISERROR($Y672)),IF($Y672&lt;&gt;FALSE,INDEX(Banco,$Y672,4),""),"")</f>
        <v/>
      </c>
      <c r="M672" s="122"/>
      <c r="N672" s="139"/>
      <c r="O672" s="137" t="s">
        <v>398</v>
      </c>
      <c r="P672" s="138" t="str">
        <f ca="1">IF(NOT(ISERROR($Y672)),IF($Y672&lt;&gt;FALSE,INDEX(Banco,$Y672,6),""),"")</f>
        <v/>
      </c>
      <c r="Q672" s="134"/>
      <c r="R672" s="124">
        <f ca="1">IF(NOT(ISERROR($Y672)),IF($Y672&lt;&gt;FALSE,INDEX(Banco,$Y672,7),0),0)</f>
        <v>0</v>
      </c>
      <c r="S672" s="136" t="s">
        <v>62</v>
      </c>
      <c r="T672" s="123">
        <f>IF($J672=$G$2,ROUND(ROUND($R672,2)*IF($R$9="Preço Unitário (R$)",1,1+$AA672),2),0)</f>
        <v>0</v>
      </c>
      <c r="U672" s="126">
        <f ca="1">IF($A672="S",VTOTAL1,IF($A672=0,0,ROUND(SomaAgrup,2)))</f>
        <v>9513.81</v>
      </c>
      <c r="V672" s="1"/>
      <c r="W672" s="39">
        <f ca="1">IF(OR($A672=0,$A672="S",$A672&gt;CFF!$A$9),"",MAX(W$11:OFFSET(W672,-1,0))+1)</f>
        <v>59</v>
      </c>
      <c r="X672" s="4" t="b">
        <f>IF(AND($J672=$G$2,$N672&lt;&gt;"",$M672&lt;&gt;""),CONCATENATE($M672,"-",$N672))</f>
        <v>0</v>
      </c>
      <c r="Y672" s="39" t="b">
        <f ca="1">IF(X672&lt;&gt;FALSE,MATCH(X672,OFFSET(Banco,0,0,,1),0))</f>
        <v>0</v>
      </c>
      <c r="Z672" s="1"/>
      <c r="AA672" s="133" t="str">
        <f>IF($J672=$G$2,ROUND(IF(ISNUMBER(S672),S672,IF(LEFT(S672,2)="DI",HLOOKUP(S672,DADOS!$T$29:$X$30,2,FALSE),0)),4),"")</f>
        <v/>
      </c>
      <c r="AB672" s="2"/>
    </row>
    <row r="673" spans="1:28">
      <c r="A673" t="str">
        <f t="shared" ref="A673:A683" si="809">CHOOSE(1+LOG(1+2*(J673=$C$2)+4*(J673=$D$2)+8*(J673=$E$2)+16*(J673=$F$2)+32*(J673=$G$2),2),0,1,2,3,4,"S")</f>
        <v>S</v>
      </c>
      <c r="B673">
        <f t="shared" ref="B673:B683" si="810">IF(OR(A673="S",A673=0),0,IF(ISERROR(I673),H673,SMALL(H673:I673,1)))</f>
        <v>0</v>
      </c>
      <c r="C673">
        <f t="shared" ca="1" si="798"/>
        <v>8</v>
      </c>
      <c r="D673">
        <f t="shared" ca="1" si="799"/>
        <v>7</v>
      </c>
      <c r="E673">
        <f t="shared" ca="1" si="800"/>
        <v>0</v>
      </c>
      <c r="F673">
        <f t="shared" ca="1" si="801"/>
        <v>0</v>
      </c>
      <c r="G673">
        <f t="shared" ca="1" si="802"/>
        <v>1</v>
      </c>
      <c r="H673">
        <f ca="1">IF(OR($A673="S",$A673=0),0,MATCH(0,OFFSET($B673,1,$A673,ROW($A$1504)-ROW($A673)),0))</f>
        <v>0</v>
      </c>
      <c r="I673">
        <f ca="1">IF(OR($A673="S",$A673=0),0,MATCH(OFFSET($B673,0,$A673)+1,OFFSET($B673,1,$A673,ROW($A$1504)-ROW($A673)),0))</f>
        <v>0</v>
      </c>
      <c r="J673" s="132" t="s">
        <v>29</v>
      </c>
      <c r="K673" s="121" t="str">
        <f t="shared" ref="K673:K683" ca="1" si="811">IF($A673=0,"-",CONCATENATE(C673&amp;".",IF(AND($A$5&gt;=2,$A673&gt;=2),D673&amp;".",""),IF(AND($A$5&gt;=3,$A673&gt;=3),E673&amp;".",""),IF(AND($A$5&gt;=4,$A673&gt;=4),F673&amp;".",""),IF($A673="S",G673&amp;".","")))</f>
        <v>8.7.1.</v>
      </c>
      <c r="L673" s="137" t="str">
        <f t="shared" ca="1" si="803"/>
        <v>CRESS</v>
      </c>
      <c r="M673" s="122" t="s">
        <v>78</v>
      </c>
      <c r="N673" s="139" t="s">
        <v>152</v>
      </c>
      <c r="O673" s="137" t="str">
        <f t="shared" ref="O673:O683" ca="1" si="812">IF(NOT(ISERROR($Y673)),IF($Y673&lt;&gt;FALSE,INDEX(Banco,$Y673,5),""),"")</f>
        <v>Assistente Social</v>
      </c>
      <c r="P673" s="138" t="str">
        <f t="shared" ca="1" si="804"/>
        <v>Horas</v>
      </c>
      <c r="Q673" s="134">
        <v>8</v>
      </c>
      <c r="R673" s="124">
        <f t="shared" ca="1" si="805"/>
        <v>133.81</v>
      </c>
      <c r="S673" s="136" t="s">
        <v>62</v>
      </c>
      <c r="T673" s="123">
        <f t="shared" ca="1" si="806"/>
        <v>167.26</v>
      </c>
      <c r="U673" s="126">
        <f t="shared" ca="1" si="807"/>
        <v>1338.08</v>
      </c>
      <c r="V673" s="1"/>
      <c r="W673" s="39" t="str">
        <f ca="1">IF(OR($A673=0,$A673="S",$A673&gt;CFF!$A$9),"",MAX(W$11:OFFSET(W673,-1,0))+1)</f>
        <v/>
      </c>
      <c r="X673" s="4" t="str">
        <f t="shared" si="808"/>
        <v>Rec. Humanos-002</v>
      </c>
      <c r="Y673" s="39">
        <f t="shared" ref="Y673:Y683" ca="1" si="813">IF(X673&lt;&gt;FALSE,MATCH(X673,OFFSET(Banco,0,0,,1),0))</f>
        <v>4</v>
      </c>
      <c r="Z673" s="1"/>
      <c r="AA673" s="133">
        <f>IF($J673=$G$2,ROUND(IF(ISNUMBER(S673),S673,IF(LEFT(S673,2)="DI",HLOOKUP(S673,DADOS!$T$29:$X$30,2,FALSE),0)),4),"")</f>
        <v>0.25</v>
      </c>
      <c r="AB673" s="2"/>
    </row>
    <row r="674" spans="1:28">
      <c r="A674" t="str">
        <f t="shared" si="809"/>
        <v>S</v>
      </c>
      <c r="B674">
        <f t="shared" si="810"/>
        <v>0</v>
      </c>
      <c r="C674">
        <f t="shared" ca="1" si="798"/>
        <v>8</v>
      </c>
      <c r="D674">
        <f t="shared" ca="1" si="799"/>
        <v>7</v>
      </c>
      <c r="E674">
        <f t="shared" ca="1" si="800"/>
        <v>0</v>
      </c>
      <c r="F674">
        <f t="shared" ca="1" si="801"/>
        <v>0</v>
      </c>
      <c r="G674">
        <f t="shared" ca="1" si="802"/>
        <v>2</v>
      </c>
      <c r="H674">
        <f ca="1">IF(OR($A674="S",$A674=0),0,MATCH(0,OFFSET($B674,1,$A674,ROW($A$1504)-ROW($A674)),0))</f>
        <v>0</v>
      </c>
      <c r="I674">
        <f ca="1">IF(OR($A674="S",$A674=0),0,MATCH(OFFSET($B674,0,$A674)+1,OFFSET($B674,1,$A674,ROW($A$1504)-ROW($A674)),0))</f>
        <v>0</v>
      </c>
      <c r="J674" s="132" t="s">
        <v>29</v>
      </c>
      <c r="K674" s="121" t="str">
        <f t="shared" ca="1" si="811"/>
        <v>8.7.2.</v>
      </c>
      <c r="L674" s="137" t="str">
        <f t="shared" ca="1" si="803"/>
        <v>Cotação</v>
      </c>
      <c r="M674" s="122" t="s">
        <v>78</v>
      </c>
      <c r="N674" s="139" t="s">
        <v>151</v>
      </c>
      <c r="O674" s="137" t="str">
        <f t="shared" ca="1" si="812"/>
        <v xml:space="preserve">Administrador (Técnico de Apoio) </v>
      </c>
      <c r="P674" s="138" t="str">
        <f t="shared" ca="1" si="804"/>
        <v>Horas</v>
      </c>
      <c r="Q674" s="134">
        <v>8</v>
      </c>
      <c r="R674" s="124">
        <f t="shared" ca="1" si="805"/>
        <v>103.65</v>
      </c>
      <c r="S674" s="136" t="s">
        <v>62</v>
      </c>
      <c r="T674" s="123">
        <f t="shared" ca="1" si="806"/>
        <v>129.56</v>
      </c>
      <c r="U674" s="126">
        <f t="shared" ca="1" si="807"/>
        <v>1036.48</v>
      </c>
      <c r="V674" s="1"/>
      <c r="W674" s="39" t="str">
        <f ca="1">IF(OR($A674=0,$A674="S",$A674&gt;CFF!$A$9),"",MAX(W$11:OFFSET(W674,-1,0))+1)</f>
        <v/>
      </c>
      <c r="X674" s="4" t="str">
        <f t="shared" si="808"/>
        <v>Rec. Humanos-003</v>
      </c>
      <c r="Y674" s="39">
        <f t="shared" ca="1" si="813"/>
        <v>5</v>
      </c>
      <c r="Z674" s="1"/>
      <c r="AA674" s="133">
        <f>IF($J674=$G$2,ROUND(IF(ISNUMBER(S674),S674,IF(LEFT(S674,2)="DI",HLOOKUP(S674,DADOS!$T$29:$X$30,2,FALSE),0)),4),"")</f>
        <v>0.25</v>
      </c>
      <c r="AB674" s="2"/>
    </row>
    <row r="675" spans="1:28">
      <c r="A675" t="str">
        <f t="shared" si="809"/>
        <v>S</v>
      </c>
      <c r="B675">
        <f t="shared" si="810"/>
        <v>0</v>
      </c>
      <c r="C675">
        <f t="shared" ca="1" si="798"/>
        <v>8</v>
      </c>
      <c r="D675">
        <f t="shared" ca="1" si="799"/>
        <v>7</v>
      </c>
      <c r="E675">
        <f t="shared" ca="1" si="800"/>
        <v>0</v>
      </c>
      <c r="F675">
        <f t="shared" ca="1" si="801"/>
        <v>0</v>
      </c>
      <c r="G675">
        <f t="shared" ca="1" si="802"/>
        <v>3</v>
      </c>
      <c r="H675">
        <f ca="1">IF(OR($A675="S",$A675=0),0,MATCH(0,OFFSET($B675,1,$A675,ROW($A$1504)-ROW($A675)),0))</f>
        <v>0</v>
      </c>
      <c r="I675">
        <f ca="1">IF(OR($A675="S",$A675=0),0,MATCH(OFFSET($B675,0,$A675)+1,OFFSET($B675,1,$A675,ROW($A$1504)-ROW($A675)),0))</f>
        <v>0</v>
      </c>
      <c r="J675" s="132" t="s">
        <v>29</v>
      </c>
      <c r="K675" s="121" t="str">
        <f t="shared" ca="1" si="811"/>
        <v>8.7.3.</v>
      </c>
      <c r="L675" s="137" t="str">
        <f t="shared" ca="1" si="803"/>
        <v>Cotação</v>
      </c>
      <c r="M675" s="122" t="s">
        <v>80</v>
      </c>
      <c r="N675" s="139" t="s">
        <v>171</v>
      </c>
      <c r="O675" s="137" t="str">
        <f t="shared" ca="1" si="812"/>
        <v xml:space="preserve">Refrigerantes (02 litros) </v>
      </c>
      <c r="P675" s="138" t="str">
        <f t="shared" ca="1" si="804"/>
        <v>Unidade</v>
      </c>
      <c r="Q675" s="134">
        <v>6</v>
      </c>
      <c r="R675" s="124">
        <f t="shared" ca="1" si="805"/>
        <v>6</v>
      </c>
      <c r="S675" s="136" t="s">
        <v>62</v>
      </c>
      <c r="T675" s="123">
        <f t="shared" ca="1" si="806"/>
        <v>7.5</v>
      </c>
      <c r="U675" s="126">
        <f t="shared" ca="1" si="807"/>
        <v>45</v>
      </c>
      <c r="V675" s="1"/>
      <c r="W675" s="39" t="str">
        <f ca="1">IF(OR($A675=0,$A675="S",$A675&gt;CFF!$A$9),"",MAX(W$11:OFFSET(W675,-1,0))+1)</f>
        <v/>
      </c>
      <c r="X675" s="4" t="str">
        <f t="shared" si="808"/>
        <v>Serv. Terc.-027</v>
      </c>
      <c r="Y675" s="39">
        <f t="shared" ca="1" si="813"/>
        <v>107</v>
      </c>
      <c r="Z675" s="1"/>
      <c r="AA675" s="133">
        <f>IF($J675=$G$2,ROUND(IF(ISNUMBER(S675),S675,IF(LEFT(S675,2)="DI",HLOOKUP(S675,DADOS!$T$29:$X$30,2,FALSE),0)),4),"")</f>
        <v>0.25</v>
      </c>
      <c r="AB675" s="2"/>
    </row>
    <row r="676" spans="1:28">
      <c r="A676" t="str">
        <f t="shared" si="809"/>
        <v>S</v>
      </c>
      <c r="B676">
        <f t="shared" si="810"/>
        <v>0</v>
      </c>
      <c r="C676">
        <f t="shared" ca="1" si="798"/>
        <v>8</v>
      </c>
      <c r="D676">
        <f t="shared" ca="1" si="799"/>
        <v>7</v>
      </c>
      <c r="E676">
        <f t="shared" ca="1" si="800"/>
        <v>0</v>
      </c>
      <c r="F676">
        <f t="shared" ca="1" si="801"/>
        <v>0</v>
      </c>
      <c r="G676">
        <f t="shared" ca="1" si="802"/>
        <v>4</v>
      </c>
      <c r="H676">
        <f ca="1">IF(OR($A676="S",$A676=0),0,MATCH(0,OFFSET($B676,1,$A676,ROW($A$1504)-ROW($A676)),0))</f>
        <v>0</v>
      </c>
      <c r="I676">
        <f ca="1">IF(OR($A676="S",$A676=0),0,MATCH(OFFSET($B676,0,$A676)+1,OFFSET($B676,1,$A676,ROW($A$1504)-ROW($A676)),0))</f>
        <v>0</v>
      </c>
      <c r="J676" s="132" t="s">
        <v>29</v>
      </c>
      <c r="K676" s="121" t="str">
        <f t="shared" ca="1" si="811"/>
        <v>8.7.4.</v>
      </c>
      <c r="L676" s="137" t="str">
        <f t="shared" ca="1" si="803"/>
        <v>Cotação</v>
      </c>
      <c r="M676" s="122" t="s">
        <v>80</v>
      </c>
      <c r="N676" s="139" t="s">
        <v>321</v>
      </c>
      <c r="O676" s="137" t="str">
        <f t="shared" ca="1" si="812"/>
        <v>Apostilas com figuras ilustrativas (08 páginas)</v>
      </c>
      <c r="P676" s="138" t="str">
        <f t="shared" ca="1" si="804"/>
        <v>Unidade</v>
      </c>
      <c r="Q676" s="134">
        <v>30</v>
      </c>
      <c r="R676" s="124">
        <f t="shared" ca="1" si="805"/>
        <v>15</v>
      </c>
      <c r="S676" s="136" t="s">
        <v>62</v>
      </c>
      <c r="T676" s="123">
        <f t="shared" ca="1" si="806"/>
        <v>18.75</v>
      </c>
      <c r="U676" s="126">
        <f t="shared" ca="1" si="807"/>
        <v>562.5</v>
      </c>
      <c r="V676" s="1"/>
      <c r="W676" s="39" t="str">
        <f ca="1">IF(OR($A676=0,$A676="S",$A676&gt;CFF!$A$9),"",MAX(W$11:OFFSET(W676,-1,0))+1)</f>
        <v/>
      </c>
      <c r="X676" s="4" t="str">
        <f t="shared" si="808"/>
        <v>Serv. Terc.-031</v>
      </c>
      <c r="Y676" s="39">
        <f t="shared" ca="1" si="813"/>
        <v>111</v>
      </c>
      <c r="Z676" s="1"/>
      <c r="AA676" s="133">
        <f>IF($J676=$G$2,ROUND(IF(ISNUMBER(S676),S676,IF(LEFT(S676,2)="DI",HLOOKUP(S676,DADOS!$T$29:$X$30,2,FALSE),0)),4),"")</f>
        <v>0.25</v>
      </c>
      <c r="AB676" s="2"/>
    </row>
    <row r="677" spans="1:28">
      <c r="A677" t="str">
        <f t="shared" si="809"/>
        <v>S</v>
      </c>
      <c r="B677">
        <f t="shared" si="810"/>
        <v>0</v>
      </c>
      <c r="C677">
        <f t="shared" ca="1" si="798"/>
        <v>8</v>
      </c>
      <c r="D677">
        <f t="shared" ca="1" si="799"/>
        <v>7</v>
      </c>
      <c r="E677">
        <f t="shared" ca="1" si="800"/>
        <v>0</v>
      </c>
      <c r="F677">
        <f t="shared" ca="1" si="801"/>
        <v>0</v>
      </c>
      <c r="G677">
        <f t="shared" ca="1" si="802"/>
        <v>5</v>
      </c>
      <c r="H677">
        <f ca="1">IF(OR($A677="S",$A677=0),0,MATCH(0,OFFSET($B677,1,$A677,ROW($A$1504)-ROW($A677)),0))</f>
        <v>0</v>
      </c>
      <c r="I677">
        <f ca="1">IF(OR($A677="S",$A677=0),0,MATCH(OFFSET($B677,0,$A677)+1,OFFSET($B677,1,$A677,ROW($A$1504)-ROW($A677)),0))</f>
        <v>0</v>
      </c>
      <c r="J677" s="132" t="s">
        <v>29</v>
      </c>
      <c r="K677" s="121" t="str">
        <f t="shared" ca="1" si="811"/>
        <v>8.7.5.</v>
      </c>
      <c r="L677" s="137" t="str">
        <f t="shared" ca="1" si="803"/>
        <v>Cotação</v>
      </c>
      <c r="M677" s="122" t="s">
        <v>80</v>
      </c>
      <c r="N677" s="139" t="s">
        <v>322</v>
      </c>
      <c r="O677" s="137" t="str">
        <f t="shared" ca="1" si="812"/>
        <v>Certificados para cursos</v>
      </c>
      <c r="P677" s="138" t="str">
        <f t="shared" ca="1" si="804"/>
        <v>Unidade</v>
      </c>
      <c r="Q677" s="134">
        <v>30</v>
      </c>
      <c r="R677" s="124">
        <f t="shared" ca="1" si="805"/>
        <v>4</v>
      </c>
      <c r="S677" s="136" t="s">
        <v>62</v>
      </c>
      <c r="T677" s="123">
        <f t="shared" ca="1" si="806"/>
        <v>5</v>
      </c>
      <c r="U677" s="126">
        <f t="shared" ca="1" si="807"/>
        <v>150</v>
      </c>
      <c r="V677" s="1"/>
      <c r="W677" s="39" t="str">
        <f ca="1">IF(OR($A677=0,$A677="S",$A677&gt;CFF!$A$9),"",MAX(W$11:OFFSET(W677,-1,0))+1)</f>
        <v/>
      </c>
      <c r="X677" s="4" t="str">
        <f t="shared" si="808"/>
        <v>Serv. Terc.-032</v>
      </c>
      <c r="Y677" s="39">
        <f t="shared" ca="1" si="813"/>
        <v>112</v>
      </c>
      <c r="Z677" s="1"/>
      <c r="AA677" s="133">
        <f>IF($J677=$G$2,ROUND(IF(ISNUMBER(S677),S677,IF(LEFT(S677,2)="DI",HLOOKUP(S677,DADOS!$T$29:$X$30,2,FALSE),0)),4),"")</f>
        <v>0.25</v>
      </c>
      <c r="AB677" s="2"/>
    </row>
    <row r="678" spans="1:28">
      <c r="A678" t="str">
        <f t="shared" si="809"/>
        <v>S</v>
      </c>
      <c r="B678">
        <f t="shared" si="810"/>
        <v>0</v>
      </c>
      <c r="C678">
        <f t="shared" ca="1" si="798"/>
        <v>8</v>
      </c>
      <c r="D678">
        <f t="shared" ca="1" si="799"/>
        <v>7</v>
      </c>
      <c r="E678">
        <f t="shared" ca="1" si="800"/>
        <v>0</v>
      </c>
      <c r="F678">
        <f t="shared" ca="1" si="801"/>
        <v>0</v>
      </c>
      <c r="G678">
        <f t="shared" ca="1" si="802"/>
        <v>6</v>
      </c>
      <c r="H678">
        <f ca="1">IF(OR($A678="S",$A678=0),0,MATCH(0,OFFSET($B678,1,$A678,ROW($A$1504)-ROW($A678)),0))</f>
        <v>0</v>
      </c>
      <c r="I678">
        <f ca="1">IF(OR($A678="S",$A678=0),0,MATCH(OFFSET($B678,0,$A678)+1,OFFSET($B678,1,$A678,ROW($A$1504)-ROW($A678)),0))</f>
        <v>0</v>
      </c>
      <c r="J678" s="132" t="s">
        <v>29</v>
      </c>
      <c r="K678" s="121" t="str">
        <f t="shared" ca="1" si="811"/>
        <v>8.7.6.</v>
      </c>
      <c r="L678" s="137" t="str">
        <f t="shared" ca="1" si="803"/>
        <v>Cotação</v>
      </c>
      <c r="M678" s="122" t="s">
        <v>80</v>
      </c>
      <c r="N678" s="139" t="s">
        <v>248</v>
      </c>
      <c r="O678" s="137" t="str">
        <f t="shared" ca="1" si="812"/>
        <v>Cupcake (Instrutor)</v>
      </c>
      <c r="P678" s="138" t="str">
        <f t="shared" ca="1" si="804"/>
        <v>Horas</v>
      </c>
      <c r="Q678" s="134">
        <v>16</v>
      </c>
      <c r="R678" s="124">
        <f t="shared" ca="1" si="805"/>
        <v>80</v>
      </c>
      <c r="S678" s="136" t="s">
        <v>62</v>
      </c>
      <c r="T678" s="123">
        <f t="shared" ca="1" si="806"/>
        <v>100</v>
      </c>
      <c r="U678" s="126">
        <f t="shared" ca="1" si="807"/>
        <v>1600</v>
      </c>
      <c r="V678" s="1"/>
      <c r="W678" s="39" t="str">
        <f ca="1">IF(OR($A678=0,$A678="S",$A678&gt;CFF!$A$9),"",MAX(W$11:OFFSET(W678,-1,0))+1)</f>
        <v/>
      </c>
      <c r="X678" s="4" t="str">
        <f t="shared" si="808"/>
        <v>Serv. Terc.-081</v>
      </c>
      <c r="Y678" s="39">
        <f t="shared" ca="1" si="813"/>
        <v>161</v>
      </c>
      <c r="Z678" s="1"/>
      <c r="AA678" s="133">
        <f>IF($J678=$G$2,ROUND(IF(ISNUMBER(S678),S678,IF(LEFT(S678,2)="DI",HLOOKUP(S678,DADOS!$T$29:$X$30,2,FALSE),0)),4),"")</f>
        <v>0.25</v>
      </c>
      <c r="AB678" s="2"/>
    </row>
    <row r="679" spans="1:28">
      <c r="A679" t="str">
        <f t="shared" si="809"/>
        <v>S</v>
      </c>
      <c r="B679">
        <f t="shared" si="810"/>
        <v>0</v>
      </c>
      <c r="C679">
        <f t="shared" ca="1" si="798"/>
        <v>8</v>
      </c>
      <c r="D679">
        <f t="shared" ca="1" si="799"/>
        <v>7</v>
      </c>
      <c r="E679">
        <f t="shared" ca="1" si="800"/>
        <v>0</v>
      </c>
      <c r="F679">
        <f t="shared" ca="1" si="801"/>
        <v>0</v>
      </c>
      <c r="G679">
        <f t="shared" ca="1" si="802"/>
        <v>7</v>
      </c>
      <c r="H679">
        <f ca="1">IF(OR($A679="S",$A679=0),0,MATCH(0,OFFSET($B679,1,$A679,ROW($A$1504)-ROW($A679)),0))</f>
        <v>0</v>
      </c>
      <c r="I679">
        <f ca="1">IF(OR($A679="S",$A679=0),0,MATCH(OFFSET($B679,0,$A679)+1,OFFSET($B679,1,$A679,ROW($A$1504)-ROW($A679)),0))</f>
        <v>0</v>
      </c>
      <c r="J679" s="132" t="s">
        <v>29</v>
      </c>
      <c r="K679" s="121" t="str">
        <f t="shared" ca="1" si="811"/>
        <v>8.7.7.</v>
      </c>
      <c r="L679" s="137" t="str">
        <f t="shared" ca="1" si="803"/>
        <v>Cotação</v>
      </c>
      <c r="M679" s="122" t="s">
        <v>80</v>
      </c>
      <c r="N679" s="139" t="s">
        <v>230</v>
      </c>
      <c r="O679" s="137" t="str">
        <f t="shared" ca="1" si="812"/>
        <v>KIT 01 - Material para os alunos Cupcake e bolo de pote</v>
      </c>
      <c r="P679" s="138" t="str">
        <f t="shared" ca="1" si="804"/>
        <v>KITS</v>
      </c>
      <c r="Q679" s="134">
        <v>30</v>
      </c>
      <c r="R679" s="124">
        <f t="shared" ca="1" si="805"/>
        <v>90</v>
      </c>
      <c r="S679" s="136" t="s">
        <v>62</v>
      </c>
      <c r="T679" s="123">
        <f t="shared" ca="1" si="806"/>
        <v>112.5</v>
      </c>
      <c r="U679" s="126">
        <f t="shared" ca="1" si="807"/>
        <v>3375</v>
      </c>
      <c r="V679" s="1"/>
      <c r="W679" s="39" t="str">
        <f ca="1">IF(OR($A679=0,$A679="S",$A679&gt;CFF!$A$9),"",MAX(W$11:OFFSET(W679,-1,0))+1)</f>
        <v/>
      </c>
      <c r="X679" s="4" t="str">
        <f t="shared" si="808"/>
        <v>Serv. Terc.-076</v>
      </c>
      <c r="Y679" s="39">
        <f t="shared" ca="1" si="813"/>
        <v>156</v>
      </c>
      <c r="Z679" s="1"/>
      <c r="AA679" s="133">
        <f>IF($J679=$G$2,ROUND(IF(ISNUMBER(S679),S679,IF(LEFT(S679,2)="DI",HLOOKUP(S679,DADOS!$T$29:$X$30,2,FALSE),0)),4),"")</f>
        <v>0.25</v>
      </c>
      <c r="AB679" s="2"/>
    </row>
    <row r="680" spans="1:28">
      <c r="A680" t="str">
        <f t="shared" si="809"/>
        <v>S</v>
      </c>
      <c r="B680">
        <f t="shared" si="810"/>
        <v>0</v>
      </c>
      <c r="C680">
        <f t="shared" ca="1" si="798"/>
        <v>8</v>
      </c>
      <c r="D680">
        <f t="shared" ca="1" si="799"/>
        <v>7</v>
      </c>
      <c r="E680">
        <f t="shared" ca="1" si="800"/>
        <v>0</v>
      </c>
      <c r="F680">
        <f t="shared" ca="1" si="801"/>
        <v>0</v>
      </c>
      <c r="G680">
        <f t="shared" ca="1" si="802"/>
        <v>8</v>
      </c>
      <c r="H680">
        <f ca="1">IF(OR($A680="S",$A680=0),0,MATCH(0,OFFSET($B680,1,$A680,ROW($A$1504)-ROW($A680)),0))</f>
        <v>0</v>
      </c>
      <c r="I680">
        <f ca="1">IF(OR($A680="S",$A680=0),0,MATCH(OFFSET($B680,0,$A680)+1,OFFSET($B680,1,$A680,ROW($A$1504)-ROW($A680)),0))</f>
        <v>0</v>
      </c>
      <c r="J680" s="132" t="s">
        <v>29</v>
      </c>
      <c r="K680" s="121" t="str">
        <f t="shared" ca="1" si="811"/>
        <v>8.7.8.</v>
      </c>
      <c r="L680" s="137" t="str">
        <f t="shared" ca="1" si="803"/>
        <v>Cotação</v>
      </c>
      <c r="M680" s="122" t="s">
        <v>80</v>
      </c>
      <c r="N680" s="139" t="s">
        <v>231</v>
      </c>
      <c r="O680" s="137" t="str">
        <f t="shared" ca="1" si="812"/>
        <v>KIT 02 - Material de uso coletivo Cupcake e bolo de pote</v>
      </c>
      <c r="P680" s="138" t="str">
        <f t="shared" ca="1" si="804"/>
        <v>KITS</v>
      </c>
      <c r="Q680" s="134">
        <v>1</v>
      </c>
      <c r="R680" s="124">
        <f t="shared" ca="1" si="805"/>
        <v>300</v>
      </c>
      <c r="S680" s="136" t="s">
        <v>62</v>
      </c>
      <c r="T680" s="123">
        <f t="shared" ca="1" si="806"/>
        <v>375</v>
      </c>
      <c r="U680" s="126">
        <f t="shared" ca="1" si="807"/>
        <v>375</v>
      </c>
      <c r="V680" s="1"/>
      <c r="W680" s="39" t="str">
        <f ca="1">IF(OR($A680=0,$A680="S",$A680&gt;CFF!$A$9),"",MAX(W$11:OFFSET(W680,-1,0))+1)</f>
        <v/>
      </c>
      <c r="X680" s="4" t="str">
        <f t="shared" si="808"/>
        <v>Serv. Terc.-077</v>
      </c>
      <c r="Y680" s="39">
        <f t="shared" ca="1" si="813"/>
        <v>157</v>
      </c>
      <c r="Z680" s="1"/>
      <c r="AA680" s="133">
        <f>IF($J680=$G$2,ROUND(IF(ISNUMBER(S680),S680,IF(LEFT(S680,2)="DI",HLOOKUP(S680,DADOS!$T$29:$X$30,2,FALSE),0)),4),"")</f>
        <v>0.25</v>
      </c>
      <c r="AB680" s="2"/>
    </row>
    <row r="681" spans="1:28">
      <c r="A681" t="str">
        <f t="shared" si="809"/>
        <v>S</v>
      </c>
      <c r="B681">
        <f t="shared" si="810"/>
        <v>0</v>
      </c>
      <c r="C681">
        <f t="shared" ca="1" si="798"/>
        <v>8</v>
      </c>
      <c r="D681">
        <f t="shared" ca="1" si="799"/>
        <v>7</v>
      </c>
      <c r="E681">
        <f t="shared" ca="1" si="800"/>
        <v>0</v>
      </c>
      <c r="F681">
        <f t="shared" ca="1" si="801"/>
        <v>0</v>
      </c>
      <c r="G681">
        <f t="shared" ca="1" si="802"/>
        <v>9</v>
      </c>
      <c r="H681">
        <f ca="1">IF(OR($A681="S",$A681=0),0,MATCH(0,OFFSET($B681,1,$A681,ROW($A$1504)-ROW($A681)),0))</f>
        <v>0</v>
      </c>
      <c r="I681">
        <f ca="1">IF(OR($A681="S",$A681=0),0,MATCH(OFFSET($B681,0,$A681)+1,OFFSET($B681,1,$A681,ROW($A$1504)-ROW($A681)),0))</f>
        <v>0</v>
      </c>
      <c r="J681" s="132" t="s">
        <v>29</v>
      </c>
      <c r="K681" s="121" t="str">
        <f t="shared" ca="1" si="811"/>
        <v>8.7.9.</v>
      </c>
      <c r="L681" s="137" t="str">
        <f t="shared" ca="1" si="803"/>
        <v>Cotação</v>
      </c>
      <c r="M681" s="122" t="s">
        <v>79</v>
      </c>
      <c r="N681" s="139" t="s">
        <v>149</v>
      </c>
      <c r="O681" s="137" t="str">
        <f t="shared" ca="1" si="812"/>
        <v>Papel A4</v>
      </c>
      <c r="P681" s="138" t="str">
        <f t="shared" ca="1" si="804"/>
        <v>Resma</v>
      </c>
      <c r="Q681" s="134">
        <v>1</v>
      </c>
      <c r="R681" s="124">
        <f t="shared" ca="1" si="805"/>
        <v>28</v>
      </c>
      <c r="S681" s="136" t="s">
        <v>62</v>
      </c>
      <c r="T681" s="123">
        <f t="shared" ca="1" si="806"/>
        <v>35</v>
      </c>
      <c r="U681" s="126">
        <f t="shared" ca="1" si="807"/>
        <v>35</v>
      </c>
      <c r="V681" s="1"/>
      <c r="W681" s="39" t="str">
        <f ca="1">IF(OR($A681=0,$A681="S",$A681&gt;CFF!$A$9),"",MAX(W$11:OFFSET(W681,-1,0))+1)</f>
        <v/>
      </c>
      <c r="X681" s="4" t="str">
        <f t="shared" si="808"/>
        <v>Rec. Materiais-001</v>
      </c>
      <c r="Y681" s="39">
        <f t="shared" ca="1" si="813"/>
        <v>10</v>
      </c>
      <c r="Z681" s="1"/>
      <c r="AA681" s="133">
        <f>IF($J681=$G$2,ROUND(IF(ISNUMBER(S681),S681,IF(LEFT(S681,2)="DI",HLOOKUP(S681,DADOS!$T$29:$X$30,2,FALSE),0)),4),"")</f>
        <v>0.25</v>
      </c>
      <c r="AB681" s="2"/>
    </row>
    <row r="682" spans="1:28">
      <c r="A682" t="str">
        <f t="shared" si="809"/>
        <v>S</v>
      </c>
      <c r="B682">
        <f t="shared" si="810"/>
        <v>0</v>
      </c>
      <c r="C682">
        <f t="shared" ca="1" si="798"/>
        <v>8</v>
      </c>
      <c r="D682">
        <f t="shared" ca="1" si="799"/>
        <v>7</v>
      </c>
      <c r="E682">
        <f t="shared" ca="1" si="800"/>
        <v>0</v>
      </c>
      <c r="F682">
        <f t="shared" ca="1" si="801"/>
        <v>0</v>
      </c>
      <c r="G682">
        <f t="shared" ca="1" si="802"/>
        <v>10</v>
      </c>
      <c r="H682">
        <f ca="1">IF(OR($A682="S",$A682=0),0,MATCH(0,OFFSET($B682,1,$A682,ROW($A$1504)-ROW($A682)),0))</f>
        <v>0</v>
      </c>
      <c r="I682">
        <f ca="1">IF(OR($A682="S",$A682=0),0,MATCH(OFFSET($B682,0,$A682)+1,OFFSET($B682,1,$A682,ROW($A$1504)-ROW($A682)),0))</f>
        <v>0</v>
      </c>
      <c r="J682" s="132" t="s">
        <v>29</v>
      </c>
      <c r="K682" s="121" t="str">
        <f t="shared" ca="1" si="811"/>
        <v>8.7.10.</v>
      </c>
      <c r="L682" s="137" t="str">
        <f t="shared" ca="1" si="803"/>
        <v>Cotação</v>
      </c>
      <c r="M682" s="122" t="s">
        <v>79</v>
      </c>
      <c r="N682" s="139" t="s">
        <v>152</v>
      </c>
      <c r="O682" s="137" t="str">
        <f t="shared" ca="1" si="812"/>
        <v>Toner para impressora</v>
      </c>
      <c r="P682" s="138" t="str">
        <f t="shared" ca="1" si="804"/>
        <v>Unidade</v>
      </c>
      <c r="Q682" s="134">
        <v>4</v>
      </c>
      <c r="R682" s="124">
        <f t="shared" ca="1" si="805"/>
        <v>180</v>
      </c>
      <c r="S682" s="136" t="s">
        <v>62</v>
      </c>
      <c r="T682" s="123">
        <f t="shared" ca="1" si="806"/>
        <v>225</v>
      </c>
      <c r="U682" s="126">
        <f t="shared" ca="1" si="807"/>
        <v>900</v>
      </c>
      <c r="V682" s="1"/>
      <c r="W682" s="39" t="str">
        <f ca="1">IF(OR($A682=0,$A682="S",$A682&gt;CFF!$A$9),"",MAX(W$11:OFFSET(W682,-1,0))+1)</f>
        <v/>
      </c>
      <c r="X682" s="4" t="str">
        <f t="shared" si="808"/>
        <v>Rec. Materiais-002</v>
      </c>
      <c r="Y682" s="39">
        <f t="shared" ca="1" si="813"/>
        <v>11</v>
      </c>
      <c r="Z682" s="1"/>
      <c r="AA682" s="133">
        <f>IF($J682=$G$2,ROUND(IF(ISNUMBER(S682),S682,IF(LEFT(S682,2)="DI",HLOOKUP(S682,DADOS!$T$29:$X$30,2,FALSE),0)),4),"")</f>
        <v>0.25</v>
      </c>
      <c r="AB682" s="2"/>
    </row>
    <row r="683" spans="1:28">
      <c r="A683" t="str">
        <f t="shared" si="809"/>
        <v>S</v>
      </c>
      <c r="B683">
        <f t="shared" si="810"/>
        <v>0</v>
      </c>
      <c r="C683">
        <f t="shared" ca="1" si="798"/>
        <v>8</v>
      </c>
      <c r="D683">
        <f t="shared" ca="1" si="799"/>
        <v>7</v>
      </c>
      <c r="E683">
        <f t="shared" ca="1" si="800"/>
        <v>0</v>
      </c>
      <c r="F683">
        <f t="shared" ca="1" si="801"/>
        <v>0</v>
      </c>
      <c r="G683">
        <f t="shared" ca="1" si="802"/>
        <v>11</v>
      </c>
      <c r="H683">
        <f ca="1">IF(OR($A683="S",$A683=0),0,MATCH(0,OFFSET($B683,1,$A683,ROW($A$1504)-ROW($A683)),0))</f>
        <v>0</v>
      </c>
      <c r="I683">
        <f ca="1">IF(OR($A683="S",$A683=0),0,MATCH(OFFSET($B683,0,$A683)+1,OFFSET($B683,1,$A683,ROW($A$1504)-ROW($A683)),0))</f>
        <v>0</v>
      </c>
      <c r="J683" s="132" t="s">
        <v>29</v>
      </c>
      <c r="K683" s="121" t="str">
        <f t="shared" ca="1" si="811"/>
        <v>8.7.11.</v>
      </c>
      <c r="L683" s="137" t="str">
        <f t="shared" ca="1" si="803"/>
        <v>Cotação</v>
      </c>
      <c r="M683" s="122" t="s">
        <v>79</v>
      </c>
      <c r="N683" s="139" t="s">
        <v>164</v>
      </c>
      <c r="O683" s="137" t="str">
        <f t="shared" ca="1" si="812"/>
        <v>Copos descartáveis (2500 unidades)</v>
      </c>
      <c r="P683" s="138" t="str">
        <f t="shared" ca="1" si="804"/>
        <v>Caixa</v>
      </c>
      <c r="Q683" s="134">
        <v>1</v>
      </c>
      <c r="R683" s="124">
        <f t="shared" ca="1" si="805"/>
        <v>77.400000000000006</v>
      </c>
      <c r="S683" s="136" t="s">
        <v>62</v>
      </c>
      <c r="T683" s="123">
        <f t="shared" ca="1" si="806"/>
        <v>96.75</v>
      </c>
      <c r="U683" s="126">
        <f t="shared" ca="1" si="807"/>
        <v>96.75</v>
      </c>
      <c r="V683" s="1"/>
      <c r="W683" s="39" t="str">
        <f ca="1">IF(OR($A683=0,$A683="S",$A683&gt;CFF!$A$9),"",MAX(W$11:OFFSET(W683,-1,0))+1)</f>
        <v/>
      </c>
      <c r="X683" s="4" t="str">
        <f t="shared" si="808"/>
        <v>Rec. Materiais-019</v>
      </c>
      <c r="Y683" s="39">
        <f t="shared" ca="1" si="813"/>
        <v>28</v>
      </c>
      <c r="Z683" s="1"/>
      <c r="AA683" s="133">
        <f>IF($J683=$G$2,ROUND(IF(ISNUMBER(S683),S683,IF(LEFT(S683,2)="DI",HLOOKUP(S683,DADOS!$T$29:$X$30,2,FALSE),0)),4),"")</f>
        <v>0.25</v>
      </c>
      <c r="AB683" s="2"/>
    </row>
    <row r="684" spans="1:28">
      <c r="A684">
        <f>CHOOSE(1+LOG(1+2*(J684=$C$2)+4*(J684=$D$2)+8*(J684=$E$2)+16*(J684=$F$2)+32*(J684=$G$2),2),0,1,2,3,4,"S")</f>
        <v>2</v>
      </c>
      <c r="B684">
        <f ca="1">IF(OR(A684="S",A684=0),0,IF(ISERROR(I684),H684,SMALL(H684:I684,1)))</f>
        <v>9</v>
      </c>
      <c r="C684">
        <f ca="1">IF($A684=1,OFFSET(C684,-1,0)+1,OFFSET(C684,-1,0))</f>
        <v>8</v>
      </c>
      <c r="D684">
        <f ca="1">IF($A684=1,0,IF($A684=2,OFFSET(D684,-1,0)+1,OFFSET(D684,-1,0)))</f>
        <v>8</v>
      </c>
      <c r="E684">
        <f ca="1">IF(AND($A684&lt;=2,$A684&lt;&gt;0),0,IF($A684=3,OFFSET(E684,-1,0)+1,OFFSET(E684,-1,0)))</f>
        <v>0</v>
      </c>
      <c r="F684">
        <f ca="1">IF(AND($A684&lt;=3,$A684&lt;&gt;0),0,IF($A684=4,OFFSET(F684,-1,0)+1,OFFSET(F684,-1,0)))</f>
        <v>0</v>
      </c>
      <c r="G684">
        <f ca="1">IF(AND($A684&lt;=4,$A684&lt;&gt;0),0,IF($A684="S",OFFSET(G684,-1,0)+1,OFFSET(G684,-1,0)))</f>
        <v>0</v>
      </c>
      <c r="H684">
        <f ca="1">IF(OR($A684="S",$A684=0),0,MATCH(0,OFFSET($B684,1,$A684,ROW($A$1504)-ROW($A684)),0))</f>
        <v>9</v>
      </c>
      <c r="I684">
        <f ca="1">IF(OR($A684="S",$A684=0),0,MATCH(OFFSET($B684,0,$A684)+1,OFFSET($B684,1,$A684,ROW($A$1504)-ROW($A684)),0))</f>
        <v>68</v>
      </c>
      <c r="J684" s="132" t="s">
        <v>68</v>
      </c>
      <c r="K684" s="121" t="str">
        <f ca="1">IF($A684=0,"-",CONCATENATE(C684&amp;".",IF(AND($A$5&gt;=2,$A684&gt;=2),D684&amp;".",""),IF(AND($A$5&gt;=3,$A684&gt;=3),E684&amp;".",""),IF(AND($A$5&gt;=4,$A684&gt;=4),F684&amp;".",""),IF($A684="S",G684&amp;".","")))</f>
        <v>8.8.</v>
      </c>
      <c r="L684" s="137" t="str">
        <f ca="1">IF(NOT(ISERROR($Y684)),IF($Y684&lt;&gt;FALSE,INDEX(Banco,$Y684,4),""),"")</f>
        <v/>
      </c>
      <c r="M684" s="122"/>
      <c r="N684" s="139"/>
      <c r="O684" s="137" t="s">
        <v>399</v>
      </c>
      <c r="P684" s="138" t="str">
        <f ca="1">IF(NOT(ISERROR($Y684)),IF($Y684&lt;&gt;FALSE,INDEX(Banco,$Y684,6),""),"")</f>
        <v/>
      </c>
      <c r="Q684" s="134"/>
      <c r="R684" s="124">
        <f ca="1">IF(NOT(ISERROR($Y684)),IF($Y684&lt;&gt;FALSE,INDEX(Banco,$Y684,7),0),0)</f>
        <v>0</v>
      </c>
      <c r="S684" s="136" t="s">
        <v>62</v>
      </c>
      <c r="T684" s="123">
        <f>IF($J684=$G$2,ROUND(ROUND($R684,2)*IF($R$9="Preço Unitário (R$)",1,1+$AA684),2),0)</f>
        <v>0</v>
      </c>
      <c r="U684" s="126">
        <f ca="1">IF($A684="S",VTOTAL1,IF($A684=0,0,ROUND(SomaAgrup,2)))</f>
        <v>9503.42</v>
      </c>
      <c r="V684" s="1"/>
      <c r="W684" s="39">
        <f ca="1">IF(OR($A684=0,$A684="S",$A684&gt;CFF!$A$9),"",MAX(W$11:OFFSET(W684,-1,0))+1)</f>
        <v>60</v>
      </c>
      <c r="X684" s="4" t="b">
        <f>IF(AND($J684=$G$2,$N684&lt;&gt;"",$M684&lt;&gt;""),CONCATENATE($M684,"-",$N684))</f>
        <v>0</v>
      </c>
      <c r="Y684" s="39" t="b">
        <f ca="1">IF(X684&lt;&gt;FALSE,MATCH(X684,OFFSET(Banco,0,0,,1),0))</f>
        <v>0</v>
      </c>
      <c r="Z684" s="1"/>
      <c r="AA684" s="133" t="str">
        <f>IF($J684=$G$2,ROUND(IF(ISNUMBER(S684),S684,IF(LEFT(S684,2)="DI",HLOOKUP(S684,DADOS!$T$29:$X$30,2,FALSE),0)),4),"")</f>
        <v/>
      </c>
      <c r="AB684" s="2"/>
    </row>
    <row r="685" spans="1:28">
      <c r="A685" t="str">
        <f t="shared" ref="A685:A689" si="814">CHOOSE(1+LOG(1+2*(J685=$C$2)+4*(J685=$D$2)+8*(J685=$E$2)+16*(J685=$F$2)+32*(J685=$G$2),2),0,1,2,3,4,"S")</f>
        <v>S</v>
      </c>
      <c r="B685">
        <f t="shared" ref="B685:B689" si="815">IF(OR(A685="S",A685=0),0,IF(ISERROR(I685),H685,SMALL(H685:I685,1)))</f>
        <v>0</v>
      </c>
      <c r="C685">
        <f t="shared" ref="C685:C692" ca="1" si="816">IF($A685=1,OFFSET(C685,-1,0)+1,OFFSET(C685,-1,0))</f>
        <v>8</v>
      </c>
      <c r="D685">
        <f t="shared" ref="D685:D692" ca="1" si="817">IF($A685=1,0,IF($A685=2,OFFSET(D685,-1,0)+1,OFFSET(D685,-1,0)))</f>
        <v>8</v>
      </c>
      <c r="E685">
        <f t="shared" ref="E685:E692" ca="1" si="818">IF(AND($A685&lt;=2,$A685&lt;&gt;0),0,IF($A685=3,OFFSET(E685,-1,0)+1,OFFSET(E685,-1,0)))</f>
        <v>0</v>
      </c>
      <c r="F685">
        <f t="shared" ref="F685:F692" ca="1" si="819">IF(AND($A685&lt;=3,$A685&lt;&gt;0),0,IF($A685=4,OFFSET(F685,-1,0)+1,OFFSET(F685,-1,0)))</f>
        <v>0</v>
      </c>
      <c r="G685">
        <f t="shared" ref="G685:G692" ca="1" si="820">IF(AND($A685&lt;=4,$A685&lt;&gt;0),0,IF($A685="S",OFFSET(G685,-1,0)+1,OFFSET(G685,-1,0)))</f>
        <v>1</v>
      </c>
      <c r="H685">
        <f ca="1">IF(OR($A685="S",$A685=0),0,MATCH(0,OFFSET($B685,1,$A685,ROW($A$1504)-ROW($A685)),0))</f>
        <v>0</v>
      </c>
      <c r="I685">
        <f ca="1">IF(OR($A685="S",$A685=0),0,MATCH(OFFSET($B685,0,$A685)+1,OFFSET($B685,1,$A685,ROW($A$1504)-ROW($A685)),0))</f>
        <v>0</v>
      </c>
      <c r="J685" s="132" t="s">
        <v>29</v>
      </c>
      <c r="K685" s="121" t="str">
        <f t="shared" ref="K685:K689" ca="1" si="821">IF($A685=0,"-",CONCATENATE(C685&amp;".",IF(AND($A$5&gt;=2,$A685&gt;=2),D685&amp;".",""),IF(AND($A$5&gt;=3,$A685&gt;=3),E685&amp;".",""),IF(AND($A$5&gt;=4,$A685&gt;=4),F685&amp;".",""),IF($A685="S",G685&amp;".","")))</f>
        <v>8.8.1.</v>
      </c>
      <c r="L685" s="137" t="str">
        <f t="shared" ref="L685:L692" ca="1" si="822">IF(NOT(ISERROR($Y685)),IF($Y685&lt;&gt;FALSE,INDEX(Banco,$Y685,4),""),"")</f>
        <v>CRESS</v>
      </c>
      <c r="M685" s="122" t="s">
        <v>78</v>
      </c>
      <c r="N685" s="139" t="s">
        <v>152</v>
      </c>
      <c r="O685" s="137" t="str">
        <f t="shared" ref="O685:O692" ca="1" si="823">IF(NOT(ISERROR($Y685)),IF($Y685&lt;&gt;FALSE,INDEX(Banco,$Y685,5),""),"")</f>
        <v>Assistente Social</v>
      </c>
      <c r="P685" s="138" t="str">
        <f t="shared" ref="P685:P692" ca="1" si="824">IF(NOT(ISERROR($Y685)),IF($Y685&lt;&gt;FALSE,INDEX(Banco,$Y685,6),""),"")</f>
        <v>Horas</v>
      </c>
      <c r="Q685" s="134">
        <v>6</v>
      </c>
      <c r="R685" s="124">
        <f t="shared" ref="R685:R692" ca="1" si="825">IF(NOT(ISERROR($Y685)),IF($Y685&lt;&gt;FALSE,INDEX(Banco,$Y685,7),0),0)</f>
        <v>133.81</v>
      </c>
      <c r="S685" s="136" t="s">
        <v>62</v>
      </c>
      <c r="T685" s="123">
        <f t="shared" ref="T685:T692" ca="1" si="826">IF($J685=$G$2,ROUND(ROUND($R685,2)*IF($R$9="Preço Unitário (R$)",1,1+$AA685),2),0)</f>
        <v>167.26</v>
      </c>
      <c r="U685" s="126">
        <f t="shared" ref="U685:U692" ca="1" si="827">IF($A685="S",VTOTAL1,IF($A685=0,0,ROUND(SomaAgrup,2)))</f>
        <v>1003.56</v>
      </c>
      <c r="V685" s="1"/>
      <c r="W685" s="39" t="str">
        <f ca="1">IF(OR($A685=0,$A685="S",$A685&gt;CFF!$A$9),"",MAX(W$11:OFFSET(W685,-1,0))+1)</f>
        <v/>
      </c>
      <c r="X685" s="4" t="str">
        <f t="shared" ref="X685:X692" si="828">IF(AND($J685=$G$2,$N685&lt;&gt;"",$M685&lt;&gt;""),CONCATENATE($M685,"-",$N685))</f>
        <v>Rec. Humanos-002</v>
      </c>
      <c r="Y685" s="39">
        <f t="shared" ref="Y685:Y689" ca="1" si="829">IF(X685&lt;&gt;FALSE,MATCH(X685,OFFSET(Banco,0,0,,1),0))</f>
        <v>4</v>
      </c>
      <c r="Z685" s="1"/>
      <c r="AA685" s="133">
        <f>IF($J685=$G$2,ROUND(IF(ISNUMBER(S685),S685,IF(LEFT(S685,2)="DI",HLOOKUP(S685,DADOS!$T$29:$X$30,2,FALSE),0)),4),"")</f>
        <v>0.25</v>
      </c>
      <c r="AB685" s="2"/>
    </row>
    <row r="686" spans="1:28">
      <c r="A686" t="str">
        <f t="shared" si="814"/>
        <v>S</v>
      </c>
      <c r="B686">
        <f t="shared" si="815"/>
        <v>0</v>
      </c>
      <c r="C686">
        <f t="shared" ca="1" si="816"/>
        <v>8</v>
      </c>
      <c r="D686">
        <f t="shared" ca="1" si="817"/>
        <v>8</v>
      </c>
      <c r="E686">
        <f t="shared" ca="1" si="818"/>
        <v>0</v>
      </c>
      <c r="F686">
        <f t="shared" ca="1" si="819"/>
        <v>0</v>
      </c>
      <c r="G686">
        <f t="shared" ca="1" si="820"/>
        <v>2</v>
      </c>
      <c r="H686">
        <f ca="1">IF(OR($A686="S",$A686=0),0,MATCH(0,OFFSET($B686,1,$A686,ROW($A$1504)-ROW($A686)),0))</f>
        <v>0</v>
      </c>
      <c r="I686">
        <f ca="1">IF(OR($A686="S",$A686=0),0,MATCH(OFFSET($B686,0,$A686)+1,OFFSET($B686,1,$A686,ROW($A$1504)-ROW($A686)),0))</f>
        <v>0</v>
      </c>
      <c r="J686" s="132" t="s">
        <v>29</v>
      </c>
      <c r="K686" s="121" t="str">
        <f t="shared" ca="1" si="821"/>
        <v>8.8.2.</v>
      </c>
      <c r="L686" s="137" t="str">
        <f t="shared" ca="1" si="822"/>
        <v>Cotação</v>
      </c>
      <c r="M686" s="122" t="s">
        <v>78</v>
      </c>
      <c r="N686" s="139" t="s">
        <v>151</v>
      </c>
      <c r="O686" s="137" t="str">
        <f t="shared" ca="1" si="823"/>
        <v xml:space="preserve">Administrador (Técnico de Apoio) </v>
      </c>
      <c r="P686" s="138" t="str">
        <f t="shared" ca="1" si="824"/>
        <v>Horas</v>
      </c>
      <c r="Q686" s="134">
        <v>6</v>
      </c>
      <c r="R686" s="124">
        <f t="shared" ca="1" si="825"/>
        <v>103.65</v>
      </c>
      <c r="S686" s="136" t="s">
        <v>62</v>
      </c>
      <c r="T686" s="123">
        <f t="shared" ca="1" si="826"/>
        <v>129.56</v>
      </c>
      <c r="U686" s="126">
        <f t="shared" ca="1" si="827"/>
        <v>777.36</v>
      </c>
      <c r="V686" s="1"/>
      <c r="W686" s="39" t="str">
        <f ca="1">IF(OR($A686=0,$A686="S",$A686&gt;CFF!$A$9),"",MAX(W$11:OFFSET(W686,-1,0))+1)</f>
        <v/>
      </c>
      <c r="X686" s="4" t="str">
        <f t="shared" si="828"/>
        <v>Rec. Humanos-003</v>
      </c>
      <c r="Y686" s="39">
        <f t="shared" ca="1" si="829"/>
        <v>5</v>
      </c>
      <c r="Z686" s="1"/>
      <c r="AA686" s="133">
        <f>IF($J686=$G$2,ROUND(IF(ISNUMBER(S686),S686,IF(LEFT(S686,2)="DI",HLOOKUP(S686,DADOS!$T$29:$X$30,2,FALSE),0)),4),"")</f>
        <v>0.25</v>
      </c>
      <c r="AB686" s="2"/>
    </row>
    <row r="687" spans="1:28">
      <c r="A687" t="str">
        <f t="shared" si="814"/>
        <v>S</v>
      </c>
      <c r="B687">
        <f t="shared" si="815"/>
        <v>0</v>
      </c>
      <c r="C687">
        <f t="shared" ca="1" si="816"/>
        <v>8</v>
      </c>
      <c r="D687">
        <f t="shared" ca="1" si="817"/>
        <v>8</v>
      </c>
      <c r="E687">
        <f t="shared" ca="1" si="818"/>
        <v>0</v>
      </c>
      <c r="F687">
        <f t="shared" ca="1" si="819"/>
        <v>0</v>
      </c>
      <c r="G687">
        <f t="shared" ca="1" si="820"/>
        <v>3</v>
      </c>
      <c r="H687">
        <f ca="1">IF(OR($A687="S",$A687=0),0,MATCH(0,OFFSET($B687,1,$A687,ROW($A$1504)-ROW($A687)),0))</f>
        <v>0</v>
      </c>
      <c r="I687">
        <f ca="1">IF(OR($A687="S",$A687=0),0,MATCH(OFFSET($B687,0,$A687)+1,OFFSET($B687,1,$A687,ROW($A$1504)-ROW($A687)),0))</f>
        <v>0</v>
      </c>
      <c r="J687" s="132" t="s">
        <v>29</v>
      </c>
      <c r="K687" s="121" t="str">
        <f t="shared" ca="1" si="821"/>
        <v>8.8.3.</v>
      </c>
      <c r="L687" s="137" t="str">
        <f t="shared" ca="1" si="822"/>
        <v>Cotação</v>
      </c>
      <c r="M687" s="122" t="s">
        <v>80</v>
      </c>
      <c r="N687" s="139" t="s">
        <v>171</v>
      </c>
      <c r="O687" s="137" t="str">
        <f t="shared" ca="1" si="823"/>
        <v xml:space="preserve">Refrigerantes (02 litros) </v>
      </c>
      <c r="P687" s="138" t="str">
        <f t="shared" ca="1" si="824"/>
        <v>Unidade</v>
      </c>
      <c r="Q687" s="134">
        <v>8</v>
      </c>
      <c r="R687" s="124">
        <f t="shared" ca="1" si="825"/>
        <v>6</v>
      </c>
      <c r="S687" s="136" t="s">
        <v>62</v>
      </c>
      <c r="T687" s="123">
        <f t="shared" ca="1" si="826"/>
        <v>7.5</v>
      </c>
      <c r="U687" s="126">
        <f t="shared" ca="1" si="827"/>
        <v>60</v>
      </c>
      <c r="V687" s="1"/>
      <c r="W687" s="39" t="str">
        <f ca="1">IF(OR($A687=0,$A687="S",$A687&gt;CFF!$A$9),"",MAX(W$11:OFFSET(W687,-1,0))+1)</f>
        <v/>
      </c>
      <c r="X687" s="4" t="str">
        <f t="shared" si="828"/>
        <v>Serv. Terc.-027</v>
      </c>
      <c r="Y687" s="39">
        <f t="shared" ca="1" si="829"/>
        <v>107</v>
      </c>
      <c r="Z687" s="1"/>
      <c r="AA687" s="133">
        <f>IF($J687=$G$2,ROUND(IF(ISNUMBER(S687),S687,IF(LEFT(S687,2)="DI",HLOOKUP(S687,DADOS!$T$29:$X$30,2,FALSE),0)),4),"")</f>
        <v>0.25</v>
      </c>
      <c r="AB687" s="2"/>
    </row>
    <row r="688" spans="1:28">
      <c r="A688" t="str">
        <f t="shared" si="814"/>
        <v>S</v>
      </c>
      <c r="B688">
        <f t="shared" si="815"/>
        <v>0</v>
      </c>
      <c r="C688">
        <f t="shared" ca="1" si="816"/>
        <v>8</v>
      </c>
      <c r="D688">
        <f t="shared" ca="1" si="817"/>
        <v>8</v>
      </c>
      <c r="E688">
        <f t="shared" ca="1" si="818"/>
        <v>0</v>
      </c>
      <c r="F688">
        <f t="shared" ca="1" si="819"/>
        <v>0</v>
      </c>
      <c r="G688">
        <f t="shared" ca="1" si="820"/>
        <v>4</v>
      </c>
      <c r="H688">
        <f ca="1">IF(OR($A688="S",$A688=0),0,MATCH(0,OFFSET($B688,1,$A688,ROW($A$1504)-ROW($A688)),0))</f>
        <v>0</v>
      </c>
      <c r="I688">
        <f ca="1">IF(OR($A688="S",$A688=0),0,MATCH(OFFSET($B688,0,$A688)+1,OFFSET($B688,1,$A688,ROW($A$1504)-ROW($A688)),0))</f>
        <v>0</v>
      </c>
      <c r="J688" s="132" t="s">
        <v>29</v>
      </c>
      <c r="K688" s="121" t="str">
        <f t="shared" ca="1" si="821"/>
        <v>8.8.4.</v>
      </c>
      <c r="L688" s="137" t="str">
        <f t="shared" ca="1" si="822"/>
        <v>Cotação</v>
      </c>
      <c r="M688" s="122" t="s">
        <v>80</v>
      </c>
      <c r="N688" s="139" t="s">
        <v>321</v>
      </c>
      <c r="O688" s="137" t="str">
        <f t="shared" ca="1" si="823"/>
        <v>Apostilas com figuras ilustrativas (08 páginas)</v>
      </c>
      <c r="P688" s="138" t="str">
        <f t="shared" ca="1" si="824"/>
        <v>Unidade</v>
      </c>
      <c r="Q688" s="134">
        <v>30</v>
      </c>
      <c r="R688" s="124">
        <f t="shared" ca="1" si="825"/>
        <v>15</v>
      </c>
      <c r="S688" s="136" t="s">
        <v>62</v>
      </c>
      <c r="T688" s="123">
        <f t="shared" ca="1" si="826"/>
        <v>18.75</v>
      </c>
      <c r="U688" s="126">
        <f t="shared" ca="1" si="827"/>
        <v>562.5</v>
      </c>
      <c r="V688" s="1"/>
      <c r="W688" s="39" t="str">
        <f ca="1">IF(OR($A688=0,$A688="S",$A688&gt;CFF!$A$9),"",MAX(W$11:OFFSET(W688,-1,0))+1)</f>
        <v/>
      </c>
      <c r="X688" s="4" t="str">
        <f t="shared" si="828"/>
        <v>Serv. Terc.-031</v>
      </c>
      <c r="Y688" s="39">
        <f t="shared" ca="1" si="829"/>
        <v>111</v>
      </c>
      <c r="Z688" s="1"/>
      <c r="AA688" s="133">
        <f>IF($J688=$G$2,ROUND(IF(ISNUMBER(S688),S688,IF(LEFT(S688,2)="DI",HLOOKUP(S688,DADOS!$T$29:$X$30,2,FALSE),0)),4),"")</f>
        <v>0.25</v>
      </c>
      <c r="AB688" s="2"/>
    </row>
    <row r="689" spans="1:28">
      <c r="A689" t="str">
        <f t="shared" si="814"/>
        <v>S</v>
      </c>
      <c r="B689">
        <f t="shared" si="815"/>
        <v>0</v>
      </c>
      <c r="C689">
        <f t="shared" ca="1" si="816"/>
        <v>8</v>
      </c>
      <c r="D689">
        <f t="shared" ca="1" si="817"/>
        <v>8</v>
      </c>
      <c r="E689">
        <f t="shared" ca="1" si="818"/>
        <v>0</v>
      </c>
      <c r="F689">
        <f t="shared" ca="1" si="819"/>
        <v>0</v>
      </c>
      <c r="G689">
        <f t="shared" ca="1" si="820"/>
        <v>5</v>
      </c>
      <c r="H689">
        <f ca="1">IF(OR($A689="S",$A689=0),0,MATCH(0,OFFSET($B689,1,$A689,ROW($A$1504)-ROW($A689)),0))</f>
        <v>0</v>
      </c>
      <c r="I689">
        <f ca="1">IF(OR($A689="S",$A689=0),0,MATCH(OFFSET($B689,0,$A689)+1,OFFSET($B689,1,$A689,ROW($A$1504)-ROW($A689)),0))</f>
        <v>0</v>
      </c>
      <c r="J689" s="132" t="s">
        <v>29</v>
      </c>
      <c r="K689" s="121" t="str">
        <f t="shared" ca="1" si="821"/>
        <v>8.8.5.</v>
      </c>
      <c r="L689" s="137" t="str">
        <f t="shared" ca="1" si="822"/>
        <v>Cotação</v>
      </c>
      <c r="M689" s="122" t="s">
        <v>80</v>
      </c>
      <c r="N689" s="139" t="s">
        <v>322</v>
      </c>
      <c r="O689" s="137" t="str">
        <f t="shared" ca="1" si="823"/>
        <v>Certificados para cursos</v>
      </c>
      <c r="P689" s="138" t="str">
        <f t="shared" ca="1" si="824"/>
        <v>Unidade</v>
      </c>
      <c r="Q689" s="134">
        <v>30</v>
      </c>
      <c r="R689" s="124">
        <f t="shared" ca="1" si="825"/>
        <v>4</v>
      </c>
      <c r="S689" s="136" t="s">
        <v>62</v>
      </c>
      <c r="T689" s="123">
        <f t="shared" ca="1" si="826"/>
        <v>5</v>
      </c>
      <c r="U689" s="126">
        <f t="shared" ca="1" si="827"/>
        <v>150</v>
      </c>
      <c r="V689" s="1"/>
      <c r="W689" s="39" t="str">
        <f ca="1">IF(OR($A689=0,$A689="S",$A689&gt;CFF!$A$9),"",MAX(W$11:OFFSET(W689,-1,0))+1)</f>
        <v/>
      </c>
      <c r="X689" s="4" t="str">
        <f t="shared" si="828"/>
        <v>Serv. Terc.-032</v>
      </c>
      <c r="Y689" s="39">
        <f t="shared" ca="1" si="829"/>
        <v>112</v>
      </c>
      <c r="Z689" s="1"/>
      <c r="AA689" s="133">
        <f>IF($J689=$G$2,ROUND(IF(ISNUMBER(S689),S689,IF(LEFT(S689,2)="DI",HLOOKUP(S689,DADOS!$T$29:$X$30,2,FALSE),0)),4),"")</f>
        <v>0.25</v>
      </c>
      <c r="AB689" s="2"/>
    </row>
    <row r="690" spans="1:28">
      <c r="A690" t="str">
        <f t="shared" ref="A690:A696" si="830">CHOOSE(1+LOG(1+2*(J690=$C$2)+4*(J690=$D$2)+8*(J690=$E$2)+16*(J690=$F$2)+32*(J690=$G$2),2),0,1,2,3,4,"S")</f>
        <v>S</v>
      </c>
      <c r="B690">
        <f t="shared" ref="B690:B696" si="831">IF(OR(A690="S",A690=0),0,IF(ISERROR(I690),H690,SMALL(H690:I690,1)))</f>
        <v>0</v>
      </c>
      <c r="C690">
        <f t="shared" ca="1" si="816"/>
        <v>8</v>
      </c>
      <c r="D690">
        <f t="shared" ca="1" si="817"/>
        <v>8</v>
      </c>
      <c r="E690">
        <f t="shared" ca="1" si="818"/>
        <v>0</v>
      </c>
      <c r="F690">
        <f t="shared" ca="1" si="819"/>
        <v>0</v>
      </c>
      <c r="G690">
        <f t="shared" ca="1" si="820"/>
        <v>6</v>
      </c>
      <c r="H690">
        <f ca="1">IF(OR($A690="S",$A690=0),0,MATCH(0,OFFSET($B690,1,$A690,ROW($A$1504)-ROW($A690)),0))</f>
        <v>0</v>
      </c>
      <c r="I690">
        <f ca="1">IF(OR($A690="S",$A690=0),0,MATCH(OFFSET($B690,0,$A690)+1,OFFSET($B690,1,$A690,ROW($A$1504)-ROW($A690)),0))</f>
        <v>0</v>
      </c>
      <c r="J690" s="132" t="s">
        <v>29</v>
      </c>
      <c r="K690" s="121" t="str">
        <f t="shared" ref="K690:K696" ca="1" si="832">IF($A690=0,"-",CONCATENATE(C690&amp;".",IF(AND($A$5&gt;=2,$A690&gt;=2),D690&amp;".",""),IF(AND($A$5&gt;=3,$A690&gt;=3),E690&amp;".",""),IF(AND($A$5&gt;=4,$A690&gt;=4),F690&amp;".",""),IF($A690="S",G690&amp;".","")))</f>
        <v>8.8.6.</v>
      </c>
      <c r="L690" s="137" t="str">
        <f t="shared" ca="1" si="822"/>
        <v>Cotação</v>
      </c>
      <c r="M690" s="122" t="s">
        <v>80</v>
      </c>
      <c r="N690" s="139" t="s">
        <v>248</v>
      </c>
      <c r="O690" s="137" t="str">
        <f t="shared" ca="1" si="823"/>
        <v>Cupcake (Instrutor)</v>
      </c>
      <c r="P690" s="138" t="str">
        <f t="shared" ca="1" si="824"/>
        <v>Horas</v>
      </c>
      <c r="Q690" s="134">
        <v>32</v>
      </c>
      <c r="R690" s="124">
        <f t="shared" ca="1" si="825"/>
        <v>80</v>
      </c>
      <c r="S690" s="136" t="s">
        <v>62</v>
      </c>
      <c r="T690" s="123">
        <f t="shared" ca="1" si="826"/>
        <v>100</v>
      </c>
      <c r="U690" s="126">
        <f t="shared" ca="1" si="827"/>
        <v>3200</v>
      </c>
      <c r="V690" s="1"/>
      <c r="W690" s="39" t="str">
        <f ca="1">IF(OR($A690=0,$A690="S",$A690&gt;CFF!$A$9),"",MAX(W$11:OFFSET(W690,-1,0))+1)</f>
        <v/>
      </c>
      <c r="X690" s="4" t="str">
        <f t="shared" si="828"/>
        <v>Serv. Terc.-081</v>
      </c>
      <c r="Y690" s="39">
        <f t="shared" ref="Y690:Y696" ca="1" si="833">IF(X690&lt;&gt;FALSE,MATCH(X690,OFFSET(Banco,0,0,,1),0))</f>
        <v>161</v>
      </c>
      <c r="Z690" s="1"/>
      <c r="AA690" s="133">
        <f>IF($J690=$G$2,ROUND(IF(ISNUMBER(S690),S690,IF(LEFT(S690,2)="DI",HLOOKUP(S690,DADOS!$T$29:$X$30,2,FALSE),0)),4),"")</f>
        <v>0.25</v>
      </c>
      <c r="AB690" s="2"/>
    </row>
    <row r="691" spans="1:28">
      <c r="A691" t="str">
        <f t="shared" si="830"/>
        <v>S</v>
      </c>
      <c r="B691">
        <f t="shared" si="831"/>
        <v>0</v>
      </c>
      <c r="C691">
        <f t="shared" ca="1" si="816"/>
        <v>8</v>
      </c>
      <c r="D691">
        <f t="shared" ca="1" si="817"/>
        <v>8</v>
      </c>
      <c r="E691">
        <f t="shared" ca="1" si="818"/>
        <v>0</v>
      </c>
      <c r="F691">
        <f t="shared" ca="1" si="819"/>
        <v>0</v>
      </c>
      <c r="G691">
        <f t="shared" ca="1" si="820"/>
        <v>7</v>
      </c>
      <c r="H691">
        <f ca="1">IF(OR($A691="S",$A691=0),0,MATCH(0,OFFSET($B691,1,$A691,ROW($A$1504)-ROW($A691)),0))</f>
        <v>0</v>
      </c>
      <c r="I691">
        <f ca="1">IF(OR($A691="S",$A691=0),0,MATCH(OFFSET($B691,0,$A691)+1,OFFSET($B691,1,$A691,ROW($A$1504)-ROW($A691)),0))</f>
        <v>0</v>
      </c>
      <c r="J691" s="132" t="s">
        <v>29</v>
      </c>
      <c r="K691" s="121" t="str">
        <f t="shared" ca="1" si="832"/>
        <v>8.8.7.</v>
      </c>
      <c r="L691" s="137" t="str">
        <f t="shared" ca="1" si="822"/>
        <v>Cotação</v>
      </c>
      <c r="M691" s="122" t="s">
        <v>80</v>
      </c>
      <c r="N691" s="139" t="s">
        <v>230</v>
      </c>
      <c r="O691" s="137" t="str">
        <f t="shared" ca="1" si="823"/>
        <v>KIT 01 - Material para os alunos Cupcake e bolo de pote</v>
      </c>
      <c r="P691" s="138" t="str">
        <f t="shared" ca="1" si="824"/>
        <v>KITS</v>
      </c>
      <c r="Q691" s="134">
        <v>30</v>
      </c>
      <c r="R691" s="124">
        <f t="shared" ca="1" si="825"/>
        <v>90</v>
      </c>
      <c r="S691" s="136" t="s">
        <v>62</v>
      </c>
      <c r="T691" s="123">
        <f t="shared" ca="1" si="826"/>
        <v>112.5</v>
      </c>
      <c r="U691" s="126">
        <f t="shared" ca="1" si="827"/>
        <v>3375</v>
      </c>
      <c r="V691" s="1"/>
      <c r="W691" s="39" t="str">
        <f ca="1">IF(OR($A691=0,$A691="S",$A691&gt;CFF!$A$9),"",MAX(W$11:OFFSET(W691,-1,0))+1)</f>
        <v/>
      </c>
      <c r="X691" s="4" t="str">
        <f t="shared" si="828"/>
        <v>Serv. Terc.-076</v>
      </c>
      <c r="Y691" s="39">
        <f t="shared" ca="1" si="833"/>
        <v>156</v>
      </c>
      <c r="Z691" s="1"/>
      <c r="AA691" s="133">
        <f>IF($J691=$G$2,ROUND(IF(ISNUMBER(S691),S691,IF(LEFT(S691,2)="DI",HLOOKUP(S691,DADOS!$T$29:$X$30,2,FALSE),0)),4),"")</f>
        <v>0.25</v>
      </c>
      <c r="AB691" s="2"/>
    </row>
    <row r="692" spans="1:28">
      <c r="A692" t="str">
        <f t="shared" si="830"/>
        <v>S</v>
      </c>
      <c r="B692">
        <f t="shared" si="831"/>
        <v>0</v>
      </c>
      <c r="C692">
        <f t="shared" ca="1" si="816"/>
        <v>8</v>
      </c>
      <c r="D692">
        <f t="shared" ca="1" si="817"/>
        <v>8</v>
      </c>
      <c r="E692">
        <f t="shared" ca="1" si="818"/>
        <v>0</v>
      </c>
      <c r="F692">
        <f t="shared" ca="1" si="819"/>
        <v>0</v>
      </c>
      <c r="G692">
        <f t="shared" ca="1" si="820"/>
        <v>8</v>
      </c>
      <c r="H692">
        <f ca="1">IF(OR($A692="S",$A692=0),0,MATCH(0,OFFSET($B692,1,$A692,ROW($A$1504)-ROW($A692)),0))</f>
        <v>0</v>
      </c>
      <c r="I692">
        <f ca="1">IF(OR($A692="S",$A692=0),0,MATCH(OFFSET($B692,0,$A692)+1,OFFSET($B692,1,$A692,ROW($A$1504)-ROW($A692)),0))</f>
        <v>0</v>
      </c>
      <c r="J692" s="132" t="s">
        <v>29</v>
      </c>
      <c r="K692" s="121" t="str">
        <f t="shared" ca="1" si="832"/>
        <v>8.8.8.</v>
      </c>
      <c r="L692" s="137" t="str">
        <f t="shared" ca="1" si="822"/>
        <v>Cotação</v>
      </c>
      <c r="M692" s="122" t="s">
        <v>80</v>
      </c>
      <c r="N692" s="139" t="s">
        <v>231</v>
      </c>
      <c r="O692" s="137" t="str">
        <f t="shared" ca="1" si="823"/>
        <v>KIT 02 - Material de uso coletivo Cupcake e bolo de pote</v>
      </c>
      <c r="P692" s="138" t="str">
        <f t="shared" ca="1" si="824"/>
        <v>KITS</v>
      </c>
      <c r="Q692" s="134">
        <v>1</v>
      </c>
      <c r="R692" s="124">
        <f t="shared" ca="1" si="825"/>
        <v>300</v>
      </c>
      <c r="S692" s="136" t="s">
        <v>62</v>
      </c>
      <c r="T692" s="123">
        <f t="shared" ca="1" si="826"/>
        <v>375</v>
      </c>
      <c r="U692" s="126">
        <f t="shared" ca="1" si="827"/>
        <v>375</v>
      </c>
      <c r="V692" s="1"/>
      <c r="W692" s="39" t="str">
        <f ca="1">IF(OR($A692=0,$A692="S",$A692&gt;CFF!$A$9),"",MAX(W$11:OFFSET(W692,-1,0))+1)</f>
        <v/>
      </c>
      <c r="X692" s="4" t="str">
        <f t="shared" si="828"/>
        <v>Serv. Terc.-077</v>
      </c>
      <c r="Y692" s="39">
        <f t="shared" ca="1" si="833"/>
        <v>157</v>
      </c>
      <c r="Z692" s="1"/>
      <c r="AA692" s="133">
        <f>IF($J692=$G$2,ROUND(IF(ISNUMBER(S692),S692,IF(LEFT(S692,2)="DI",HLOOKUP(S692,DADOS!$T$29:$X$30,2,FALSE),0)),4),"")</f>
        <v>0.25</v>
      </c>
      <c r="AB692" s="2"/>
    </row>
    <row r="693" spans="1:28">
      <c r="A693">
        <f>CHOOSE(1+LOG(1+2*(J693=$C$2)+4*(J693=$D$2)+8*(J693=$E$2)+16*(J693=$F$2)+32*(J693=$G$2),2),0,1,2,3,4,"S")</f>
        <v>1</v>
      </c>
      <c r="B693">
        <f ca="1">IF(OR(A693="S",A693=0),0,IF(ISERROR(I693),H693,SMALL(H693:I693,1)))</f>
        <v>106</v>
      </c>
      <c r="C693">
        <f t="shared" ref="C693:C699" ca="1" si="834">IF($A693=1,OFFSET(C693,-1,0)+1,OFFSET(C693,-1,0))</f>
        <v>9</v>
      </c>
      <c r="D693">
        <f t="shared" ref="D693:D699" ca="1" si="835">IF($A693=1,0,IF($A693=2,OFFSET(D693,-1,0)+1,OFFSET(D693,-1,0)))</f>
        <v>0</v>
      </c>
      <c r="E693">
        <f t="shared" ref="E693:E699" ca="1" si="836">IF(AND($A693&lt;=2,$A693&lt;&gt;0),0,IF($A693=3,OFFSET(E693,-1,0)+1,OFFSET(E693,-1,0)))</f>
        <v>0</v>
      </c>
      <c r="F693">
        <f t="shared" ref="F693:F699" ca="1" si="837">IF(AND($A693&lt;=3,$A693&lt;&gt;0),0,IF($A693=4,OFFSET(F693,-1,0)+1,OFFSET(F693,-1,0)))</f>
        <v>0</v>
      </c>
      <c r="G693">
        <f t="shared" ref="G693:G699" ca="1" si="838">IF(AND($A693&lt;=4,$A693&lt;&gt;0),0,IF($A693="S",OFFSET(G693,-1,0)+1,OFFSET(G693,-1,0)))</f>
        <v>0</v>
      </c>
      <c r="H693">
        <f ca="1">IF(OR($A693="S",$A693=0),0,MATCH(0,OFFSET($B693,1,$A693,ROW($A$1504)-ROW($A693)),0))</f>
        <v>811</v>
      </c>
      <c r="I693">
        <f ca="1">IF(OR($A693="S",$A693=0),0,MATCH(OFFSET($B693,0,$A693)+1,OFFSET($B693,1,$A693,ROW($A$1504)-ROW($A693)),0))</f>
        <v>106</v>
      </c>
      <c r="J693" s="132" t="s">
        <v>67</v>
      </c>
      <c r="K693" s="121" t="str">
        <f ca="1">IF($A693=0,"-",CONCATENATE(C693&amp;".",IF(AND($A$5&gt;=2,$A693&gt;=2),D693&amp;".",""),IF(AND($A$5&gt;=3,$A693&gt;=3),E693&amp;".",""),IF(AND($A$5&gt;=4,$A693&gt;=4),F693&amp;".",""),IF($A693="S",G693&amp;".","")))</f>
        <v>9.</v>
      </c>
      <c r="L693" s="137" t="str">
        <f t="shared" ref="L693:L699" ca="1" si="839">IF(NOT(ISERROR($Y693)),IF($Y693&lt;&gt;FALSE,INDEX(Banco,$Y693,4),""),"")</f>
        <v/>
      </c>
      <c r="M693" s="122"/>
      <c r="N693" s="139"/>
      <c r="O693" s="137" t="s">
        <v>337</v>
      </c>
      <c r="P693" s="138" t="str">
        <f t="shared" ref="P693:P699" ca="1" si="840">IF(NOT(ISERROR($Y693)),IF($Y693&lt;&gt;FALSE,INDEX(Banco,$Y693,6),""),"")</f>
        <v/>
      </c>
      <c r="Q693" s="134"/>
      <c r="R693" s="124">
        <f t="shared" ref="R693:R699" ca="1" si="841">IF(NOT(ISERROR($Y693)),IF($Y693&lt;&gt;FALSE,INDEX(Banco,$Y693,7),0),0)</f>
        <v>0</v>
      </c>
      <c r="S693" s="136" t="s">
        <v>62</v>
      </c>
      <c r="T693" s="123">
        <f t="shared" ref="T693:T699" si="842">IF($J693=$G$2,ROUND(ROUND($R693,2)*IF($R$9="Preço Unitário (R$)",1,1+$AA693),2),0)</f>
        <v>0</v>
      </c>
      <c r="U693" s="126">
        <f t="shared" ref="U693:U699" ca="1" si="843">IF($A693="S",VTOTAL1,IF($A693=0,0,ROUND(SomaAgrup,2)))</f>
        <v>81651.23</v>
      </c>
      <c r="V693" s="1"/>
      <c r="W693" s="39">
        <f ca="1">IF(OR($A693=0,$A693="S",$A693&gt;CFF!$A$9),"",MAX(W$11:OFFSET(W693,-1,0))+1)</f>
        <v>61</v>
      </c>
      <c r="X693" s="4" t="b">
        <f t="shared" ref="X693:X699" si="844">IF(AND($J693=$G$2,$N693&lt;&gt;"",$M693&lt;&gt;""),CONCATENATE($M693,"-",$N693))</f>
        <v>0</v>
      </c>
      <c r="Y693" s="39" t="b">
        <f ca="1">IF(X693&lt;&gt;FALSE,MATCH(X693,OFFSET(Banco,0,0,,1),0))</f>
        <v>0</v>
      </c>
      <c r="Z693" s="1"/>
      <c r="AA693" s="133" t="str">
        <f>IF($J693=$G$2,ROUND(IF(ISNUMBER(S693),S693,IF(LEFT(S693,2)="DI",HLOOKUP(S693,DADOS!$T$29:$X$30,2,FALSE),0)),4),"")</f>
        <v/>
      </c>
      <c r="AB693" s="2"/>
    </row>
    <row r="694" spans="1:28">
      <c r="A694">
        <f>CHOOSE(1+LOG(1+2*(J694=$C$2)+4*(J694=$D$2)+8*(J694=$E$2)+16*(J694=$F$2)+32*(J694=$G$2),2),0,1,2,3,4,"S")</f>
        <v>2</v>
      </c>
      <c r="B694">
        <f ca="1">IF(OR(A694="S",A694=0),0,IF(ISERROR(I694),H694,SMALL(H694:I694,1)))</f>
        <v>6</v>
      </c>
      <c r="C694">
        <f ca="1">IF($A694=1,OFFSET(C694,-1,0)+1,OFFSET(C694,-1,0))</f>
        <v>9</v>
      </c>
      <c r="D694">
        <f ca="1">IF($A694=1,0,IF($A694=2,OFFSET(D694,-1,0)+1,OFFSET(D694,-1,0)))</f>
        <v>1</v>
      </c>
      <c r="E694">
        <f ca="1">IF(AND($A694&lt;=2,$A694&lt;&gt;0),0,IF($A694=3,OFFSET(E694,-1,0)+1,OFFSET(E694,-1,0)))</f>
        <v>0</v>
      </c>
      <c r="F694">
        <f ca="1">IF(AND($A694&lt;=3,$A694&lt;&gt;0),0,IF($A694=4,OFFSET(F694,-1,0)+1,OFFSET(F694,-1,0)))</f>
        <v>0</v>
      </c>
      <c r="G694">
        <f ca="1">IF(AND($A694&lt;=4,$A694&lt;&gt;0),0,IF($A694="S",OFFSET(G694,-1,0)+1,OFFSET(G694,-1,0)))</f>
        <v>0</v>
      </c>
      <c r="H694">
        <f ca="1">IF(OR($A694="S",$A694=0),0,MATCH(0,OFFSET($B694,1,$A694,ROW($A$1504)-ROW($A694)),0))</f>
        <v>105</v>
      </c>
      <c r="I694">
        <f ca="1">IF(OR($A694="S",$A694=0),0,MATCH(OFFSET($B694,0,$A694)+1,OFFSET($B694,1,$A694,ROW($A$1504)-ROW($A694)),0))</f>
        <v>6</v>
      </c>
      <c r="J694" s="132" t="s">
        <v>68</v>
      </c>
      <c r="K694" s="121" t="str">
        <f ca="1">IF($A694=0,"-",CONCATENATE(C694&amp;".",IF(AND($A$5&gt;=2,$A694&gt;=2),D694&amp;".",""),IF(AND($A$5&gt;=3,$A694&gt;=3),E694&amp;".",""),IF(AND($A$5&gt;=4,$A694&gt;=4),F694&amp;".",""),IF($A694="S",G694&amp;".","")))</f>
        <v>9.1.</v>
      </c>
      <c r="L694" s="137" t="str">
        <f ca="1">IF(NOT(ISERROR($Y694)),IF($Y694&lt;&gt;FALSE,INDEX(Banco,$Y694,4),""),"")</f>
        <v/>
      </c>
      <c r="M694" s="122"/>
      <c r="N694" s="139"/>
      <c r="O694" s="137" t="s">
        <v>400</v>
      </c>
      <c r="P694" s="138" t="str">
        <f ca="1">IF(NOT(ISERROR($Y694)),IF($Y694&lt;&gt;FALSE,INDEX(Banco,$Y694,6),""),"")</f>
        <v/>
      </c>
      <c r="Q694" s="134"/>
      <c r="R694" s="124">
        <f ca="1">IF(NOT(ISERROR($Y694)),IF($Y694&lt;&gt;FALSE,INDEX(Banco,$Y694,7),0),0)</f>
        <v>0</v>
      </c>
      <c r="S694" s="136" t="s">
        <v>62</v>
      </c>
      <c r="T694" s="123">
        <f>IF($J694=$G$2,ROUND(ROUND($R694,2)*IF($R$9="Preço Unitário (R$)",1,1+$AA694),2),0)</f>
        <v>0</v>
      </c>
      <c r="U694" s="126">
        <f ca="1">IF($A694="S",VTOTAL1,IF($A694=0,0,ROUND(SomaAgrup,2)))</f>
        <v>17759.560000000001</v>
      </c>
      <c r="V694" s="1"/>
      <c r="W694" s="39">
        <f ca="1">IF(OR($A694=0,$A694="S",$A694&gt;CFF!$A$9),"",MAX(W$11:OFFSET(W694,-1,0))+1)</f>
        <v>62</v>
      </c>
      <c r="X694" s="4" t="b">
        <f>IF(AND($J694=$G$2,$N694&lt;&gt;"",$M694&lt;&gt;""),CONCATENATE($M694,"-",$N694))</f>
        <v>0</v>
      </c>
      <c r="Y694" s="39" t="b">
        <f ca="1">IF(X694&lt;&gt;FALSE,MATCH(X694,OFFSET(Banco,0,0,,1),0))</f>
        <v>0</v>
      </c>
      <c r="Z694" s="1"/>
      <c r="AA694" s="133" t="str">
        <f>IF($J694=$G$2,ROUND(IF(ISNUMBER(S694),S694,IF(LEFT(S694,2)="DI",HLOOKUP(S694,DADOS!$T$29:$X$30,2,FALSE),0)),4),"")</f>
        <v/>
      </c>
      <c r="AB694" s="2"/>
    </row>
    <row r="695" spans="1:28">
      <c r="A695" t="str">
        <f t="shared" si="830"/>
        <v>S</v>
      </c>
      <c r="B695">
        <f t="shared" si="831"/>
        <v>0</v>
      </c>
      <c r="C695">
        <f t="shared" ca="1" si="834"/>
        <v>9</v>
      </c>
      <c r="D695">
        <f t="shared" ca="1" si="835"/>
        <v>1</v>
      </c>
      <c r="E695">
        <f t="shared" ca="1" si="836"/>
        <v>0</v>
      </c>
      <c r="F695">
        <f t="shared" ca="1" si="837"/>
        <v>0</v>
      </c>
      <c r="G695">
        <f t="shared" ca="1" si="838"/>
        <v>1</v>
      </c>
      <c r="H695">
        <f ca="1">IF(OR($A695="S",$A695=0),0,MATCH(0,OFFSET($B695,1,$A695,ROW($A$1504)-ROW($A695)),0))</f>
        <v>0</v>
      </c>
      <c r="I695">
        <f ca="1">IF(OR($A695="S",$A695=0),0,MATCH(OFFSET($B695,0,$A695)+1,OFFSET($B695,1,$A695,ROW($A$1504)-ROW($A695)),0))</f>
        <v>0</v>
      </c>
      <c r="J695" s="132" t="s">
        <v>29</v>
      </c>
      <c r="K695" s="121" t="str">
        <f t="shared" ca="1" si="832"/>
        <v>9.1.1.</v>
      </c>
      <c r="L695" s="137" t="str">
        <f t="shared" ca="1" si="839"/>
        <v>CRESS</v>
      </c>
      <c r="M695" s="122" t="s">
        <v>78</v>
      </c>
      <c r="N695" s="139" t="s">
        <v>152</v>
      </c>
      <c r="O695" s="137" t="str">
        <f ca="1">IF(NOT(ISERROR($Y695)),IF($Y695&lt;&gt;FALSE,INDEX(Banco,$Y695,5),""),"")</f>
        <v>Assistente Social</v>
      </c>
      <c r="P695" s="138" t="str">
        <f t="shared" ca="1" si="840"/>
        <v>Horas</v>
      </c>
      <c r="Q695" s="134">
        <v>8</v>
      </c>
      <c r="R695" s="124">
        <f t="shared" ca="1" si="841"/>
        <v>133.81</v>
      </c>
      <c r="S695" s="136" t="s">
        <v>62</v>
      </c>
      <c r="T695" s="123">
        <f t="shared" ca="1" si="842"/>
        <v>167.26</v>
      </c>
      <c r="U695" s="126">
        <f t="shared" ca="1" si="843"/>
        <v>1338.08</v>
      </c>
      <c r="V695" s="1"/>
      <c r="W695" s="39" t="str">
        <f ca="1">IF(OR($A695=0,$A695="S",$A695&gt;CFF!$A$9),"",MAX(W$11:OFFSET(W695,-1,0))+1)</f>
        <v/>
      </c>
      <c r="X695" s="4" t="str">
        <f t="shared" si="844"/>
        <v>Rec. Humanos-002</v>
      </c>
      <c r="Y695" s="39">
        <f t="shared" ca="1" si="833"/>
        <v>4</v>
      </c>
      <c r="Z695" s="1"/>
      <c r="AA695" s="133">
        <f>IF($J695=$G$2,ROUND(IF(ISNUMBER(S695),S695,IF(LEFT(S695,2)="DI",HLOOKUP(S695,DADOS!$T$29:$X$30,2,FALSE),0)),4),"")</f>
        <v>0.25</v>
      </c>
      <c r="AB695" s="2"/>
    </row>
    <row r="696" spans="1:28">
      <c r="A696" t="str">
        <f t="shared" si="830"/>
        <v>S</v>
      </c>
      <c r="B696">
        <f t="shared" si="831"/>
        <v>0</v>
      </c>
      <c r="C696">
        <f t="shared" ca="1" si="834"/>
        <v>9</v>
      </c>
      <c r="D696">
        <f t="shared" ca="1" si="835"/>
        <v>1</v>
      </c>
      <c r="E696">
        <f t="shared" ca="1" si="836"/>
        <v>0</v>
      </c>
      <c r="F696">
        <f t="shared" ca="1" si="837"/>
        <v>0</v>
      </c>
      <c r="G696">
        <f t="shared" ca="1" si="838"/>
        <v>2</v>
      </c>
      <c r="H696">
        <f ca="1">IF(OR($A696="S",$A696=0),0,MATCH(0,OFFSET($B696,1,$A696,ROW($A$1504)-ROW($A696)),0))</f>
        <v>0</v>
      </c>
      <c r="I696">
        <f ca="1">IF(OR($A696="S",$A696=0),0,MATCH(OFFSET($B696,0,$A696)+1,OFFSET($B696,1,$A696,ROW($A$1504)-ROW($A696)),0))</f>
        <v>0</v>
      </c>
      <c r="J696" s="132" t="s">
        <v>29</v>
      </c>
      <c r="K696" s="121" t="str">
        <f t="shared" ca="1" si="832"/>
        <v>9.1.2.</v>
      </c>
      <c r="L696" s="137" t="str">
        <f t="shared" ca="1" si="839"/>
        <v>Cotação</v>
      </c>
      <c r="M696" s="122" t="s">
        <v>78</v>
      </c>
      <c r="N696" s="139" t="s">
        <v>151</v>
      </c>
      <c r="O696" s="137" t="str">
        <f ca="1">IF(NOT(ISERROR($Y696)),IF($Y696&lt;&gt;FALSE,INDEX(Banco,$Y696,5),""),"")</f>
        <v xml:space="preserve">Administrador (Técnico de Apoio) </v>
      </c>
      <c r="P696" s="138" t="str">
        <f t="shared" ca="1" si="840"/>
        <v>Horas</v>
      </c>
      <c r="Q696" s="134">
        <v>8</v>
      </c>
      <c r="R696" s="124">
        <f t="shared" ca="1" si="841"/>
        <v>103.65</v>
      </c>
      <c r="S696" s="136" t="s">
        <v>62</v>
      </c>
      <c r="T696" s="123">
        <f t="shared" ca="1" si="842"/>
        <v>129.56</v>
      </c>
      <c r="U696" s="126">
        <f t="shared" ca="1" si="843"/>
        <v>1036.48</v>
      </c>
      <c r="V696" s="1"/>
      <c r="W696" s="39" t="str">
        <f ca="1">IF(OR($A696=0,$A696="S",$A696&gt;CFF!$A$9),"",MAX(W$11:OFFSET(W696,-1,0))+1)</f>
        <v/>
      </c>
      <c r="X696" s="4" t="str">
        <f t="shared" si="844"/>
        <v>Rec. Humanos-003</v>
      </c>
      <c r="Y696" s="39">
        <f t="shared" ca="1" si="833"/>
        <v>5</v>
      </c>
      <c r="Z696" s="1"/>
      <c r="AA696" s="133">
        <f>IF($J696=$G$2,ROUND(IF(ISNUMBER(S696),S696,IF(LEFT(S696,2)="DI",HLOOKUP(S696,DADOS!$T$29:$X$30,2,FALSE),0)),4),"")</f>
        <v>0.25</v>
      </c>
      <c r="AB696" s="2"/>
    </row>
    <row r="697" spans="1:28">
      <c r="A697" t="str">
        <f>CHOOSE(1+LOG(1+2*(J697=$C$2)+4*(J697=$D$2)+8*(J697=$E$2)+16*(J697=$F$2)+32*(J697=$G$2),2),0,1,2,3,4,"S")</f>
        <v>S</v>
      </c>
      <c r="B697">
        <f>IF(OR(A697="S",A697=0),0,IF(ISERROR(I697),H697,SMALL(H697:I697,1)))</f>
        <v>0</v>
      </c>
      <c r="C697">
        <f t="shared" ca="1" si="834"/>
        <v>9</v>
      </c>
      <c r="D697">
        <f t="shared" ca="1" si="835"/>
        <v>1</v>
      </c>
      <c r="E697">
        <f t="shared" ca="1" si="836"/>
        <v>0</v>
      </c>
      <c r="F697">
        <f t="shared" ca="1" si="837"/>
        <v>0</v>
      </c>
      <c r="G697">
        <f t="shared" ca="1" si="838"/>
        <v>3</v>
      </c>
      <c r="H697">
        <f ca="1">IF(OR($A697="S",$A697=0),0,MATCH(0,OFFSET($B697,1,$A697,ROW($A$1504)-ROW($A697)),0))</f>
        <v>0</v>
      </c>
      <c r="I697">
        <f ca="1">IF(OR($A697="S",$A697=0),0,MATCH(OFFSET($B697,0,$A697)+1,OFFSET($B697,1,$A697,ROW($A$1504)-ROW($A697)),0))</f>
        <v>0</v>
      </c>
      <c r="J697" s="132" t="s">
        <v>29</v>
      </c>
      <c r="K697" s="121" t="str">
        <f ca="1">IF($A697=0,"-",CONCATENATE(C697&amp;".",IF(AND($A$5&gt;=2,$A697&gt;=2),D697&amp;".",""),IF(AND($A$5&gt;=3,$A697&gt;=3),E697&amp;".",""),IF(AND($A$5&gt;=4,$A697&gt;=4),F697&amp;".",""),IF($A697="S",G697&amp;".","")))</f>
        <v>9.1.3.</v>
      </c>
      <c r="L697" s="137" t="str">
        <f t="shared" ca="1" si="839"/>
        <v xml:space="preserve">Cotação </v>
      </c>
      <c r="M697" s="122" t="s">
        <v>80</v>
      </c>
      <c r="N697" s="139" t="s">
        <v>200</v>
      </c>
      <c r="O697" s="137" t="str">
        <f ca="1">IF(NOT(ISERROR($Y697)),IF($Y697&lt;&gt;FALSE,INDEX(Banco,$Y697,5),""),"")</f>
        <v>Manicure/pedicure (Curso completo)</v>
      </c>
      <c r="P697" s="138" t="str">
        <f t="shared" ca="1" si="840"/>
        <v>Vagas</v>
      </c>
      <c r="Q697" s="134">
        <v>25</v>
      </c>
      <c r="R697" s="124">
        <f t="shared" ca="1" si="841"/>
        <v>480</v>
      </c>
      <c r="S697" s="136" t="s">
        <v>62</v>
      </c>
      <c r="T697" s="123">
        <f t="shared" ca="1" si="842"/>
        <v>600</v>
      </c>
      <c r="U697" s="126">
        <f t="shared" ca="1" si="843"/>
        <v>15000</v>
      </c>
      <c r="V697" s="1"/>
      <c r="W697" s="39" t="str">
        <f ca="1">IF(OR($A697=0,$A697="S",$A697&gt;CFF!$A$9),"",MAX(W$11:OFFSET(W697,-1,0))+1)</f>
        <v/>
      </c>
      <c r="X697" s="4" t="str">
        <f t="shared" si="844"/>
        <v>Serv. Terc.-029</v>
      </c>
      <c r="Y697" s="39">
        <f ca="1">IF(X697&lt;&gt;FALSE,MATCH(X697,OFFSET(Banco,0,0,,1),0))</f>
        <v>109</v>
      </c>
      <c r="Z697" s="1"/>
      <c r="AA697" s="133">
        <f>IF($J697=$G$2,ROUND(IF(ISNUMBER(S697),S697,IF(LEFT(S697,2)="DI",HLOOKUP(S697,DADOS!$T$29:$X$30,2,FALSE),0)),4),"")</f>
        <v>0.25</v>
      </c>
      <c r="AB697" s="2"/>
    </row>
    <row r="698" spans="1:28">
      <c r="A698" t="str">
        <f>CHOOSE(1+LOG(1+2*(J698=$C$2)+4*(J698=$D$2)+8*(J698=$E$2)+16*(J698=$F$2)+32*(J698=$G$2),2),0,1,2,3,4,"S")</f>
        <v>S</v>
      </c>
      <c r="B698">
        <f>IF(OR(A698="S",A698=0),0,IF(ISERROR(I698),H698,SMALL(H698:I698,1)))</f>
        <v>0</v>
      </c>
      <c r="C698">
        <f t="shared" ca="1" si="834"/>
        <v>9</v>
      </c>
      <c r="D698">
        <f t="shared" ca="1" si="835"/>
        <v>1</v>
      </c>
      <c r="E698">
        <f t="shared" ca="1" si="836"/>
        <v>0</v>
      </c>
      <c r="F698">
        <f t="shared" ca="1" si="837"/>
        <v>0</v>
      </c>
      <c r="G698">
        <f t="shared" ca="1" si="838"/>
        <v>4</v>
      </c>
      <c r="H698">
        <f ca="1">IF(OR($A698="S",$A698=0),0,MATCH(0,OFFSET($B698,1,$A698,ROW($A$1504)-ROW($A698)),0))</f>
        <v>0</v>
      </c>
      <c r="I698">
        <f ca="1">IF(OR($A698="S",$A698=0),0,MATCH(OFFSET($B698,0,$A698)+1,OFFSET($B698,1,$A698,ROW($A$1504)-ROW($A698)),0))</f>
        <v>0</v>
      </c>
      <c r="J698" s="132" t="s">
        <v>29</v>
      </c>
      <c r="K698" s="121" t="str">
        <f ca="1">IF($A698=0,"-",CONCATENATE(C698&amp;".",IF(AND($A$5&gt;=2,$A698&gt;=2),D698&amp;".",""),IF(AND($A$5&gt;=3,$A698&gt;=3),E698&amp;".",""),IF(AND($A$5&gt;=4,$A698&gt;=4),F698&amp;".",""),IF($A698="S",G698&amp;".","")))</f>
        <v>9.1.4.</v>
      </c>
      <c r="L698" s="137" t="str">
        <f t="shared" ca="1" si="839"/>
        <v>Cotação</v>
      </c>
      <c r="M698" s="122" t="s">
        <v>80</v>
      </c>
      <c r="N698" s="139" t="s">
        <v>201</v>
      </c>
      <c r="O698" s="137" t="str">
        <f ca="1">IF(NOT(ISERROR($Y698)),IF($Y698&lt;&gt;FALSE,INDEX(Banco,$Y698,5),""),"")</f>
        <v xml:space="preserve">Coffe break (salgados) </v>
      </c>
      <c r="P698" s="138" t="str">
        <f t="shared" ca="1" si="840"/>
        <v>Centro</v>
      </c>
      <c r="Q698" s="134">
        <v>4</v>
      </c>
      <c r="R698" s="124">
        <f t="shared" ca="1" si="841"/>
        <v>65</v>
      </c>
      <c r="S698" s="136" t="s">
        <v>62</v>
      </c>
      <c r="T698" s="123">
        <f t="shared" ca="1" si="842"/>
        <v>81.25</v>
      </c>
      <c r="U698" s="126">
        <f t="shared" ca="1" si="843"/>
        <v>325</v>
      </c>
      <c r="V698" s="1"/>
      <c r="W698" s="39" t="str">
        <f ca="1">IF(OR($A698=0,$A698="S",$A698&gt;CFF!$A$9),"",MAX(W$11:OFFSET(W698,-1,0))+1)</f>
        <v/>
      </c>
      <c r="X698" s="4" t="str">
        <f t="shared" si="844"/>
        <v>Serv. Terc.-033</v>
      </c>
      <c r="Y698" s="39">
        <f ca="1">IF(X698&lt;&gt;FALSE,MATCH(X698,OFFSET(Banco,0,0,,1),0))</f>
        <v>113</v>
      </c>
      <c r="Z698" s="1"/>
      <c r="AA698" s="133">
        <f>IF($J698=$G$2,ROUND(IF(ISNUMBER(S698),S698,IF(LEFT(S698,2)="DI",HLOOKUP(S698,DADOS!$T$29:$X$30,2,FALSE),0)),4),"")</f>
        <v>0.25</v>
      </c>
      <c r="AB698" s="2"/>
    </row>
    <row r="699" spans="1:28">
      <c r="A699" t="str">
        <f>CHOOSE(1+LOG(1+2*(J699=$C$2)+4*(J699=$D$2)+8*(J699=$E$2)+16*(J699=$F$2)+32*(J699=$G$2),2),0,1,2,3,4,"S")</f>
        <v>S</v>
      </c>
      <c r="B699">
        <f>IF(OR(A699="S",A699=0),0,IF(ISERROR(I699),H699,SMALL(H699:I699,1)))</f>
        <v>0</v>
      </c>
      <c r="C699">
        <f t="shared" ca="1" si="834"/>
        <v>9</v>
      </c>
      <c r="D699">
        <f t="shared" ca="1" si="835"/>
        <v>1</v>
      </c>
      <c r="E699">
        <f t="shared" ca="1" si="836"/>
        <v>0</v>
      </c>
      <c r="F699">
        <f t="shared" ca="1" si="837"/>
        <v>0</v>
      </c>
      <c r="G699">
        <f t="shared" ca="1" si="838"/>
        <v>5</v>
      </c>
      <c r="H699">
        <f ca="1">IF(OR($A699="S",$A699=0),0,MATCH(0,OFFSET($B699,1,$A699,ROW($A$1504)-ROW($A699)),0))</f>
        <v>0</v>
      </c>
      <c r="I699">
        <f ca="1">IF(OR($A699="S",$A699=0),0,MATCH(OFFSET($B699,0,$A699)+1,OFFSET($B699,1,$A699,ROW($A$1504)-ROW($A699)),0))</f>
        <v>0</v>
      </c>
      <c r="J699" s="132" t="s">
        <v>29</v>
      </c>
      <c r="K699" s="121" t="str">
        <f ca="1">IF($A699=0,"-",CONCATENATE(C699&amp;".",IF(AND($A$5&gt;=2,$A699&gt;=2),D699&amp;".",""),IF(AND($A$5&gt;=3,$A699&gt;=3),E699&amp;".",""),IF(AND($A$5&gt;=4,$A699&gt;=4),F699&amp;".",""),IF($A699="S",G699&amp;".","")))</f>
        <v>9.1.5.</v>
      </c>
      <c r="L699" s="137" t="str">
        <f t="shared" ca="1" si="839"/>
        <v>Cotação</v>
      </c>
      <c r="M699" s="122" t="s">
        <v>80</v>
      </c>
      <c r="N699" s="139" t="s">
        <v>171</v>
      </c>
      <c r="O699" s="137" t="str">
        <f ca="1">IF(NOT(ISERROR($Y699)),IF($Y699&lt;&gt;FALSE,INDEX(Banco,$Y699,5),""),"")</f>
        <v xml:space="preserve">Refrigerantes (02 litros) </v>
      </c>
      <c r="P699" s="138" t="str">
        <f t="shared" ca="1" si="840"/>
        <v>Unidade</v>
      </c>
      <c r="Q699" s="134">
        <v>8</v>
      </c>
      <c r="R699" s="124">
        <f t="shared" ca="1" si="841"/>
        <v>6</v>
      </c>
      <c r="S699" s="136" t="s">
        <v>62</v>
      </c>
      <c r="T699" s="123">
        <f t="shared" ca="1" si="842"/>
        <v>7.5</v>
      </c>
      <c r="U699" s="126">
        <f t="shared" ca="1" si="843"/>
        <v>60</v>
      </c>
      <c r="V699" s="1"/>
      <c r="W699" s="39" t="str">
        <f ca="1">IF(OR($A699=0,$A699="S",$A699&gt;CFF!$A$9),"",MAX(W$11:OFFSET(W699,-1,0))+1)</f>
        <v/>
      </c>
      <c r="X699" s="4" t="str">
        <f t="shared" si="844"/>
        <v>Serv. Terc.-027</v>
      </c>
      <c r="Y699" s="39">
        <f ca="1">IF(X699&lt;&gt;FALSE,MATCH(X699,OFFSET(Banco,0,0,,1),0))</f>
        <v>107</v>
      </c>
      <c r="Z699" s="1"/>
      <c r="AA699" s="133">
        <f>IF($J699=$G$2,ROUND(IF(ISNUMBER(S699),S699,IF(LEFT(S699,2)="DI",HLOOKUP(S699,DADOS!$T$29:$X$30,2,FALSE),0)),4),"")</f>
        <v>0.25</v>
      </c>
      <c r="AB699" s="2"/>
    </row>
    <row r="700" spans="1:28">
      <c r="A700">
        <f>CHOOSE(1+LOG(1+2*(J700=$C$2)+4*(J700=$D$2)+8*(J700=$E$2)+16*(J700=$F$2)+32*(J700=$G$2),2),0,1,2,3,4,"S")</f>
        <v>2</v>
      </c>
      <c r="B700">
        <f ca="1">IF(OR(A700="S",A700=0),0,IF(ISERROR(I700),H700,SMALL(H700:I700,1)))</f>
        <v>4</v>
      </c>
      <c r="C700">
        <f ca="1">IF($A700=1,OFFSET(C700,-1,0)+1,OFFSET(C700,-1,0))</f>
        <v>9</v>
      </c>
      <c r="D700">
        <f ca="1">IF($A700=1,0,IF($A700=2,OFFSET(D700,-1,0)+1,OFFSET(D700,-1,0)))</f>
        <v>2</v>
      </c>
      <c r="E700">
        <f ca="1">IF(AND($A700&lt;=2,$A700&lt;&gt;0),0,IF($A700=3,OFFSET(E700,-1,0)+1,OFFSET(E700,-1,0)))</f>
        <v>0</v>
      </c>
      <c r="F700">
        <f ca="1">IF(AND($A700&lt;=3,$A700&lt;&gt;0),0,IF($A700=4,OFFSET(F700,-1,0)+1,OFFSET(F700,-1,0)))</f>
        <v>0</v>
      </c>
      <c r="G700">
        <f ca="1">IF(AND($A700&lt;=4,$A700&lt;&gt;0),0,IF($A700="S",OFFSET(G700,-1,0)+1,OFFSET(G700,-1,0)))</f>
        <v>0</v>
      </c>
      <c r="H700">
        <f ca="1">IF(OR($A700="S",$A700=0),0,MATCH(0,OFFSET($B700,1,$A700,ROW($A$1504)-ROW($A700)),0))</f>
        <v>99</v>
      </c>
      <c r="I700">
        <f ca="1">IF(OR($A700="S",$A700=0),0,MATCH(OFFSET($B700,0,$A700)+1,OFFSET($B700,1,$A700,ROW($A$1504)-ROW($A700)),0))</f>
        <v>4</v>
      </c>
      <c r="J700" s="132" t="s">
        <v>68</v>
      </c>
      <c r="K700" s="121" t="str">
        <f ca="1">IF($A700=0,"-",CONCATENATE(C700&amp;".",IF(AND($A$5&gt;=2,$A700&gt;=2),D700&amp;".",""),IF(AND($A$5&gt;=3,$A700&gt;=3),E700&amp;".",""),IF(AND($A$5&gt;=4,$A700&gt;=4),F700&amp;".",""),IF($A700="S",G700&amp;".","")))</f>
        <v>9.2.</v>
      </c>
      <c r="L700" s="137" t="str">
        <f ca="1">IF(NOT(ISERROR($Y700)),IF($Y700&lt;&gt;FALSE,INDEX(Banco,$Y700,4),""),"")</f>
        <v/>
      </c>
      <c r="M700" s="122"/>
      <c r="N700" s="139"/>
      <c r="O700" s="137" t="s">
        <v>401</v>
      </c>
      <c r="P700" s="138" t="str">
        <f ca="1">IF(NOT(ISERROR($Y700)),IF($Y700&lt;&gt;FALSE,INDEX(Banco,$Y700,6),""),"")</f>
        <v/>
      </c>
      <c r="Q700" s="134"/>
      <c r="R700" s="124">
        <f ca="1">IF(NOT(ISERROR($Y700)),IF($Y700&lt;&gt;FALSE,INDEX(Banco,$Y700,7),0),0)</f>
        <v>0</v>
      </c>
      <c r="S700" s="136" t="s">
        <v>62</v>
      </c>
      <c r="T700" s="123">
        <f>IF($J700=$G$2,ROUND(ROUND($R700,2)*IF($R$9="Preço Unitário (R$)",1,1+$AA700),2),0)</f>
        <v>0</v>
      </c>
      <c r="U700" s="126">
        <f ca="1">IF($A700="S",VTOTAL1,IF($A700=0,0,ROUND(SomaAgrup,2)))</f>
        <v>3946.8</v>
      </c>
      <c r="V700" s="1"/>
      <c r="W700" s="39">
        <f ca="1">IF(OR($A700=0,$A700="S",$A700&gt;CFF!$A$9),"",MAX(W$11:OFFSET(W700,-1,0))+1)</f>
        <v>63</v>
      </c>
      <c r="X700" s="4" t="b">
        <f>IF(AND($J700=$G$2,$N700&lt;&gt;"",$M700&lt;&gt;""),CONCATENATE($M700,"-",$N700))</f>
        <v>0</v>
      </c>
      <c r="Y700" s="39" t="b">
        <f ca="1">IF(X700&lt;&gt;FALSE,MATCH(X700,OFFSET(Banco,0,0,,1),0))</f>
        <v>0</v>
      </c>
      <c r="Z700" s="1"/>
      <c r="AA700" s="133" t="str">
        <f>IF($J700=$G$2,ROUND(IF(ISNUMBER(S700),S700,IF(LEFT(S700,2)="DI",HLOOKUP(S700,DADOS!$T$29:$X$30,2,FALSE),0)),4),"")</f>
        <v/>
      </c>
      <c r="AB700" s="2"/>
    </row>
    <row r="701" spans="1:28">
      <c r="A701" t="str">
        <f t="shared" ref="A701:A702" si="845">CHOOSE(1+LOG(1+2*(J701=$C$2)+4*(J701=$D$2)+8*(J701=$E$2)+16*(J701=$F$2)+32*(J701=$G$2),2),0,1,2,3,4,"S")</f>
        <v>S</v>
      </c>
      <c r="B701">
        <f t="shared" ref="B701:B702" si="846">IF(OR(A701="S",A701=0),0,IF(ISERROR(I701),H701,SMALL(H701:I701,1)))</f>
        <v>0</v>
      </c>
      <c r="C701">
        <f t="shared" ref="C701:C702" ca="1" si="847">IF($A701=1,OFFSET(C701,-1,0)+1,OFFSET(C701,-1,0))</f>
        <v>9</v>
      </c>
      <c r="D701">
        <f t="shared" ref="D701:D702" ca="1" si="848">IF($A701=1,0,IF($A701=2,OFFSET(D701,-1,0)+1,OFFSET(D701,-1,0)))</f>
        <v>2</v>
      </c>
      <c r="E701">
        <f t="shared" ref="E701:E702" ca="1" si="849">IF(AND($A701&lt;=2,$A701&lt;&gt;0),0,IF($A701=3,OFFSET(E701,-1,0)+1,OFFSET(E701,-1,0)))</f>
        <v>0</v>
      </c>
      <c r="F701">
        <f t="shared" ref="F701:F702" ca="1" si="850">IF(AND($A701&lt;=3,$A701&lt;&gt;0),0,IF($A701=4,OFFSET(F701,-1,0)+1,OFFSET(F701,-1,0)))</f>
        <v>0</v>
      </c>
      <c r="G701">
        <f t="shared" ref="G701:G702" ca="1" si="851">IF(AND($A701&lt;=4,$A701&lt;&gt;0),0,IF($A701="S",OFFSET(G701,-1,0)+1,OFFSET(G701,-1,0)))</f>
        <v>1</v>
      </c>
      <c r="H701">
        <f ca="1">IF(OR($A701="S",$A701=0),0,MATCH(0,OFFSET($B701,1,$A701,ROW($A$1504)-ROW($A701)),0))</f>
        <v>0</v>
      </c>
      <c r="I701">
        <f ca="1">IF(OR($A701="S",$A701=0),0,MATCH(OFFSET($B701,0,$A701)+1,OFFSET($B701,1,$A701,ROW($A$1504)-ROW($A701)),0))</f>
        <v>0</v>
      </c>
      <c r="J701" s="132" t="s">
        <v>29</v>
      </c>
      <c r="K701" s="121" t="str">
        <f t="shared" ref="K701:K702" ca="1" si="852">IF($A701=0,"-",CONCATENATE(C701&amp;".",IF(AND($A$5&gt;=2,$A701&gt;=2),D701&amp;".",""),IF(AND($A$5&gt;=3,$A701&gt;=3),E701&amp;".",""),IF(AND($A$5&gt;=4,$A701&gt;=4),F701&amp;".",""),IF($A701="S",G701&amp;".","")))</f>
        <v>9.2.1.</v>
      </c>
      <c r="L701" s="137" t="str">
        <f t="shared" ref="L701:L702" ca="1" si="853">IF(NOT(ISERROR($Y701)),IF($Y701&lt;&gt;FALSE,INDEX(Banco,$Y701,4),""),"")</f>
        <v>CRESS</v>
      </c>
      <c r="M701" s="122" t="s">
        <v>78</v>
      </c>
      <c r="N701" s="139" t="s">
        <v>149</v>
      </c>
      <c r="O701" s="137" t="str">
        <f t="shared" ref="O701:O702" ca="1" si="854">IF(NOT(ISERROR($Y701)),IF($Y701&lt;&gt;FALSE,INDEX(Banco,$Y701,5),""),"")</f>
        <v>Responsável Técnica</v>
      </c>
      <c r="P701" s="138" t="str">
        <f t="shared" ref="P701:P702" ca="1" si="855">IF(NOT(ISERROR($Y701)),IF($Y701&lt;&gt;FALSE,INDEX(Banco,$Y701,6),""),"")</f>
        <v>Horas</v>
      </c>
      <c r="Q701" s="134">
        <v>12</v>
      </c>
      <c r="R701" s="124">
        <f t="shared" ref="R701:R702" ca="1" si="856">IF(NOT(ISERROR($Y701)),IF($Y701&lt;&gt;FALSE,INDEX(Banco,$Y701,7),0),0)</f>
        <v>150.28</v>
      </c>
      <c r="S701" s="136" t="s">
        <v>62</v>
      </c>
      <c r="T701" s="123">
        <f t="shared" ref="T701:T702" ca="1" si="857">IF($J701=$G$2,ROUND(ROUND($R701,2)*IF($R$9="Preço Unitário (R$)",1,1+$AA701),2),0)</f>
        <v>187.85</v>
      </c>
      <c r="U701" s="126">
        <f t="shared" ref="U701:U702" ca="1" si="858">IF($A701="S",VTOTAL1,IF($A701=0,0,ROUND(SomaAgrup,2)))</f>
        <v>2254.1999999999998</v>
      </c>
      <c r="V701" s="1"/>
      <c r="W701" s="39" t="str">
        <f ca="1">IF(OR($A701=0,$A701="S",$A701&gt;CFF!$A$9),"",MAX(W$11:OFFSET(W701,-1,0))+1)</f>
        <v/>
      </c>
      <c r="X701" s="4" t="str">
        <f t="shared" ref="X701:X702" si="859">IF(AND($J701=$G$2,$N701&lt;&gt;"",$M701&lt;&gt;""),CONCATENATE($M701,"-",$N701))</f>
        <v>Rec. Humanos-001</v>
      </c>
      <c r="Y701" s="39">
        <f t="shared" ref="Y701:Y702" ca="1" si="860">IF(X701&lt;&gt;FALSE,MATCH(X701,OFFSET(Banco,0,0,,1),0))</f>
        <v>3</v>
      </c>
      <c r="Z701" s="1"/>
      <c r="AA701" s="133">
        <f>IF($J701=$G$2,ROUND(IF(ISNUMBER(S701),S701,IF(LEFT(S701,2)="DI",HLOOKUP(S701,DADOS!$T$29:$X$30,2,FALSE),0)),4),"")</f>
        <v>0.25</v>
      </c>
      <c r="AB701" s="2"/>
    </row>
    <row r="702" spans="1:28">
      <c r="A702" t="str">
        <f t="shared" si="845"/>
        <v>S</v>
      </c>
      <c r="B702">
        <f t="shared" si="846"/>
        <v>0</v>
      </c>
      <c r="C702">
        <f t="shared" ca="1" si="847"/>
        <v>9</v>
      </c>
      <c r="D702">
        <f t="shared" ca="1" si="848"/>
        <v>2</v>
      </c>
      <c r="E702">
        <f t="shared" ca="1" si="849"/>
        <v>0</v>
      </c>
      <c r="F702">
        <f t="shared" ca="1" si="850"/>
        <v>0</v>
      </c>
      <c r="G702">
        <f t="shared" ca="1" si="851"/>
        <v>2</v>
      </c>
      <c r="H702">
        <f ca="1">IF(OR($A702="S",$A702=0),0,MATCH(0,OFFSET($B702,1,$A702,ROW($A$1504)-ROW($A702)),0))</f>
        <v>0</v>
      </c>
      <c r="I702">
        <f ca="1">IF(OR($A702="S",$A702=0),0,MATCH(OFFSET($B702,0,$A702)+1,OFFSET($B702,1,$A702,ROW($A$1504)-ROW($A702)),0))</f>
        <v>0</v>
      </c>
      <c r="J702" s="132" t="s">
        <v>29</v>
      </c>
      <c r="K702" s="121" t="str">
        <f t="shared" ca="1" si="852"/>
        <v>9.2.2.</v>
      </c>
      <c r="L702" s="137" t="str">
        <f t="shared" ca="1" si="853"/>
        <v>CRESS</v>
      </c>
      <c r="M702" s="122" t="s">
        <v>78</v>
      </c>
      <c r="N702" s="139" t="s">
        <v>152</v>
      </c>
      <c r="O702" s="137" t="str">
        <f t="shared" ca="1" si="854"/>
        <v>Assistente Social</v>
      </c>
      <c r="P702" s="138" t="str">
        <f t="shared" ca="1" si="855"/>
        <v>Horas</v>
      </c>
      <c r="Q702" s="134">
        <v>10</v>
      </c>
      <c r="R702" s="124">
        <f t="shared" ca="1" si="856"/>
        <v>133.81</v>
      </c>
      <c r="S702" s="136" t="s">
        <v>62</v>
      </c>
      <c r="T702" s="123">
        <f t="shared" ca="1" si="857"/>
        <v>167.26</v>
      </c>
      <c r="U702" s="126">
        <f t="shared" ca="1" si="858"/>
        <v>1672.6</v>
      </c>
      <c r="V702" s="1"/>
      <c r="W702" s="39" t="str">
        <f ca="1">IF(OR($A702=0,$A702="S",$A702&gt;CFF!$A$9),"",MAX(W$11:OFFSET(W702,-1,0))+1)</f>
        <v/>
      </c>
      <c r="X702" s="4" t="str">
        <f t="shared" si="859"/>
        <v>Rec. Humanos-002</v>
      </c>
      <c r="Y702" s="39">
        <f t="shared" ca="1" si="860"/>
        <v>4</v>
      </c>
      <c r="Z702" s="1"/>
      <c r="AA702" s="133">
        <f>IF($J702=$G$2,ROUND(IF(ISNUMBER(S702),S702,IF(LEFT(S702,2)="DI",HLOOKUP(S702,DADOS!$T$29:$X$30,2,FALSE),0)),4),"")</f>
        <v>0.25</v>
      </c>
      <c r="AB702" s="2"/>
    </row>
    <row r="703" spans="1:28">
      <c r="A703" t="str">
        <f>CHOOSE(1+LOG(1+2*(J703=$C$2)+4*(J703=$D$2)+8*(J703=$E$2)+16*(J703=$F$2)+32*(J703=$G$2),2),0,1,2,3,4,"S")</f>
        <v>S</v>
      </c>
      <c r="B703">
        <f>IF(OR(A703="S",A703=0),0,IF(ISERROR(I703),H703,SMALL(H703:I703,1)))</f>
        <v>0</v>
      </c>
      <c r="C703">
        <f ca="1">IF($A703=1,OFFSET(C703,-1,0)+1,OFFSET(C703,-1,0))</f>
        <v>9</v>
      </c>
      <c r="D703">
        <f ca="1">IF($A703=1,0,IF($A703=2,OFFSET(D703,-1,0)+1,OFFSET(D703,-1,0)))</f>
        <v>2</v>
      </c>
      <c r="E703">
        <f ca="1">IF(AND($A703&lt;=2,$A703&lt;&gt;0),0,IF($A703=3,OFFSET(E703,-1,0)+1,OFFSET(E703,-1,0)))</f>
        <v>0</v>
      </c>
      <c r="F703">
        <f ca="1">IF(AND($A703&lt;=3,$A703&lt;&gt;0),0,IF($A703=4,OFFSET(F703,-1,0)+1,OFFSET(F703,-1,0)))</f>
        <v>0</v>
      </c>
      <c r="G703">
        <f ca="1">IF(AND($A703&lt;=4,$A703&lt;&gt;0),0,IF($A703="S",OFFSET(G703,-1,0)+1,OFFSET(G703,-1,0)))</f>
        <v>3</v>
      </c>
      <c r="H703">
        <f ca="1">IF(OR($A703="S",$A703=0),0,MATCH(0,OFFSET($B703,1,$A703,ROW($A$1504)-ROW($A703)),0))</f>
        <v>0</v>
      </c>
      <c r="I703">
        <f ca="1">IF(OR($A703="S",$A703=0),0,MATCH(OFFSET($B703,0,$A703)+1,OFFSET($B703,1,$A703,ROW($A$1504)-ROW($A703)),0))</f>
        <v>0</v>
      </c>
      <c r="J703" s="132" t="s">
        <v>29</v>
      </c>
      <c r="K703" s="121" t="str">
        <f ca="1">IF($A703=0,"-",CONCATENATE(C703&amp;".",IF(AND($A$5&gt;=2,$A703&gt;=2),D703&amp;".",""),IF(AND($A$5&gt;=3,$A703&gt;=3),E703&amp;".",""),IF(AND($A$5&gt;=4,$A703&gt;=4),F703&amp;".",""),IF($A703="S",G703&amp;".","")))</f>
        <v>9.2.3.</v>
      </c>
      <c r="L703" s="137" t="str">
        <f ca="1">IF(NOT(ISERROR($Y703)),IF($Y703&lt;&gt;FALSE,INDEX(Banco,$Y703,4),""),"")</f>
        <v>Cotação</v>
      </c>
      <c r="M703" s="122" t="s">
        <v>80</v>
      </c>
      <c r="N703" s="139" t="s">
        <v>158</v>
      </c>
      <c r="O703" s="137" t="str">
        <f ca="1">IF(NOT(ISERROR($Y703)),IF($Y703&lt;&gt;FALSE,INDEX(Banco,$Y703,5),""),"")</f>
        <v>Água (garrafa de 1,5 litros)</v>
      </c>
      <c r="P703" s="138" t="str">
        <f ca="1">IF(NOT(ISERROR($Y703)),IF($Y703&lt;&gt;FALSE,INDEX(Banco,$Y703,6),""),"")</f>
        <v>Unidade</v>
      </c>
      <c r="Q703" s="134">
        <v>4</v>
      </c>
      <c r="R703" s="124">
        <f ca="1">IF(NOT(ISERROR($Y703)),IF($Y703&lt;&gt;FALSE,INDEX(Banco,$Y703,7),0),0)</f>
        <v>4</v>
      </c>
      <c r="S703" s="136" t="s">
        <v>62</v>
      </c>
      <c r="T703" s="123">
        <f ca="1">IF($J703=$G$2,ROUND(ROUND($R703,2)*IF($R$9="Preço Unitário (R$)",1,1+$AA703),2),0)</f>
        <v>5</v>
      </c>
      <c r="U703" s="126">
        <f ca="1">IF($A703="S",VTOTAL1,IF($A703=0,0,ROUND(SomaAgrup,2)))</f>
        <v>20</v>
      </c>
      <c r="V703" s="1"/>
      <c r="W703" s="39" t="str">
        <f ca="1">IF(OR($A703=0,$A703="S",$A703&gt;CFF!$A$9),"",MAX(W$11:OFFSET(W703,-1,0))+1)</f>
        <v/>
      </c>
      <c r="X703" s="4" t="str">
        <f>IF(AND($J703=$G$2,$N703&lt;&gt;"",$M703&lt;&gt;""),CONCATENATE($M703,"-",$N703))</f>
        <v>Serv. Terc.-009</v>
      </c>
      <c r="Y703" s="39">
        <f ca="1">IF(X703&lt;&gt;FALSE,MATCH(X703,OFFSET(Banco,0,0,,1),0))</f>
        <v>89</v>
      </c>
      <c r="Z703" s="1"/>
      <c r="AA703" s="133">
        <f>IF($J703=$G$2,ROUND(IF(ISNUMBER(S703),S703,IF(LEFT(S703,2)="DI",HLOOKUP(S703,DADOS!$T$29:$X$30,2,FALSE),0)),4),"")</f>
        <v>0.25</v>
      </c>
      <c r="AB703" s="2"/>
    </row>
    <row r="704" spans="1:28">
      <c r="A704">
        <f>CHOOSE(1+LOG(1+2*(J704=$C$2)+4*(J704=$D$2)+8*(J704=$E$2)+16*(J704=$F$2)+32*(J704=$G$2),2),0,1,2,3,4,"S")</f>
        <v>2</v>
      </c>
      <c r="B704">
        <f ca="1">IF(OR(A704="S",A704=0),0,IF(ISERROR(I704),H704,SMALL(H704:I704,1)))</f>
        <v>3</v>
      </c>
      <c r="C704">
        <f ca="1">IF($A704=1,OFFSET(C704,-1,0)+1,OFFSET(C704,-1,0))</f>
        <v>9</v>
      </c>
      <c r="D704">
        <f ca="1">IF($A704=1,0,IF($A704=2,OFFSET(D704,-1,0)+1,OFFSET(D704,-1,0)))</f>
        <v>3</v>
      </c>
      <c r="E704">
        <f ca="1">IF(AND($A704&lt;=2,$A704&lt;&gt;0),0,IF($A704=3,OFFSET(E704,-1,0)+1,OFFSET(E704,-1,0)))</f>
        <v>0</v>
      </c>
      <c r="F704">
        <f ca="1">IF(AND($A704&lt;=3,$A704&lt;&gt;0),0,IF($A704=4,OFFSET(F704,-1,0)+1,OFFSET(F704,-1,0)))</f>
        <v>0</v>
      </c>
      <c r="G704">
        <f ca="1">IF(AND($A704&lt;=4,$A704&lt;&gt;0),0,IF($A704="S",OFFSET(G704,-1,0)+1,OFFSET(G704,-1,0)))</f>
        <v>0</v>
      </c>
      <c r="H704">
        <f ca="1">IF(OR($A704="S",$A704=0),0,MATCH(0,OFFSET($B704,1,$A704,ROW($A$1504)-ROW($A704)),0))</f>
        <v>95</v>
      </c>
      <c r="I704">
        <f ca="1">IF(OR($A704="S",$A704=0),0,MATCH(OFFSET($B704,0,$A704)+1,OFFSET($B704,1,$A704,ROW($A$1504)-ROW($A704)),0))</f>
        <v>3</v>
      </c>
      <c r="J704" s="132" t="s">
        <v>68</v>
      </c>
      <c r="K704" s="121" t="str">
        <f ca="1">IF($A704=0,"-",CONCATENATE(C704&amp;".",IF(AND($A$5&gt;=2,$A704&gt;=2),D704&amp;".",""),IF(AND($A$5&gt;=3,$A704&gt;=3),E704&amp;".",""),IF(AND($A$5&gt;=4,$A704&gt;=4),F704&amp;".",""),IF($A704="S",G704&amp;".","")))</f>
        <v>9.3.</v>
      </c>
      <c r="L704" s="137" t="str">
        <f ca="1">IF(NOT(ISERROR($Y704)),IF($Y704&lt;&gt;FALSE,INDEX(Banco,$Y704,4),""),"")</f>
        <v/>
      </c>
      <c r="M704" s="122"/>
      <c r="N704" s="139"/>
      <c r="O704" s="137" t="s">
        <v>402</v>
      </c>
      <c r="P704" s="138" t="str">
        <f ca="1">IF(NOT(ISERROR($Y704)),IF($Y704&lt;&gt;FALSE,INDEX(Banco,$Y704,6),""),"")</f>
        <v/>
      </c>
      <c r="Q704" s="134"/>
      <c r="R704" s="124">
        <f ca="1">IF(NOT(ISERROR($Y704)),IF($Y704&lt;&gt;FALSE,INDEX(Banco,$Y704,7),0),0)</f>
        <v>0</v>
      </c>
      <c r="S704" s="136" t="s">
        <v>62</v>
      </c>
      <c r="T704" s="123">
        <f>IF($J704=$G$2,ROUND(ROUND($R704,2)*IF($R$9="Preço Unitário (R$)",1,1+$AA704),2),0)</f>
        <v>0</v>
      </c>
      <c r="U704" s="126">
        <f ca="1">IF($A704="S",VTOTAL1,IF($A704=0,0,ROUND(SomaAgrup,2)))</f>
        <v>3427.56</v>
      </c>
      <c r="V704" s="1"/>
      <c r="W704" s="39">
        <f ca="1">IF(OR($A704=0,$A704="S",$A704&gt;CFF!$A$9),"",MAX(W$11:OFFSET(W704,-1,0))+1)</f>
        <v>64</v>
      </c>
      <c r="X704" s="4" t="b">
        <f>IF(AND($J704=$G$2,$N704&lt;&gt;"",$M704&lt;&gt;""),CONCATENATE($M704,"-",$N704))</f>
        <v>0</v>
      </c>
      <c r="Y704" s="39" t="b">
        <f ca="1">IF(X704&lt;&gt;FALSE,MATCH(X704,OFFSET(Banco,0,0,,1),0))</f>
        <v>0</v>
      </c>
      <c r="Z704" s="1"/>
      <c r="AA704" s="133" t="str">
        <f>IF($J704=$G$2,ROUND(IF(ISNUMBER(S704),S704,IF(LEFT(S704,2)="DI",HLOOKUP(S704,DADOS!$T$29:$X$30,2,FALSE),0)),4),"")</f>
        <v/>
      </c>
      <c r="AB704" s="2"/>
    </row>
    <row r="705" spans="1:28">
      <c r="A705" t="str">
        <f t="shared" ref="A705:A706" si="861">CHOOSE(1+LOG(1+2*(J705=$C$2)+4*(J705=$D$2)+8*(J705=$E$2)+16*(J705=$F$2)+32*(J705=$G$2),2),0,1,2,3,4,"S")</f>
        <v>S</v>
      </c>
      <c r="B705">
        <f t="shared" ref="B705:B706" si="862">IF(OR(A705="S",A705=0),0,IF(ISERROR(I705),H705,SMALL(H705:I705,1)))</f>
        <v>0</v>
      </c>
      <c r="C705">
        <f t="shared" ref="C705:C706" ca="1" si="863">IF($A705=1,OFFSET(C705,-1,0)+1,OFFSET(C705,-1,0))</f>
        <v>9</v>
      </c>
      <c r="D705">
        <f t="shared" ref="D705:D706" ca="1" si="864">IF($A705=1,0,IF($A705=2,OFFSET(D705,-1,0)+1,OFFSET(D705,-1,0)))</f>
        <v>3</v>
      </c>
      <c r="E705">
        <f t="shared" ref="E705:E706" ca="1" si="865">IF(AND($A705&lt;=2,$A705&lt;&gt;0),0,IF($A705=3,OFFSET(E705,-1,0)+1,OFFSET(E705,-1,0)))</f>
        <v>0</v>
      </c>
      <c r="F705">
        <f t="shared" ref="F705:F706" ca="1" si="866">IF(AND($A705&lt;=3,$A705&lt;&gt;0),0,IF($A705=4,OFFSET(F705,-1,0)+1,OFFSET(F705,-1,0)))</f>
        <v>0</v>
      </c>
      <c r="G705">
        <f t="shared" ref="G705:G706" ca="1" si="867">IF(AND($A705&lt;=4,$A705&lt;&gt;0),0,IF($A705="S",OFFSET(G705,-1,0)+1,OFFSET(G705,-1,0)))</f>
        <v>1</v>
      </c>
      <c r="H705">
        <f ca="1">IF(OR($A705="S",$A705=0),0,MATCH(0,OFFSET($B705,1,$A705,ROW($A$1504)-ROW($A705)),0))</f>
        <v>0</v>
      </c>
      <c r="I705">
        <f ca="1">IF(OR($A705="S",$A705=0),0,MATCH(OFFSET($B705,0,$A705)+1,OFFSET($B705,1,$A705,ROW($A$1504)-ROW($A705)),0))</f>
        <v>0</v>
      </c>
      <c r="J705" s="132" t="s">
        <v>29</v>
      </c>
      <c r="K705" s="121" t="str">
        <f t="shared" ref="K705:K706" ca="1" si="868">IF($A705=0,"-",CONCATENATE(C705&amp;".",IF(AND($A$5&gt;=2,$A705&gt;=2),D705&amp;".",""),IF(AND($A$5&gt;=3,$A705&gt;=3),E705&amp;".",""),IF(AND($A$5&gt;=4,$A705&gt;=4),F705&amp;".",""),IF($A705="S",G705&amp;".","")))</f>
        <v>9.3.1.</v>
      </c>
      <c r="L705" s="137" t="str">
        <f t="shared" ref="L705:L706" ca="1" si="869">IF(NOT(ISERROR($Y705)),IF($Y705&lt;&gt;FALSE,INDEX(Banco,$Y705,4),""),"")</f>
        <v>CRESS</v>
      </c>
      <c r="M705" s="122" t="s">
        <v>78</v>
      </c>
      <c r="N705" s="139" t="s">
        <v>149</v>
      </c>
      <c r="O705" s="137" t="str">
        <f ca="1">IF(NOT(ISERROR($Y705)),IF($Y705&lt;&gt;FALSE,INDEX(Banco,$Y705,5),""),"")</f>
        <v>Responsável Técnica</v>
      </c>
      <c r="P705" s="138" t="str">
        <f t="shared" ref="P705:P706" ca="1" si="870">IF(NOT(ISERROR($Y705)),IF($Y705&lt;&gt;FALSE,INDEX(Banco,$Y705,6),""),"")</f>
        <v>Horas</v>
      </c>
      <c r="Q705" s="134">
        <v>4</v>
      </c>
      <c r="R705" s="124">
        <f t="shared" ref="R705:R706" ca="1" si="871">IF(NOT(ISERROR($Y705)),IF($Y705&lt;&gt;FALSE,INDEX(Banco,$Y705,7),0),0)</f>
        <v>150.28</v>
      </c>
      <c r="S705" s="136" t="s">
        <v>62</v>
      </c>
      <c r="T705" s="123">
        <f t="shared" ref="T705:T706" ca="1" si="872">IF($J705=$G$2,ROUND(ROUND($R705,2)*IF($R$9="Preço Unitário (R$)",1,1+$AA705),2),0)</f>
        <v>187.85</v>
      </c>
      <c r="U705" s="126">
        <f t="shared" ref="U705:U706" ca="1" si="873">IF($A705="S",VTOTAL1,IF($A705=0,0,ROUND(SomaAgrup,2)))</f>
        <v>751.4</v>
      </c>
      <c r="V705" s="1"/>
      <c r="W705" s="39" t="str">
        <f ca="1">IF(OR($A705=0,$A705="S",$A705&gt;CFF!$A$9),"",MAX(W$11:OFFSET(W705,-1,0))+1)</f>
        <v/>
      </c>
      <c r="X705" s="4" t="str">
        <f t="shared" ref="X705:X706" si="874">IF(AND($J705=$G$2,$N705&lt;&gt;"",$M705&lt;&gt;""),CONCATENATE($M705,"-",$N705))</f>
        <v>Rec. Humanos-001</v>
      </c>
      <c r="Y705" s="39">
        <f t="shared" ref="Y705:Y706" ca="1" si="875">IF(X705&lt;&gt;FALSE,MATCH(X705,OFFSET(Banco,0,0,,1),0))</f>
        <v>3</v>
      </c>
      <c r="Z705" s="1"/>
      <c r="AA705" s="133">
        <f>IF($J705=$G$2,ROUND(IF(ISNUMBER(S705),S705,IF(LEFT(S705,2)="DI",HLOOKUP(S705,DADOS!$T$29:$X$30,2,FALSE),0)),4),"")</f>
        <v>0.25</v>
      </c>
      <c r="AB705" s="2"/>
    </row>
    <row r="706" spans="1:28">
      <c r="A706" t="str">
        <f t="shared" si="861"/>
        <v>S</v>
      </c>
      <c r="B706">
        <f t="shared" si="862"/>
        <v>0</v>
      </c>
      <c r="C706">
        <f t="shared" ca="1" si="863"/>
        <v>9</v>
      </c>
      <c r="D706">
        <f t="shared" ca="1" si="864"/>
        <v>3</v>
      </c>
      <c r="E706">
        <f t="shared" ca="1" si="865"/>
        <v>0</v>
      </c>
      <c r="F706">
        <f t="shared" ca="1" si="866"/>
        <v>0</v>
      </c>
      <c r="G706">
        <f t="shared" ca="1" si="867"/>
        <v>2</v>
      </c>
      <c r="H706">
        <f ca="1">IF(OR($A706="S",$A706=0),0,MATCH(0,OFFSET($B706,1,$A706,ROW($A$1504)-ROW($A706)),0))</f>
        <v>0</v>
      </c>
      <c r="I706">
        <f ca="1">IF(OR($A706="S",$A706=0),0,MATCH(OFFSET($B706,0,$A706)+1,OFFSET($B706,1,$A706,ROW($A$1504)-ROW($A706)),0))</f>
        <v>0</v>
      </c>
      <c r="J706" s="132" t="s">
        <v>29</v>
      </c>
      <c r="K706" s="121" t="str">
        <f t="shared" ca="1" si="868"/>
        <v>9.3.2.</v>
      </c>
      <c r="L706" s="137" t="str">
        <f t="shared" ca="1" si="869"/>
        <v>CRESS</v>
      </c>
      <c r="M706" s="122" t="s">
        <v>78</v>
      </c>
      <c r="N706" s="139" t="s">
        <v>152</v>
      </c>
      <c r="O706" s="137" t="str">
        <f ca="1">IF(NOT(ISERROR($Y706)),IF($Y706&lt;&gt;FALSE,INDEX(Banco,$Y706,5),""),"")</f>
        <v>Assistente Social</v>
      </c>
      <c r="P706" s="138" t="str">
        <f t="shared" ca="1" si="870"/>
        <v>Horas</v>
      </c>
      <c r="Q706" s="134">
        <v>16</v>
      </c>
      <c r="R706" s="124">
        <f t="shared" ca="1" si="871"/>
        <v>133.81</v>
      </c>
      <c r="S706" s="136" t="s">
        <v>62</v>
      </c>
      <c r="T706" s="123">
        <f t="shared" ca="1" si="872"/>
        <v>167.26</v>
      </c>
      <c r="U706" s="126">
        <f t="shared" ca="1" si="873"/>
        <v>2676.16</v>
      </c>
      <c r="V706" s="1"/>
      <c r="W706" s="39" t="str">
        <f ca="1">IF(OR($A706=0,$A706="S",$A706&gt;CFF!$A$9),"",MAX(W$11:OFFSET(W706,-1,0))+1)</f>
        <v/>
      </c>
      <c r="X706" s="4" t="str">
        <f t="shared" si="874"/>
        <v>Rec. Humanos-002</v>
      </c>
      <c r="Y706" s="39">
        <f t="shared" ca="1" si="875"/>
        <v>4</v>
      </c>
      <c r="Z706" s="1"/>
      <c r="AA706" s="133">
        <f>IF($J706=$G$2,ROUND(IF(ISNUMBER(S706),S706,IF(LEFT(S706,2)="DI",HLOOKUP(S706,DADOS!$T$29:$X$30,2,FALSE),0)),4),"")</f>
        <v>0.25</v>
      </c>
      <c r="AB706" s="2"/>
    </row>
    <row r="707" spans="1:28">
      <c r="A707">
        <f>CHOOSE(1+LOG(1+2*(J707=$C$2)+4*(J707=$D$2)+8*(J707=$E$2)+16*(J707=$F$2)+32*(J707=$G$2),2),0,1,2,3,4,"S")</f>
        <v>2</v>
      </c>
      <c r="B707">
        <f ca="1">IF(OR(A707="S",A707=0),0,IF(ISERROR(I707),H707,SMALL(H707:I707,1)))</f>
        <v>6</v>
      </c>
      <c r="C707">
        <f ca="1">IF($A707=1,OFFSET(C707,-1,0)+1,OFFSET(C707,-1,0))</f>
        <v>9</v>
      </c>
      <c r="D707">
        <f ca="1">IF($A707=1,0,IF($A707=2,OFFSET(D707,-1,0)+1,OFFSET(D707,-1,0)))</f>
        <v>4</v>
      </c>
      <c r="E707">
        <f ca="1">IF(AND($A707&lt;=2,$A707&lt;&gt;0),0,IF($A707=3,OFFSET(E707,-1,0)+1,OFFSET(E707,-1,0)))</f>
        <v>0</v>
      </c>
      <c r="F707">
        <f ca="1">IF(AND($A707&lt;=3,$A707&lt;&gt;0),0,IF($A707=4,OFFSET(F707,-1,0)+1,OFFSET(F707,-1,0)))</f>
        <v>0</v>
      </c>
      <c r="G707">
        <f ca="1">IF(AND($A707&lt;=4,$A707&lt;&gt;0),0,IF($A707="S",OFFSET(G707,-1,0)+1,OFFSET(G707,-1,0)))</f>
        <v>0</v>
      </c>
      <c r="H707">
        <f ca="1">IF(OR($A707="S",$A707=0),0,MATCH(0,OFFSET($B707,1,$A707,ROW($A$1504)-ROW($A707)),0))</f>
        <v>92</v>
      </c>
      <c r="I707">
        <f ca="1">IF(OR($A707="S",$A707=0),0,MATCH(OFFSET($B707,0,$A707)+1,OFFSET($B707,1,$A707,ROW($A$1504)-ROW($A707)),0))</f>
        <v>6</v>
      </c>
      <c r="J707" s="132" t="s">
        <v>68</v>
      </c>
      <c r="K707" s="121" t="str">
        <f ca="1">IF($A707=0,"-",CONCATENATE(C707&amp;".",IF(AND($A$5&gt;=2,$A707&gt;=2),D707&amp;".",""),IF(AND($A$5&gt;=3,$A707&gt;=3),E707&amp;".",""),IF(AND($A$5&gt;=4,$A707&gt;=4),F707&amp;".",""),IF($A707="S",G707&amp;".","")))</f>
        <v>9.4.</v>
      </c>
      <c r="L707" s="137" t="str">
        <f ca="1">IF(NOT(ISERROR($Y707)),IF($Y707&lt;&gt;FALSE,INDEX(Banco,$Y707,4),""),"")</f>
        <v/>
      </c>
      <c r="M707" s="122"/>
      <c r="N707" s="139"/>
      <c r="O707" s="137" t="s">
        <v>403</v>
      </c>
      <c r="P707" s="138" t="str">
        <f ca="1">IF(NOT(ISERROR($Y707)),IF($Y707&lt;&gt;FALSE,INDEX(Banco,$Y707,6),""),"")</f>
        <v/>
      </c>
      <c r="Q707" s="134"/>
      <c r="R707" s="124">
        <f ca="1">IF(NOT(ISERROR($Y707)),IF($Y707&lt;&gt;FALSE,INDEX(Banco,$Y707,7),0),0)</f>
        <v>0</v>
      </c>
      <c r="S707" s="136" t="s">
        <v>62</v>
      </c>
      <c r="T707" s="123">
        <f>IF($J707=$G$2,ROUND(ROUND($R707,2)*IF($R$9="Preço Unitário (R$)",1,1+$AA707),2),0)</f>
        <v>0</v>
      </c>
      <c r="U707" s="126">
        <f ca="1">IF($A707="S",VTOTAL1,IF($A707=0,0,ROUND(SomaAgrup,2)))</f>
        <v>18359.560000000001</v>
      </c>
      <c r="V707" s="1"/>
      <c r="W707" s="39">
        <f ca="1">IF(OR($A707=0,$A707="S",$A707&gt;CFF!$A$9),"",MAX(W$11:OFFSET(W707,-1,0))+1)</f>
        <v>65</v>
      </c>
      <c r="X707" s="4" t="b">
        <f>IF(AND($J707=$G$2,$N707&lt;&gt;"",$M707&lt;&gt;""),CONCATENATE($M707,"-",$N707))</f>
        <v>0</v>
      </c>
      <c r="Y707" s="39" t="b">
        <f ca="1">IF(X707&lt;&gt;FALSE,MATCH(X707,OFFSET(Banco,0,0,,1),0))</f>
        <v>0</v>
      </c>
      <c r="Z707" s="1"/>
      <c r="AA707" s="133" t="str">
        <f>IF($J707=$G$2,ROUND(IF(ISNUMBER(S707),S707,IF(LEFT(S707,2)="DI",HLOOKUP(S707,DADOS!$T$29:$X$30,2,FALSE),0)),4),"")</f>
        <v/>
      </c>
      <c r="AB707" s="2"/>
    </row>
    <row r="708" spans="1:28">
      <c r="A708" t="str">
        <f t="shared" ref="A708:A731" si="876">CHOOSE(1+LOG(1+2*(J708=$C$2)+4*(J708=$D$2)+8*(J708=$E$2)+16*(J708=$F$2)+32*(J708=$G$2),2),0,1,2,3,4,"S")</f>
        <v>S</v>
      </c>
      <c r="B708">
        <f t="shared" ref="B708:B731" si="877">IF(OR(A708="S",A708=0),0,IF(ISERROR(I708),H708,SMALL(H708:I708,1)))</f>
        <v>0</v>
      </c>
      <c r="C708">
        <f t="shared" ref="C708:C712" ca="1" si="878">IF($A708=1,OFFSET(C708,-1,0)+1,OFFSET(C708,-1,0))</f>
        <v>9</v>
      </c>
      <c r="D708">
        <f t="shared" ref="D708:D712" ca="1" si="879">IF($A708=1,0,IF($A708=2,OFFSET(D708,-1,0)+1,OFFSET(D708,-1,0)))</f>
        <v>4</v>
      </c>
      <c r="E708">
        <f t="shared" ref="E708:E712" ca="1" si="880">IF(AND($A708&lt;=2,$A708&lt;&gt;0),0,IF($A708=3,OFFSET(E708,-1,0)+1,OFFSET(E708,-1,0)))</f>
        <v>0</v>
      </c>
      <c r="F708">
        <f t="shared" ref="F708:F712" ca="1" si="881">IF(AND($A708&lt;=3,$A708&lt;&gt;0),0,IF($A708=4,OFFSET(F708,-1,0)+1,OFFSET(F708,-1,0)))</f>
        <v>0</v>
      </c>
      <c r="G708">
        <f t="shared" ref="G708:G712" ca="1" si="882">IF(AND($A708&lt;=4,$A708&lt;&gt;0),0,IF($A708="S",OFFSET(G708,-1,0)+1,OFFSET(G708,-1,0)))</f>
        <v>1</v>
      </c>
      <c r="H708">
        <f ca="1">IF(OR($A708="S",$A708=0),0,MATCH(0,OFFSET($B708,1,$A708,ROW($A$1504)-ROW($A708)),0))</f>
        <v>0</v>
      </c>
      <c r="I708">
        <f ca="1">IF(OR($A708="S",$A708=0),0,MATCH(OFFSET($B708,0,$A708)+1,OFFSET($B708,1,$A708,ROW($A$1504)-ROW($A708)),0))</f>
        <v>0</v>
      </c>
      <c r="J708" s="132" t="s">
        <v>29</v>
      </c>
      <c r="K708" s="121" t="str">
        <f t="shared" ref="K708:K731" ca="1" si="883">IF($A708=0,"-",CONCATENATE(C708&amp;".",IF(AND($A$5&gt;=2,$A708&gt;=2),D708&amp;".",""),IF(AND($A$5&gt;=3,$A708&gt;=3),E708&amp;".",""),IF(AND($A$5&gt;=4,$A708&gt;=4),F708&amp;".",""),IF($A708="S",G708&amp;".","")))</f>
        <v>9.4.1.</v>
      </c>
      <c r="L708" s="137" t="str">
        <f t="shared" ref="L708:L712" ca="1" si="884">IF(NOT(ISERROR($Y708)),IF($Y708&lt;&gt;FALSE,INDEX(Banco,$Y708,4),""),"")</f>
        <v>CRESS</v>
      </c>
      <c r="M708" s="122" t="s">
        <v>78</v>
      </c>
      <c r="N708" s="139" t="s">
        <v>152</v>
      </c>
      <c r="O708" s="137" t="str">
        <f ca="1">IF(NOT(ISERROR($Y708)),IF($Y708&lt;&gt;FALSE,INDEX(Banco,$Y708,5),""),"")</f>
        <v>Assistente Social</v>
      </c>
      <c r="P708" s="138" t="str">
        <f t="shared" ref="P708:P712" ca="1" si="885">IF(NOT(ISERROR($Y708)),IF($Y708&lt;&gt;FALSE,INDEX(Banco,$Y708,6),""),"")</f>
        <v>Horas</v>
      </c>
      <c r="Q708" s="134">
        <v>8</v>
      </c>
      <c r="R708" s="124">
        <f t="shared" ref="R708:R712" ca="1" si="886">IF(NOT(ISERROR($Y708)),IF($Y708&lt;&gt;FALSE,INDEX(Banco,$Y708,7),0),0)</f>
        <v>133.81</v>
      </c>
      <c r="S708" s="136" t="s">
        <v>62</v>
      </c>
      <c r="T708" s="123">
        <f t="shared" ref="T708:T712" ca="1" si="887">IF($J708=$G$2,ROUND(ROUND($R708,2)*IF($R$9="Preço Unitário (R$)",1,1+$AA708),2),0)</f>
        <v>167.26</v>
      </c>
      <c r="U708" s="126">
        <f t="shared" ref="U708:U712" ca="1" si="888">IF($A708="S",VTOTAL1,IF($A708=0,0,ROUND(SomaAgrup,2)))</f>
        <v>1338.08</v>
      </c>
      <c r="V708" s="1"/>
      <c r="W708" s="39" t="str">
        <f ca="1">IF(OR($A708=0,$A708="S",$A708&gt;CFF!$A$9),"",MAX(W$11:OFFSET(W708,-1,0))+1)</f>
        <v/>
      </c>
      <c r="X708" s="4" t="str">
        <f t="shared" ref="X708:X712" si="889">IF(AND($J708=$G$2,$N708&lt;&gt;"",$M708&lt;&gt;""),CONCATENATE($M708,"-",$N708))</f>
        <v>Rec. Humanos-002</v>
      </c>
      <c r="Y708" s="39">
        <f t="shared" ref="Y708:Y731" ca="1" si="890">IF(X708&lt;&gt;FALSE,MATCH(X708,OFFSET(Banco,0,0,,1),0))</f>
        <v>4</v>
      </c>
      <c r="Z708" s="1"/>
      <c r="AA708" s="133">
        <f>IF($J708=$G$2,ROUND(IF(ISNUMBER(S708),S708,IF(LEFT(S708,2)="DI",HLOOKUP(S708,DADOS!$T$29:$X$30,2,FALSE),0)),4),"")</f>
        <v>0.25</v>
      </c>
      <c r="AB708" s="2"/>
    </row>
    <row r="709" spans="1:28">
      <c r="A709" t="str">
        <f t="shared" si="876"/>
        <v>S</v>
      </c>
      <c r="B709">
        <f t="shared" si="877"/>
        <v>0</v>
      </c>
      <c r="C709">
        <f t="shared" ca="1" si="878"/>
        <v>9</v>
      </c>
      <c r="D709">
        <f t="shared" ca="1" si="879"/>
        <v>4</v>
      </c>
      <c r="E709">
        <f t="shared" ca="1" si="880"/>
        <v>0</v>
      </c>
      <c r="F709">
        <f t="shared" ca="1" si="881"/>
        <v>0</v>
      </c>
      <c r="G709">
        <f t="shared" ca="1" si="882"/>
        <v>2</v>
      </c>
      <c r="H709">
        <f ca="1">IF(OR($A709="S",$A709=0),0,MATCH(0,OFFSET($B709,1,$A709,ROW($A$1504)-ROW($A709)),0))</f>
        <v>0</v>
      </c>
      <c r="I709">
        <f ca="1">IF(OR($A709="S",$A709=0),0,MATCH(OFFSET($B709,0,$A709)+1,OFFSET($B709,1,$A709,ROW($A$1504)-ROW($A709)),0))</f>
        <v>0</v>
      </c>
      <c r="J709" s="132" t="s">
        <v>29</v>
      </c>
      <c r="K709" s="121" t="str">
        <f t="shared" ca="1" si="883"/>
        <v>9.4.2.</v>
      </c>
      <c r="L709" s="137" t="str">
        <f t="shared" ca="1" si="884"/>
        <v>Cotação</v>
      </c>
      <c r="M709" s="122" t="s">
        <v>78</v>
      </c>
      <c r="N709" s="139" t="s">
        <v>151</v>
      </c>
      <c r="O709" s="137" t="str">
        <f ca="1">IF(NOT(ISERROR($Y709)),IF($Y709&lt;&gt;FALSE,INDEX(Banco,$Y709,5),""),"")</f>
        <v xml:space="preserve">Administrador (Técnico de Apoio) </v>
      </c>
      <c r="P709" s="138" t="str">
        <f t="shared" ca="1" si="885"/>
        <v>Horas</v>
      </c>
      <c r="Q709" s="134">
        <v>8</v>
      </c>
      <c r="R709" s="124">
        <f t="shared" ca="1" si="886"/>
        <v>103.65</v>
      </c>
      <c r="S709" s="136" t="s">
        <v>62</v>
      </c>
      <c r="T709" s="123">
        <f t="shared" ca="1" si="887"/>
        <v>129.56</v>
      </c>
      <c r="U709" s="126">
        <f t="shared" ca="1" si="888"/>
        <v>1036.48</v>
      </c>
      <c r="V709" s="1"/>
      <c r="W709" s="39" t="str">
        <f ca="1">IF(OR($A709=0,$A709="S",$A709&gt;CFF!$A$9),"",MAX(W$11:OFFSET(W709,-1,0))+1)</f>
        <v/>
      </c>
      <c r="X709" s="4" t="str">
        <f t="shared" si="889"/>
        <v>Rec. Humanos-003</v>
      </c>
      <c r="Y709" s="39">
        <f t="shared" ca="1" si="890"/>
        <v>5</v>
      </c>
      <c r="Z709" s="1"/>
      <c r="AA709" s="133">
        <f>IF($J709=$G$2,ROUND(IF(ISNUMBER(S709),S709,IF(LEFT(S709,2)="DI",HLOOKUP(S709,DADOS!$T$29:$X$30,2,FALSE),0)),4),"")</f>
        <v>0.25</v>
      </c>
      <c r="AB709" s="2"/>
    </row>
    <row r="710" spans="1:28">
      <c r="A710" t="str">
        <f t="shared" si="876"/>
        <v>S</v>
      </c>
      <c r="B710">
        <f t="shared" si="877"/>
        <v>0</v>
      </c>
      <c r="C710">
        <f t="shared" ca="1" si="878"/>
        <v>9</v>
      </c>
      <c r="D710">
        <f t="shared" ca="1" si="879"/>
        <v>4</v>
      </c>
      <c r="E710">
        <f t="shared" ca="1" si="880"/>
        <v>0</v>
      </c>
      <c r="F710">
        <f t="shared" ca="1" si="881"/>
        <v>0</v>
      </c>
      <c r="G710">
        <f t="shared" ca="1" si="882"/>
        <v>3</v>
      </c>
      <c r="H710">
        <f ca="1">IF(OR($A710="S",$A710=0),0,MATCH(0,OFFSET($B710,1,$A710,ROW($A$1504)-ROW($A710)),0))</f>
        <v>0</v>
      </c>
      <c r="I710">
        <f ca="1">IF(OR($A710="S",$A710=0),0,MATCH(OFFSET($B710,0,$A710)+1,OFFSET($B710,1,$A710,ROW($A$1504)-ROW($A710)),0))</f>
        <v>0</v>
      </c>
      <c r="J710" s="132" t="s">
        <v>29</v>
      </c>
      <c r="K710" s="121" t="str">
        <f t="shared" ca="1" si="883"/>
        <v>9.4.3.</v>
      </c>
      <c r="L710" s="137" t="str">
        <f t="shared" ca="1" si="884"/>
        <v xml:space="preserve">Cotação </v>
      </c>
      <c r="M710" s="122" t="s">
        <v>80</v>
      </c>
      <c r="N710" s="139" t="s">
        <v>200</v>
      </c>
      <c r="O710" s="137" t="str">
        <f ca="1">IF(NOT(ISERROR($Y710)),IF($Y710&lt;&gt;FALSE,INDEX(Banco,$Y710,5),""),"")</f>
        <v>Manicure/pedicure (Curso completo)</v>
      </c>
      <c r="P710" s="138" t="str">
        <f t="shared" ca="1" si="885"/>
        <v>Vagas</v>
      </c>
      <c r="Q710" s="134">
        <v>26</v>
      </c>
      <c r="R710" s="124">
        <f t="shared" ca="1" si="886"/>
        <v>480</v>
      </c>
      <c r="S710" s="136" t="s">
        <v>62</v>
      </c>
      <c r="T710" s="123">
        <f t="shared" ca="1" si="887"/>
        <v>600</v>
      </c>
      <c r="U710" s="126">
        <f t="shared" ca="1" si="888"/>
        <v>15600</v>
      </c>
      <c r="V710" s="1"/>
      <c r="W710" s="39" t="str">
        <f ca="1">IF(OR($A710=0,$A710="S",$A710&gt;CFF!$A$9),"",MAX(W$11:OFFSET(W710,-1,0))+1)</f>
        <v/>
      </c>
      <c r="X710" s="4" t="str">
        <f t="shared" si="889"/>
        <v>Serv. Terc.-029</v>
      </c>
      <c r="Y710" s="39">
        <f t="shared" ca="1" si="890"/>
        <v>109</v>
      </c>
      <c r="Z710" s="1"/>
      <c r="AA710" s="133">
        <f>IF($J710=$G$2,ROUND(IF(ISNUMBER(S710),S710,IF(LEFT(S710,2)="DI",HLOOKUP(S710,DADOS!$T$29:$X$30,2,FALSE),0)),4),"")</f>
        <v>0.25</v>
      </c>
      <c r="AB710" s="2"/>
    </row>
    <row r="711" spans="1:28">
      <c r="A711" t="str">
        <f t="shared" si="876"/>
        <v>S</v>
      </c>
      <c r="B711">
        <f t="shared" si="877"/>
        <v>0</v>
      </c>
      <c r="C711">
        <f t="shared" ca="1" si="878"/>
        <v>9</v>
      </c>
      <c r="D711">
        <f t="shared" ca="1" si="879"/>
        <v>4</v>
      </c>
      <c r="E711">
        <f t="shared" ca="1" si="880"/>
        <v>0</v>
      </c>
      <c r="F711">
        <f t="shared" ca="1" si="881"/>
        <v>0</v>
      </c>
      <c r="G711">
        <f t="shared" ca="1" si="882"/>
        <v>4</v>
      </c>
      <c r="H711">
        <f ca="1">IF(OR($A711="S",$A711=0),0,MATCH(0,OFFSET($B711,1,$A711,ROW($A$1504)-ROW($A711)),0))</f>
        <v>0</v>
      </c>
      <c r="I711">
        <f ca="1">IF(OR($A711="S",$A711=0),0,MATCH(OFFSET($B711,0,$A711)+1,OFFSET($B711,1,$A711,ROW($A$1504)-ROW($A711)),0))</f>
        <v>0</v>
      </c>
      <c r="J711" s="132" t="s">
        <v>29</v>
      </c>
      <c r="K711" s="121" t="str">
        <f t="shared" ca="1" si="883"/>
        <v>9.4.4.</v>
      </c>
      <c r="L711" s="137" t="str">
        <f t="shared" ca="1" si="884"/>
        <v>Cotação</v>
      </c>
      <c r="M711" s="122" t="s">
        <v>80</v>
      </c>
      <c r="N711" s="139" t="s">
        <v>201</v>
      </c>
      <c r="O711" s="137" t="str">
        <f ca="1">IF(NOT(ISERROR($Y711)),IF($Y711&lt;&gt;FALSE,INDEX(Banco,$Y711,5),""),"")</f>
        <v xml:space="preserve">Coffe break (salgados) </v>
      </c>
      <c r="P711" s="138" t="str">
        <f t="shared" ca="1" si="885"/>
        <v>Centro</v>
      </c>
      <c r="Q711" s="134">
        <v>4</v>
      </c>
      <c r="R711" s="124">
        <f t="shared" ca="1" si="886"/>
        <v>65</v>
      </c>
      <c r="S711" s="136" t="s">
        <v>62</v>
      </c>
      <c r="T711" s="123">
        <f t="shared" ca="1" si="887"/>
        <v>81.25</v>
      </c>
      <c r="U711" s="126">
        <f t="shared" ca="1" si="888"/>
        <v>325</v>
      </c>
      <c r="V711" s="1"/>
      <c r="W711" s="39" t="str">
        <f ca="1">IF(OR($A711=0,$A711="S",$A711&gt;CFF!$A$9),"",MAX(W$11:OFFSET(W711,-1,0))+1)</f>
        <v/>
      </c>
      <c r="X711" s="4" t="str">
        <f t="shared" si="889"/>
        <v>Serv. Terc.-033</v>
      </c>
      <c r="Y711" s="39">
        <f t="shared" ca="1" si="890"/>
        <v>113</v>
      </c>
      <c r="Z711" s="1"/>
      <c r="AA711" s="133">
        <f>IF($J711=$G$2,ROUND(IF(ISNUMBER(S711),S711,IF(LEFT(S711,2)="DI",HLOOKUP(S711,DADOS!$T$29:$X$30,2,FALSE),0)),4),"")</f>
        <v>0.25</v>
      </c>
      <c r="AB711" s="2"/>
    </row>
    <row r="712" spans="1:28">
      <c r="A712" t="str">
        <f>CHOOSE(1+LOG(1+2*(J712=$C$2)+4*(J712=$D$2)+8*(J712=$E$2)+16*(J712=$F$2)+32*(J712=$G$2),2),0,1,2,3,4,"S")</f>
        <v>S</v>
      </c>
      <c r="B712">
        <f>IF(OR(A712="S",A712=0),0,IF(ISERROR(I712),H712,SMALL(H712:I712,1)))</f>
        <v>0</v>
      </c>
      <c r="C712">
        <f t="shared" ca="1" si="878"/>
        <v>9</v>
      </c>
      <c r="D712">
        <f t="shared" ca="1" si="879"/>
        <v>4</v>
      </c>
      <c r="E712">
        <f t="shared" ca="1" si="880"/>
        <v>0</v>
      </c>
      <c r="F712">
        <f t="shared" ca="1" si="881"/>
        <v>0</v>
      </c>
      <c r="G712">
        <f t="shared" ca="1" si="882"/>
        <v>5</v>
      </c>
      <c r="H712">
        <f ca="1">IF(OR($A712="S",$A712=0),0,MATCH(0,OFFSET($B712,1,$A712,ROW($A$1504)-ROW($A712)),0))</f>
        <v>0</v>
      </c>
      <c r="I712">
        <f ca="1">IF(OR($A712="S",$A712=0),0,MATCH(OFFSET($B712,0,$A712)+1,OFFSET($B712,1,$A712,ROW($A$1504)-ROW($A712)),0))</f>
        <v>0</v>
      </c>
      <c r="J712" s="132" t="s">
        <v>29</v>
      </c>
      <c r="K712" s="121" t="str">
        <f ca="1">IF($A712=0,"-",CONCATENATE(C712&amp;".",IF(AND($A$5&gt;=2,$A712&gt;=2),D712&amp;".",""),IF(AND($A$5&gt;=3,$A712&gt;=3),E712&amp;".",""),IF(AND($A$5&gt;=4,$A712&gt;=4),F712&amp;".",""),IF($A712="S",G712&amp;".","")))</f>
        <v>9.4.5.</v>
      </c>
      <c r="L712" s="137" t="str">
        <f t="shared" ca="1" si="884"/>
        <v>Cotação</v>
      </c>
      <c r="M712" s="122" t="s">
        <v>80</v>
      </c>
      <c r="N712" s="139" t="s">
        <v>171</v>
      </c>
      <c r="O712" s="137" t="str">
        <f ca="1">IF(NOT(ISERROR($Y712)),IF($Y712&lt;&gt;FALSE,INDEX(Banco,$Y712,5),""),"")</f>
        <v xml:space="preserve">Refrigerantes (02 litros) </v>
      </c>
      <c r="P712" s="138" t="str">
        <f t="shared" ca="1" si="885"/>
        <v>Unidade</v>
      </c>
      <c r="Q712" s="134">
        <v>8</v>
      </c>
      <c r="R712" s="124">
        <f t="shared" ca="1" si="886"/>
        <v>6</v>
      </c>
      <c r="S712" s="136" t="s">
        <v>62</v>
      </c>
      <c r="T712" s="123">
        <f t="shared" ca="1" si="887"/>
        <v>7.5</v>
      </c>
      <c r="U712" s="126">
        <f t="shared" ca="1" si="888"/>
        <v>60</v>
      </c>
      <c r="V712" s="1"/>
      <c r="W712" s="39" t="str">
        <f ca="1">IF(OR($A712=0,$A712="S",$A712&gt;CFF!$A$9),"",MAX(W$11:OFFSET(W712,-1,0))+1)</f>
        <v/>
      </c>
      <c r="X712" s="4" t="str">
        <f t="shared" si="889"/>
        <v>Serv. Terc.-027</v>
      </c>
      <c r="Y712" s="39">
        <f ca="1">IF(X712&lt;&gt;FALSE,MATCH(X712,OFFSET(Banco,0,0,,1),0))</f>
        <v>107</v>
      </c>
      <c r="Z712" s="1"/>
      <c r="AA712" s="133">
        <f>IF($J712=$G$2,ROUND(IF(ISNUMBER(S712),S712,IF(LEFT(S712,2)="DI",HLOOKUP(S712,DADOS!$T$29:$X$30,2,FALSE),0)),4),"")</f>
        <v>0.25</v>
      </c>
      <c r="AB712" s="2"/>
    </row>
    <row r="713" spans="1:28">
      <c r="A713">
        <f>CHOOSE(1+LOG(1+2*(J713=$C$2)+4*(J713=$D$2)+8*(J713=$E$2)+16*(J713=$F$2)+32*(J713=$G$2),2),0,1,2,3,4,"S")</f>
        <v>2</v>
      </c>
      <c r="B713">
        <f ca="1">IF(OR(A713="S",A713=0),0,IF(ISERROR(I713),H713,SMALL(H713:I713,1)))</f>
        <v>4</v>
      </c>
      <c r="C713">
        <f ca="1">IF($A713=1,OFFSET(C713,-1,0)+1,OFFSET(C713,-1,0))</f>
        <v>9</v>
      </c>
      <c r="D713">
        <f ca="1">IF($A713=1,0,IF($A713=2,OFFSET(D713,-1,0)+1,OFFSET(D713,-1,0)))</f>
        <v>5</v>
      </c>
      <c r="E713">
        <f ca="1">IF(AND($A713&lt;=2,$A713&lt;&gt;0),0,IF($A713=3,OFFSET(E713,-1,0)+1,OFFSET(E713,-1,0)))</f>
        <v>0</v>
      </c>
      <c r="F713">
        <f ca="1">IF(AND($A713&lt;=3,$A713&lt;&gt;0),0,IF($A713=4,OFFSET(F713,-1,0)+1,OFFSET(F713,-1,0)))</f>
        <v>0</v>
      </c>
      <c r="G713">
        <f ca="1">IF(AND($A713&lt;=4,$A713&lt;&gt;0),0,IF($A713="S",OFFSET(G713,-1,0)+1,OFFSET(G713,-1,0)))</f>
        <v>0</v>
      </c>
      <c r="H713">
        <f ca="1">IF(OR($A713="S",$A713=0),0,MATCH(0,OFFSET($B713,1,$A713,ROW($A$1504)-ROW($A713)),0))</f>
        <v>86</v>
      </c>
      <c r="I713">
        <f ca="1">IF(OR($A713="S",$A713=0),0,MATCH(OFFSET($B713,0,$A713)+1,OFFSET($B713,1,$A713,ROW($A$1504)-ROW($A713)),0))</f>
        <v>4</v>
      </c>
      <c r="J713" s="132" t="s">
        <v>68</v>
      </c>
      <c r="K713" s="121" t="str">
        <f ca="1">IF($A713=0,"-",CONCATENATE(C713&amp;".",IF(AND($A$5&gt;=2,$A713&gt;=2),D713&amp;".",""),IF(AND($A$5&gt;=3,$A713&gt;=3),E713&amp;".",""),IF(AND($A$5&gt;=4,$A713&gt;=4),F713&amp;".",""),IF($A713="S",G713&amp;".","")))</f>
        <v>9.5.</v>
      </c>
      <c r="L713" s="137" t="str">
        <f ca="1">IF(NOT(ISERROR($Y713)),IF($Y713&lt;&gt;FALSE,INDEX(Banco,$Y713,4),""),"")</f>
        <v/>
      </c>
      <c r="M713" s="122"/>
      <c r="N713" s="139"/>
      <c r="O713" s="137" t="s">
        <v>404</v>
      </c>
      <c r="P713" s="138" t="str">
        <f ca="1">IF(NOT(ISERROR($Y713)),IF($Y713&lt;&gt;FALSE,INDEX(Banco,$Y713,6),""),"")</f>
        <v/>
      </c>
      <c r="Q713" s="134"/>
      <c r="R713" s="124">
        <f ca="1">IF(NOT(ISERROR($Y713)),IF($Y713&lt;&gt;FALSE,INDEX(Banco,$Y713,7),0),0)</f>
        <v>0</v>
      </c>
      <c r="S713" s="136" t="s">
        <v>62</v>
      </c>
      <c r="T713" s="123">
        <f>IF($J713=$G$2,ROUND(ROUND($R713,2)*IF($R$9="Preço Unitário (R$)",1,1+$AA713),2),0)</f>
        <v>0</v>
      </c>
      <c r="U713" s="126">
        <f ca="1">IF($A713="S",VTOTAL1,IF($A713=0,0,ROUND(SomaAgrup,2)))</f>
        <v>4657.0200000000004</v>
      </c>
      <c r="V713" s="1"/>
      <c r="W713" s="39">
        <f ca="1">IF(OR($A713=0,$A713="S",$A713&gt;CFF!$A$9),"",MAX(W$11:OFFSET(W713,-1,0))+1)</f>
        <v>66</v>
      </c>
      <c r="X713" s="4" t="b">
        <f>IF(AND($J713=$G$2,$N713&lt;&gt;"",$M713&lt;&gt;""),CONCATENATE($M713,"-",$N713))</f>
        <v>0</v>
      </c>
      <c r="Y713" s="39" t="b">
        <f ca="1">IF(X713&lt;&gt;FALSE,MATCH(X713,OFFSET(Banco,0,0,,1),0))</f>
        <v>0</v>
      </c>
      <c r="Z713" s="1"/>
      <c r="AA713" s="133" t="str">
        <f>IF($J713=$G$2,ROUND(IF(ISNUMBER(S713),S713,IF(LEFT(S713,2)="DI",HLOOKUP(S713,DADOS!$T$29:$X$30,2,FALSE),0)),4),"")</f>
        <v/>
      </c>
      <c r="AB713" s="2"/>
    </row>
    <row r="714" spans="1:28">
      <c r="A714" t="str">
        <f t="shared" si="876"/>
        <v>S</v>
      </c>
      <c r="B714">
        <f t="shared" si="877"/>
        <v>0</v>
      </c>
      <c r="C714">
        <f t="shared" ref="C714:C731" ca="1" si="891">IF($A714=1,OFFSET(C714,-1,0)+1,OFFSET(C714,-1,0))</f>
        <v>9</v>
      </c>
      <c r="D714">
        <f t="shared" ref="D714:D731" ca="1" si="892">IF($A714=1,0,IF($A714=2,OFFSET(D714,-1,0)+1,OFFSET(D714,-1,0)))</f>
        <v>5</v>
      </c>
      <c r="E714">
        <f t="shared" ref="E714:E731" ca="1" si="893">IF(AND($A714&lt;=2,$A714&lt;&gt;0),0,IF($A714=3,OFFSET(E714,-1,0)+1,OFFSET(E714,-1,0)))</f>
        <v>0</v>
      </c>
      <c r="F714">
        <f t="shared" ref="F714:F731" ca="1" si="894">IF(AND($A714&lt;=3,$A714&lt;&gt;0),0,IF($A714=4,OFFSET(F714,-1,0)+1,OFFSET(F714,-1,0)))</f>
        <v>0</v>
      </c>
      <c r="G714">
        <f t="shared" ref="G714:G731" ca="1" si="895">IF(AND($A714&lt;=4,$A714&lt;&gt;0),0,IF($A714="S",OFFSET(G714,-1,0)+1,OFFSET(G714,-1,0)))</f>
        <v>1</v>
      </c>
      <c r="H714">
        <f ca="1">IF(OR($A714="S",$A714=0),0,MATCH(0,OFFSET($B714,1,$A714,ROW($A$1504)-ROW($A714)),0))</f>
        <v>0</v>
      </c>
      <c r="I714">
        <f ca="1">IF(OR($A714="S",$A714=0),0,MATCH(OFFSET($B714,0,$A714)+1,OFFSET($B714,1,$A714,ROW($A$1504)-ROW($A714)),0))</f>
        <v>0</v>
      </c>
      <c r="J714" s="132" t="s">
        <v>29</v>
      </c>
      <c r="K714" s="121" t="str">
        <f t="shared" ca="1" si="883"/>
        <v>9.5.1.</v>
      </c>
      <c r="L714" s="137" t="str">
        <f t="shared" ref="L714:L731" ca="1" si="896">IF(NOT(ISERROR($Y714)),IF($Y714&lt;&gt;FALSE,INDEX(Banco,$Y714,4),""),"")</f>
        <v>CRESS</v>
      </c>
      <c r="M714" s="122" t="s">
        <v>78</v>
      </c>
      <c r="N714" s="139" t="s">
        <v>149</v>
      </c>
      <c r="O714" s="137" t="str">
        <f t="shared" ref="O714:O715" ca="1" si="897">IF(NOT(ISERROR($Y714)),IF($Y714&lt;&gt;FALSE,INDEX(Banco,$Y714,5),""),"")</f>
        <v>Responsável Técnica</v>
      </c>
      <c r="P714" s="138" t="str">
        <f t="shared" ref="P714:P731" ca="1" si="898">IF(NOT(ISERROR($Y714)),IF($Y714&lt;&gt;FALSE,INDEX(Banco,$Y714,6),""),"")</f>
        <v>Horas</v>
      </c>
      <c r="Q714" s="134">
        <v>14</v>
      </c>
      <c r="R714" s="124">
        <f t="shared" ref="R714:R731" ca="1" si="899">IF(NOT(ISERROR($Y714)),IF($Y714&lt;&gt;FALSE,INDEX(Banco,$Y714,7),0),0)</f>
        <v>150.28</v>
      </c>
      <c r="S714" s="136" t="s">
        <v>62</v>
      </c>
      <c r="T714" s="123">
        <f t="shared" ref="T714:T731" ca="1" si="900">IF($J714=$G$2,ROUND(ROUND($R714,2)*IF($R$9="Preço Unitário (R$)",1,1+$AA714),2),0)</f>
        <v>187.85</v>
      </c>
      <c r="U714" s="126">
        <f t="shared" ref="U714:U731" ca="1" si="901">IF($A714="S",VTOTAL1,IF($A714=0,0,ROUND(SomaAgrup,2)))</f>
        <v>2629.9</v>
      </c>
      <c r="V714" s="1"/>
      <c r="W714" s="39" t="str">
        <f ca="1">IF(OR($A714=0,$A714="S",$A714&gt;CFF!$A$9),"",MAX(W$11:OFFSET(W714,-1,0))+1)</f>
        <v/>
      </c>
      <c r="X714" s="4" t="str">
        <f t="shared" ref="X714:X731" si="902">IF(AND($J714=$G$2,$N714&lt;&gt;"",$M714&lt;&gt;""),CONCATENATE($M714,"-",$N714))</f>
        <v>Rec. Humanos-001</v>
      </c>
      <c r="Y714" s="39">
        <f t="shared" ca="1" si="890"/>
        <v>3</v>
      </c>
      <c r="Z714" s="1"/>
      <c r="AA714" s="133">
        <f>IF($J714=$G$2,ROUND(IF(ISNUMBER(S714),S714,IF(LEFT(S714,2)="DI",HLOOKUP(S714,DADOS!$T$29:$X$30,2,FALSE),0)),4),"")</f>
        <v>0.25</v>
      </c>
      <c r="AB714" s="2"/>
    </row>
    <row r="715" spans="1:28">
      <c r="A715" t="str">
        <f t="shared" si="876"/>
        <v>S</v>
      </c>
      <c r="B715">
        <f t="shared" si="877"/>
        <v>0</v>
      </c>
      <c r="C715">
        <f t="shared" ca="1" si="891"/>
        <v>9</v>
      </c>
      <c r="D715">
        <f t="shared" ca="1" si="892"/>
        <v>5</v>
      </c>
      <c r="E715">
        <f t="shared" ca="1" si="893"/>
        <v>0</v>
      </c>
      <c r="F715">
        <f t="shared" ca="1" si="894"/>
        <v>0</v>
      </c>
      <c r="G715">
        <f t="shared" ca="1" si="895"/>
        <v>2</v>
      </c>
      <c r="H715">
        <f ca="1">IF(OR($A715="S",$A715=0),0,MATCH(0,OFFSET($B715,1,$A715,ROW($A$1504)-ROW($A715)),0))</f>
        <v>0</v>
      </c>
      <c r="I715">
        <f ca="1">IF(OR($A715="S",$A715=0),0,MATCH(OFFSET($B715,0,$A715)+1,OFFSET($B715,1,$A715,ROW($A$1504)-ROW($A715)),0))</f>
        <v>0</v>
      </c>
      <c r="J715" s="132" t="s">
        <v>29</v>
      </c>
      <c r="K715" s="121" t="str">
        <f t="shared" ca="1" si="883"/>
        <v>9.5.2.</v>
      </c>
      <c r="L715" s="137" t="str">
        <f t="shared" ca="1" si="896"/>
        <v>CRESS</v>
      </c>
      <c r="M715" s="122" t="s">
        <v>78</v>
      </c>
      <c r="N715" s="139" t="s">
        <v>152</v>
      </c>
      <c r="O715" s="137" t="str">
        <f t="shared" ca="1" si="897"/>
        <v>Assistente Social</v>
      </c>
      <c r="P715" s="138" t="str">
        <f t="shared" ca="1" si="898"/>
        <v>Horas</v>
      </c>
      <c r="Q715" s="134">
        <v>12</v>
      </c>
      <c r="R715" s="124">
        <f t="shared" ca="1" si="899"/>
        <v>133.81</v>
      </c>
      <c r="S715" s="136" t="s">
        <v>62</v>
      </c>
      <c r="T715" s="123">
        <f t="shared" ca="1" si="900"/>
        <v>167.26</v>
      </c>
      <c r="U715" s="126">
        <f t="shared" ca="1" si="901"/>
        <v>2007.12</v>
      </c>
      <c r="V715" s="1"/>
      <c r="W715" s="39" t="str">
        <f ca="1">IF(OR($A715=0,$A715="S",$A715&gt;CFF!$A$9),"",MAX(W$11:OFFSET(W715,-1,0))+1)</f>
        <v/>
      </c>
      <c r="X715" s="4" t="str">
        <f t="shared" si="902"/>
        <v>Rec. Humanos-002</v>
      </c>
      <c r="Y715" s="39">
        <f t="shared" ca="1" si="890"/>
        <v>4</v>
      </c>
      <c r="Z715" s="1"/>
      <c r="AA715" s="133">
        <f>IF($J715=$G$2,ROUND(IF(ISNUMBER(S715),S715,IF(LEFT(S715,2)="DI",HLOOKUP(S715,DADOS!$T$29:$X$30,2,FALSE),0)),4),"")</f>
        <v>0.25</v>
      </c>
      <c r="AB715" s="2"/>
    </row>
    <row r="716" spans="1:28">
      <c r="A716" t="str">
        <f>CHOOSE(1+LOG(1+2*(J716=$C$2)+4*(J716=$D$2)+8*(J716=$E$2)+16*(J716=$F$2)+32*(J716=$G$2),2),0,1,2,3,4,"S")</f>
        <v>S</v>
      </c>
      <c r="B716">
        <f>IF(OR(A716="S",A716=0),0,IF(ISERROR(I716),H716,SMALL(H716:I716,1)))</f>
        <v>0</v>
      </c>
      <c r="C716">
        <f ca="1">IF($A716=1,OFFSET(C716,-1,0)+1,OFFSET(C716,-1,0))</f>
        <v>9</v>
      </c>
      <c r="D716">
        <f ca="1">IF($A716=1,0,IF($A716=2,OFFSET(D716,-1,0)+1,OFFSET(D716,-1,0)))</f>
        <v>5</v>
      </c>
      <c r="E716">
        <f ca="1">IF(AND($A716&lt;=2,$A716&lt;&gt;0),0,IF($A716=3,OFFSET(E716,-1,0)+1,OFFSET(E716,-1,0)))</f>
        <v>0</v>
      </c>
      <c r="F716">
        <f ca="1">IF(AND($A716&lt;=3,$A716&lt;&gt;0),0,IF($A716=4,OFFSET(F716,-1,0)+1,OFFSET(F716,-1,0)))</f>
        <v>0</v>
      </c>
      <c r="G716">
        <f ca="1">IF(AND($A716&lt;=4,$A716&lt;&gt;0),0,IF($A716="S",OFFSET(G716,-1,0)+1,OFFSET(G716,-1,0)))</f>
        <v>3</v>
      </c>
      <c r="H716">
        <f ca="1">IF(OR($A716="S",$A716=0),0,MATCH(0,OFFSET($B716,1,$A716,ROW($A$1504)-ROW($A716)),0))</f>
        <v>0</v>
      </c>
      <c r="I716">
        <f ca="1">IF(OR($A716="S",$A716=0),0,MATCH(OFFSET($B716,0,$A716)+1,OFFSET($B716,1,$A716,ROW($A$1504)-ROW($A716)),0))</f>
        <v>0</v>
      </c>
      <c r="J716" s="132" t="s">
        <v>29</v>
      </c>
      <c r="K716" s="121" t="str">
        <f ca="1">IF($A716=0,"-",CONCATENATE(C716&amp;".",IF(AND($A$5&gt;=2,$A716&gt;=2),D716&amp;".",""),IF(AND($A$5&gt;=3,$A716&gt;=3),E716&amp;".",""),IF(AND($A$5&gt;=4,$A716&gt;=4),F716&amp;".",""),IF($A716="S",G716&amp;".","")))</f>
        <v>9.5.3.</v>
      </c>
      <c r="L716" s="137" t="str">
        <f ca="1">IF(NOT(ISERROR($Y716)),IF($Y716&lt;&gt;FALSE,INDEX(Banco,$Y716,4),""),"")</f>
        <v>Cotação</v>
      </c>
      <c r="M716" s="122" t="s">
        <v>80</v>
      </c>
      <c r="N716" s="139" t="s">
        <v>158</v>
      </c>
      <c r="O716" s="137" t="str">
        <f ca="1">IF(NOT(ISERROR($Y716)),IF($Y716&lt;&gt;FALSE,INDEX(Banco,$Y716,5),""),"")</f>
        <v>Água (garrafa de 1,5 litros)</v>
      </c>
      <c r="P716" s="138" t="str">
        <f ca="1">IF(NOT(ISERROR($Y716)),IF($Y716&lt;&gt;FALSE,INDEX(Banco,$Y716,6),""),"")</f>
        <v>Unidade</v>
      </c>
      <c r="Q716" s="134">
        <v>4</v>
      </c>
      <c r="R716" s="124">
        <f ca="1">IF(NOT(ISERROR($Y716)),IF($Y716&lt;&gt;FALSE,INDEX(Banco,$Y716,7),0),0)</f>
        <v>4</v>
      </c>
      <c r="S716" s="136" t="s">
        <v>62</v>
      </c>
      <c r="T716" s="123">
        <f ca="1">IF($J716=$G$2,ROUND(ROUND($R716,2)*IF($R$9="Preço Unitário (R$)",1,1+$AA716),2),0)</f>
        <v>5</v>
      </c>
      <c r="U716" s="126">
        <f ca="1">IF($A716="S",VTOTAL1,IF($A716=0,0,ROUND(SomaAgrup,2)))</f>
        <v>20</v>
      </c>
      <c r="V716" s="1"/>
      <c r="W716" s="39" t="str">
        <f ca="1">IF(OR($A716=0,$A716="S",$A716&gt;CFF!$A$9),"",MAX(W$11:OFFSET(W716,-1,0))+1)</f>
        <v/>
      </c>
      <c r="X716" s="4" t="str">
        <f>IF(AND($J716=$G$2,$N716&lt;&gt;"",$M716&lt;&gt;""),CONCATENATE($M716,"-",$N716))</f>
        <v>Serv. Terc.-009</v>
      </c>
      <c r="Y716" s="39">
        <f ca="1">IF(X716&lt;&gt;FALSE,MATCH(X716,OFFSET(Banco,0,0,,1),0))</f>
        <v>89</v>
      </c>
      <c r="Z716" s="1"/>
      <c r="AA716" s="133">
        <f>IF($J716=$G$2,ROUND(IF(ISNUMBER(S716),S716,IF(LEFT(S716,2)="DI",HLOOKUP(S716,DADOS!$T$29:$X$30,2,FALSE),0)),4),"")</f>
        <v>0.25</v>
      </c>
      <c r="AB716" s="2"/>
    </row>
    <row r="717" spans="1:28">
      <c r="A717">
        <f>CHOOSE(1+LOG(1+2*(J717=$C$2)+4*(J717=$D$2)+8*(J717=$E$2)+16*(J717=$F$2)+32*(J717=$G$2),2),0,1,2,3,4,"S")</f>
        <v>2</v>
      </c>
      <c r="B717">
        <f ca="1">IF(OR(A717="S",A717=0),0,IF(ISERROR(I717),H717,SMALL(H717:I717,1)))</f>
        <v>3</v>
      </c>
      <c r="C717">
        <f ca="1">IF($A717=1,OFFSET(C717,-1,0)+1,OFFSET(C717,-1,0))</f>
        <v>9</v>
      </c>
      <c r="D717">
        <f ca="1">IF($A717=1,0,IF($A717=2,OFFSET(D717,-1,0)+1,OFFSET(D717,-1,0)))</f>
        <v>6</v>
      </c>
      <c r="E717">
        <f ca="1">IF(AND($A717&lt;=2,$A717&lt;&gt;0),0,IF($A717=3,OFFSET(E717,-1,0)+1,OFFSET(E717,-1,0)))</f>
        <v>0</v>
      </c>
      <c r="F717">
        <f ca="1">IF(AND($A717&lt;=3,$A717&lt;&gt;0),0,IF($A717=4,OFFSET(F717,-1,0)+1,OFFSET(F717,-1,0)))</f>
        <v>0</v>
      </c>
      <c r="G717">
        <f ca="1">IF(AND($A717&lt;=4,$A717&lt;&gt;0),0,IF($A717="S",OFFSET(G717,-1,0)+1,OFFSET(G717,-1,0)))</f>
        <v>0</v>
      </c>
      <c r="H717">
        <f ca="1">IF(OR($A717="S",$A717=0),0,MATCH(0,OFFSET($B717,1,$A717,ROW($A$1504)-ROW($A717)),0))</f>
        <v>82</v>
      </c>
      <c r="I717">
        <f ca="1">IF(OR($A717="S",$A717=0),0,MATCH(OFFSET($B717,0,$A717)+1,OFFSET($B717,1,$A717,ROW($A$1504)-ROW($A717)),0))</f>
        <v>3</v>
      </c>
      <c r="J717" s="132" t="s">
        <v>68</v>
      </c>
      <c r="K717" s="121" t="str">
        <f ca="1">IF($A717=0,"-",CONCATENATE(C717&amp;".",IF(AND($A$5&gt;=2,$A717&gt;=2),D717&amp;".",""),IF(AND($A$5&gt;=3,$A717&gt;=3),E717&amp;".",""),IF(AND($A$5&gt;=4,$A717&gt;=4),F717&amp;".",""),IF($A717="S",G717&amp;".","")))</f>
        <v>9.6.</v>
      </c>
      <c r="L717" s="137" t="str">
        <f ca="1">IF(NOT(ISERROR($Y717)),IF($Y717&lt;&gt;FALSE,INDEX(Banco,$Y717,4),""),"")</f>
        <v/>
      </c>
      <c r="M717" s="122"/>
      <c r="N717" s="139"/>
      <c r="O717" s="137" t="s">
        <v>405</v>
      </c>
      <c r="P717" s="138" t="str">
        <f ca="1">IF(NOT(ISERROR($Y717)),IF($Y717&lt;&gt;FALSE,INDEX(Banco,$Y717,6),""),"")</f>
        <v/>
      </c>
      <c r="Q717" s="134"/>
      <c r="R717" s="124">
        <f ca="1">IF(NOT(ISERROR($Y717)),IF($Y717&lt;&gt;FALSE,INDEX(Banco,$Y717,7),0),0)</f>
        <v>0</v>
      </c>
      <c r="S717" s="136" t="s">
        <v>62</v>
      </c>
      <c r="T717" s="123">
        <f>IF($J717=$G$2,ROUND(ROUND($R717,2)*IF($R$9="Preço Unitário (R$)",1,1+$AA717),2),0)</f>
        <v>0</v>
      </c>
      <c r="U717" s="126">
        <f ca="1">IF($A717="S",VTOTAL1,IF($A717=0,0,ROUND(SomaAgrup,2)))</f>
        <v>3427.56</v>
      </c>
      <c r="V717" s="1"/>
      <c r="W717" s="39">
        <f ca="1">IF(OR($A717=0,$A717="S",$A717&gt;CFF!$A$9),"",MAX(W$11:OFFSET(W717,-1,0))+1)</f>
        <v>67</v>
      </c>
      <c r="X717" s="4" t="b">
        <f>IF(AND($J717=$G$2,$N717&lt;&gt;"",$M717&lt;&gt;""),CONCATENATE($M717,"-",$N717))</f>
        <v>0</v>
      </c>
      <c r="Y717" s="39" t="b">
        <f ca="1">IF(X717&lt;&gt;FALSE,MATCH(X717,OFFSET(Banco,0,0,,1),0))</f>
        <v>0</v>
      </c>
      <c r="Z717" s="1"/>
      <c r="AA717" s="133" t="str">
        <f>IF($J717=$G$2,ROUND(IF(ISNUMBER(S717),S717,IF(LEFT(S717,2)="DI",HLOOKUP(S717,DADOS!$T$29:$X$30,2,FALSE),0)),4),"")</f>
        <v/>
      </c>
      <c r="AB717" s="2"/>
    </row>
    <row r="718" spans="1:28">
      <c r="A718" t="str">
        <f t="shared" ref="A718:A719" si="903">CHOOSE(1+LOG(1+2*(J718=$C$2)+4*(J718=$D$2)+8*(J718=$E$2)+16*(J718=$F$2)+32*(J718=$G$2),2),0,1,2,3,4,"S")</f>
        <v>S</v>
      </c>
      <c r="B718">
        <f t="shared" ref="B718:B719" si="904">IF(OR(A718="S",A718=0),0,IF(ISERROR(I718),H718,SMALL(H718:I718,1)))</f>
        <v>0</v>
      </c>
      <c r="C718">
        <f t="shared" ref="C718:C719" ca="1" si="905">IF($A718=1,OFFSET(C718,-1,0)+1,OFFSET(C718,-1,0))</f>
        <v>9</v>
      </c>
      <c r="D718">
        <f t="shared" ref="D718:D719" ca="1" si="906">IF($A718=1,0,IF($A718=2,OFFSET(D718,-1,0)+1,OFFSET(D718,-1,0)))</f>
        <v>6</v>
      </c>
      <c r="E718">
        <f t="shared" ref="E718:E719" ca="1" si="907">IF(AND($A718&lt;=2,$A718&lt;&gt;0),0,IF($A718=3,OFFSET(E718,-1,0)+1,OFFSET(E718,-1,0)))</f>
        <v>0</v>
      </c>
      <c r="F718">
        <f t="shared" ref="F718:F719" ca="1" si="908">IF(AND($A718&lt;=3,$A718&lt;&gt;0),0,IF($A718=4,OFFSET(F718,-1,0)+1,OFFSET(F718,-1,0)))</f>
        <v>0</v>
      </c>
      <c r="G718">
        <f t="shared" ref="G718:G719" ca="1" si="909">IF(AND($A718&lt;=4,$A718&lt;&gt;0),0,IF($A718="S",OFFSET(G718,-1,0)+1,OFFSET(G718,-1,0)))</f>
        <v>1</v>
      </c>
      <c r="H718">
        <f ca="1">IF(OR($A718="S",$A718=0),0,MATCH(0,OFFSET($B718,1,$A718,ROW($A$1504)-ROW($A718)),0))</f>
        <v>0</v>
      </c>
      <c r="I718">
        <f ca="1">IF(OR($A718="S",$A718=0),0,MATCH(OFFSET($B718,0,$A718)+1,OFFSET($B718,1,$A718,ROW($A$1504)-ROW($A718)),0))</f>
        <v>0</v>
      </c>
      <c r="J718" s="132" t="s">
        <v>29</v>
      </c>
      <c r="K718" s="121" t="str">
        <f t="shared" ref="K718:K719" ca="1" si="910">IF($A718=0,"-",CONCATENATE(C718&amp;".",IF(AND($A$5&gt;=2,$A718&gt;=2),D718&amp;".",""),IF(AND($A$5&gt;=3,$A718&gt;=3),E718&amp;".",""),IF(AND($A$5&gt;=4,$A718&gt;=4),F718&amp;".",""),IF($A718="S",G718&amp;".","")))</f>
        <v>9.6.1.</v>
      </c>
      <c r="L718" s="137" t="str">
        <f t="shared" ref="L718:L719" ca="1" si="911">IF(NOT(ISERROR($Y718)),IF($Y718&lt;&gt;FALSE,INDEX(Banco,$Y718,4),""),"")</f>
        <v>CRESS</v>
      </c>
      <c r="M718" s="122" t="s">
        <v>78</v>
      </c>
      <c r="N718" s="139" t="s">
        <v>149</v>
      </c>
      <c r="O718" s="137" t="str">
        <f ca="1">IF(NOT(ISERROR($Y718)),IF($Y718&lt;&gt;FALSE,INDEX(Banco,$Y718,5),""),"")</f>
        <v>Responsável Técnica</v>
      </c>
      <c r="P718" s="138" t="str">
        <f t="shared" ref="P718:P719" ca="1" si="912">IF(NOT(ISERROR($Y718)),IF($Y718&lt;&gt;FALSE,INDEX(Banco,$Y718,6),""),"")</f>
        <v>Horas</v>
      </c>
      <c r="Q718" s="134">
        <v>4</v>
      </c>
      <c r="R718" s="124">
        <f t="shared" ref="R718:R719" ca="1" si="913">IF(NOT(ISERROR($Y718)),IF($Y718&lt;&gt;FALSE,INDEX(Banco,$Y718,7),0),0)</f>
        <v>150.28</v>
      </c>
      <c r="S718" s="136" t="s">
        <v>62</v>
      </c>
      <c r="T718" s="123">
        <f t="shared" ref="T718:T719" ca="1" si="914">IF($J718=$G$2,ROUND(ROUND($R718,2)*IF($R$9="Preço Unitário (R$)",1,1+$AA718),2),0)</f>
        <v>187.85</v>
      </c>
      <c r="U718" s="126">
        <f t="shared" ref="U718:U719" ca="1" si="915">IF($A718="S",VTOTAL1,IF($A718=0,0,ROUND(SomaAgrup,2)))</f>
        <v>751.4</v>
      </c>
      <c r="V718" s="1"/>
      <c r="W718" s="39" t="str">
        <f ca="1">IF(OR($A718=0,$A718="S",$A718&gt;CFF!$A$9),"",MAX(W$11:OFFSET(W718,-1,0))+1)</f>
        <v/>
      </c>
      <c r="X718" s="4" t="str">
        <f t="shared" ref="X718:X719" si="916">IF(AND($J718=$G$2,$N718&lt;&gt;"",$M718&lt;&gt;""),CONCATENATE($M718,"-",$N718))</f>
        <v>Rec. Humanos-001</v>
      </c>
      <c r="Y718" s="39">
        <f t="shared" ref="Y718:Y719" ca="1" si="917">IF(X718&lt;&gt;FALSE,MATCH(X718,OFFSET(Banco,0,0,,1),0))</f>
        <v>3</v>
      </c>
      <c r="Z718" s="1"/>
      <c r="AA718" s="133">
        <f>IF($J718=$G$2,ROUND(IF(ISNUMBER(S718),S718,IF(LEFT(S718,2)="DI",HLOOKUP(S718,DADOS!$T$29:$X$30,2,FALSE),0)),4),"")</f>
        <v>0.25</v>
      </c>
      <c r="AB718" s="2"/>
    </row>
    <row r="719" spans="1:28">
      <c r="A719" t="str">
        <f t="shared" si="903"/>
        <v>S</v>
      </c>
      <c r="B719">
        <f t="shared" si="904"/>
        <v>0</v>
      </c>
      <c r="C719">
        <f t="shared" ca="1" si="905"/>
        <v>9</v>
      </c>
      <c r="D719">
        <f t="shared" ca="1" si="906"/>
        <v>6</v>
      </c>
      <c r="E719">
        <f t="shared" ca="1" si="907"/>
        <v>0</v>
      </c>
      <c r="F719">
        <f t="shared" ca="1" si="908"/>
        <v>0</v>
      </c>
      <c r="G719">
        <f t="shared" ca="1" si="909"/>
        <v>2</v>
      </c>
      <c r="H719">
        <f ca="1">IF(OR($A719="S",$A719=0),0,MATCH(0,OFFSET($B719,1,$A719,ROW($A$1504)-ROW($A719)),0))</f>
        <v>0</v>
      </c>
      <c r="I719">
        <f ca="1">IF(OR($A719="S",$A719=0),0,MATCH(OFFSET($B719,0,$A719)+1,OFFSET($B719,1,$A719,ROW($A$1504)-ROW($A719)),0))</f>
        <v>0</v>
      </c>
      <c r="J719" s="132" t="s">
        <v>29</v>
      </c>
      <c r="K719" s="121" t="str">
        <f t="shared" ca="1" si="910"/>
        <v>9.6.2.</v>
      </c>
      <c r="L719" s="137" t="str">
        <f t="shared" ca="1" si="911"/>
        <v>CRESS</v>
      </c>
      <c r="M719" s="122" t="s">
        <v>78</v>
      </c>
      <c r="N719" s="139" t="s">
        <v>152</v>
      </c>
      <c r="O719" s="137" t="str">
        <f ca="1">IF(NOT(ISERROR($Y719)),IF($Y719&lt;&gt;FALSE,INDEX(Banco,$Y719,5),""),"")</f>
        <v>Assistente Social</v>
      </c>
      <c r="P719" s="138" t="str">
        <f t="shared" ca="1" si="912"/>
        <v>Horas</v>
      </c>
      <c r="Q719" s="134">
        <v>16</v>
      </c>
      <c r="R719" s="124">
        <f t="shared" ca="1" si="913"/>
        <v>133.81</v>
      </c>
      <c r="S719" s="136" t="s">
        <v>62</v>
      </c>
      <c r="T719" s="123">
        <f t="shared" ca="1" si="914"/>
        <v>167.26</v>
      </c>
      <c r="U719" s="126">
        <f t="shared" ca="1" si="915"/>
        <v>2676.16</v>
      </c>
      <c r="V719" s="1"/>
      <c r="W719" s="39" t="str">
        <f ca="1">IF(OR($A719=0,$A719="S",$A719&gt;CFF!$A$9),"",MAX(W$11:OFFSET(W719,-1,0))+1)</f>
        <v/>
      </c>
      <c r="X719" s="4" t="str">
        <f t="shared" si="916"/>
        <v>Rec. Humanos-002</v>
      </c>
      <c r="Y719" s="39">
        <f t="shared" ca="1" si="917"/>
        <v>4</v>
      </c>
      <c r="Z719" s="1"/>
      <c r="AA719" s="133">
        <f>IF($J719=$G$2,ROUND(IF(ISNUMBER(S719),S719,IF(LEFT(S719,2)="DI",HLOOKUP(S719,DADOS!$T$29:$X$30,2,FALSE),0)),4),"")</f>
        <v>0.25</v>
      </c>
      <c r="AB719" s="2"/>
    </row>
    <row r="720" spans="1:28" ht="25.5">
      <c r="A720">
        <f>CHOOSE(1+LOG(1+2*(J720=$C$2)+4*(J720=$D$2)+8*(J720=$E$2)+16*(J720=$F$2)+32*(J720=$G$2),2),0,1,2,3,4,"S")</f>
        <v>2</v>
      </c>
      <c r="B720">
        <f ca="1">IF(OR(A720="S",A720=0),0,IF(ISERROR(I720),H720,SMALL(H720:I720,1)))</f>
        <v>23</v>
      </c>
      <c r="C720">
        <f ca="1">IF($A720=1,OFFSET(C720,-1,0)+1,OFFSET(C720,-1,0))</f>
        <v>9</v>
      </c>
      <c r="D720">
        <f ca="1">IF($A720=1,0,IF($A720=2,OFFSET(D720,-1,0)+1,OFFSET(D720,-1,0)))</f>
        <v>7</v>
      </c>
      <c r="E720">
        <f ca="1">IF(AND($A720&lt;=2,$A720&lt;&gt;0),0,IF($A720=3,OFFSET(E720,-1,0)+1,OFFSET(E720,-1,0)))</f>
        <v>0</v>
      </c>
      <c r="F720">
        <f ca="1">IF(AND($A720&lt;=3,$A720&lt;&gt;0),0,IF($A720=4,OFFSET(F720,-1,0)+1,OFFSET(F720,-1,0)))</f>
        <v>0</v>
      </c>
      <c r="G720">
        <f ca="1">IF(AND($A720&lt;=4,$A720&lt;&gt;0),0,IF($A720="S",OFFSET(G720,-1,0)+1,OFFSET(G720,-1,0)))</f>
        <v>0</v>
      </c>
      <c r="H720">
        <f ca="1">IF(OR($A720="S",$A720=0),0,MATCH(0,OFFSET($B720,1,$A720,ROW($A$1504)-ROW($A720)),0))</f>
        <v>79</v>
      </c>
      <c r="I720">
        <f ca="1">IF(OR($A720="S",$A720=0),0,MATCH(OFFSET($B720,0,$A720)+1,OFFSET($B720,1,$A720,ROW($A$1504)-ROW($A720)),0))</f>
        <v>23</v>
      </c>
      <c r="J720" s="132" t="s">
        <v>68</v>
      </c>
      <c r="K720" s="121" t="str">
        <f ca="1">IF($A720=0,"-",CONCATENATE(C720&amp;".",IF(AND($A$5&gt;=2,$A720&gt;=2),D720&amp;".",""),IF(AND($A$5&gt;=3,$A720&gt;=3),E720&amp;".",""),IF(AND($A$5&gt;=4,$A720&gt;=4),F720&amp;".",""),IF($A720="S",G720&amp;".","")))</f>
        <v>9.7.</v>
      </c>
      <c r="L720" s="137" t="str">
        <f ca="1">IF(NOT(ISERROR($Y720)),IF($Y720&lt;&gt;FALSE,INDEX(Banco,$Y720,4),""),"")</f>
        <v/>
      </c>
      <c r="M720" s="122"/>
      <c r="N720" s="139"/>
      <c r="O720" s="137" t="s">
        <v>406</v>
      </c>
      <c r="P720" s="138" t="str">
        <f ca="1">IF(NOT(ISERROR($Y720)),IF($Y720&lt;&gt;FALSE,INDEX(Banco,$Y720,6),""),"")</f>
        <v/>
      </c>
      <c r="Q720" s="134"/>
      <c r="R720" s="124">
        <f ca="1">IF(NOT(ISERROR($Y720)),IF($Y720&lt;&gt;FALSE,INDEX(Banco,$Y720,7),0),0)</f>
        <v>0</v>
      </c>
      <c r="S720" s="136" t="s">
        <v>62</v>
      </c>
      <c r="T720" s="123">
        <f>IF($J720=$G$2,ROUND(ROUND($R720,2)*IF($R$9="Preço Unitário (R$)",1,1+$AA720),2),0)</f>
        <v>0</v>
      </c>
      <c r="U720" s="126">
        <f ca="1">IF($A720="S",VTOTAL1,IF($A720=0,0,ROUND(SomaAgrup,2)))</f>
        <v>10228.35</v>
      </c>
      <c r="V720" s="1"/>
      <c r="W720" s="39">
        <f ca="1">IF(OR($A720=0,$A720="S",$A720&gt;CFF!$A$9),"",MAX(W$11:OFFSET(W720,-1,0))+1)</f>
        <v>68</v>
      </c>
      <c r="X720" s="4" t="b">
        <f>IF(AND($J720=$G$2,$N720&lt;&gt;"",$M720&lt;&gt;""),CONCATENATE($M720,"-",$N720))</f>
        <v>0</v>
      </c>
      <c r="Y720" s="39" t="b">
        <f ca="1">IF(X720&lt;&gt;FALSE,MATCH(X720,OFFSET(Banco,0,0,,1),0))</f>
        <v>0</v>
      </c>
      <c r="Z720" s="1"/>
      <c r="AA720" s="133" t="str">
        <f>IF($J720=$G$2,ROUND(IF(ISNUMBER(S720),S720,IF(LEFT(S720,2)="DI",HLOOKUP(S720,DADOS!$T$29:$X$30,2,FALSE),0)),4),"")</f>
        <v/>
      </c>
      <c r="AB720" s="2"/>
    </row>
    <row r="721" spans="1:28">
      <c r="A721" t="str">
        <f t="shared" si="876"/>
        <v>S</v>
      </c>
      <c r="B721">
        <f t="shared" si="877"/>
        <v>0</v>
      </c>
      <c r="C721">
        <f t="shared" ca="1" si="891"/>
        <v>9</v>
      </c>
      <c r="D721">
        <f t="shared" ca="1" si="892"/>
        <v>7</v>
      </c>
      <c r="E721">
        <f t="shared" ca="1" si="893"/>
        <v>0</v>
      </c>
      <c r="F721">
        <f t="shared" ca="1" si="894"/>
        <v>0</v>
      </c>
      <c r="G721">
        <f t="shared" ca="1" si="895"/>
        <v>1</v>
      </c>
      <c r="H721">
        <f ca="1">IF(OR($A721="S",$A721=0),0,MATCH(0,OFFSET($B721,1,$A721,ROW($A$1504)-ROW($A721)),0))</f>
        <v>0</v>
      </c>
      <c r="I721">
        <f ca="1">IF(OR($A721="S",$A721=0),0,MATCH(OFFSET($B721,0,$A721)+1,OFFSET($B721,1,$A721,ROW($A$1504)-ROW($A721)),0))</f>
        <v>0</v>
      </c>
      <c r="J721" s="132" t="s">
        <v>29</v>
      </c>
      <c r="K721" s="121" t="str">
        <f t="shared" ca="1" si="883"/>
        <v>9.7.1.</v>
      </c>
      <c r="L721" s="137" t="str">
        <f t="shared" ca="1" si="896"/>
        <v>CRESS</v>
      </c>
      <c r="M721" s="122" t="s">
        <v>78</v>
      </c>
      <c r="N721" s="139" t="s">
        <v>149</v>
      </c>
      <c r="O721" s="137" t="str">
        <f t="shared" ref="O721:O729" ca="1" si="918">IF(NOT(ISERROR($Y721)),IF($Y721&lt;&gt;FALSE,INDEX(Banco,$Y721,5),""),"")</f>
        <v>Responsável Técnica</v>
      </c>
      <c r="P721" s="138" t="str">
        <f t="shared" ca="1" si="898"/>
        <v>Horas</v>
      </c>
      <c r="Q721" s="134">
        <v>8</v>
      </c>
      <c r="R721" s="124">
        <f t="shared" ca="1" si="899"/>
        <v>150.28</v>
      </c>
      <c r="S721" s="136" t="s">
        <v>62</v>
      </c>
      <c r="T721" s="123">
        <f t="shared" ca="1" si="900"/>
        <v>187.85</v>
      </c>
      <c r="U721" s="126">
        <f t="shared" ca="1" si="901"/>
        <v>1502.8</v>
      </c>
      <c r="V721" s="1"/>
      <c r="W721" s="39" t="str">
        <f ca="1">IF(OR($A721=0,$A721="S",$A721&gt;CFF!$A$9),"",MAX(W$11:OFFSET(W721,-1,0))+1)</f>
        <v/>
      </c>
      <c r="X721" s="4" t="str">
        <f t="shared" si="902"/>
        <v>Rec. Humanos-001</v>
      </c>
      <c r="Y721" s="39">
        <f t="shared" ca="1" si="890"/>
        <v>3</v>
      </c>
      <c r="Z721" s="1"/>
      <c r="AA721" s="133">
        <f>IF($J721=$G$2,ROUND(IF(ISNUMBER(S721),S721,IF(LEFT(S721,2)="DI",HLOOKUP(S721,DADOS!$T$29:$X$30,2,FALSE),0)),4),"")</f>
        <v>0.25</v>
      </c>
      <c r="AB721" s="2"/>
    </row>
    <row r="722" spans="1:28">
      <c r="A722" t="str">
        <f t="shared" si="876"/>
        <v>S</v>
      </c>
      <c r="B722">
        <f t="shared" si="877"/>
        <v>0</v>
      </c>
      <c r="C722">
        <f t="shared" ca="1" si="891"/>
        <v>9</v>
      </c>
      <c r="D722">
        <f t="shared" ca="1" si="892"/>
        <v>7</v>
      </c>
      <c r="E722">
        <f t="shared" ca="1" si="893"/>
        <v>0</v>
      </c>
      <c r="F722">
        <f t="shared" ca="1" si="894"/>
        <v>0</v>
      </c>
      <c r="G722">
        <f t="shared" ca="1" si="895"/>
        <v>2</v>
      </c>
      <c r="H722">
        <f ca="1">IF(OR($A722="S",$A722=0),0,MATCH(0,OFFSET($B722,1,$A722,ROW($A$1504)-ROW($A722)),0))</f>
        <v>0</v>
      </c>
      <c r="I722">
        <f ca="1">IF(OR($A722="S",$A722=0),0,MATCH(OFFSET($B722,0,$A722)+1,OFFSET($B722,1,$A722,ROW($A$1504)-ROW($A722)),0))</f>
        <v>0</v>
      </c>
      <c r="J722" s="132" t="s">
        <v>29</v>
      </c>
      <c r="K722" s="121" t="str">
        <f t="shared" ca="1" si="883"/>
        <v>9.7.2.</v>
      </c>
      <c r="L722" s="137" t="str">
        <f t="shared" ca="1" si="896"/>
        <v>CRESS</v>
      </c>
      <c r="M722" s="122" t="s">
        <v>78</v>
      </c>
      <c r="N722" s="139" t="s">
        <v>152</v>
      </c>
      <c r="O722" s="137" t="str">
        <f t="shared" ca="1" si="918"/>
        <v>Assistente Social</v>
      </c>
      <c r="P722" s="138" t="str">
        <f t="shared" ca="1" si="898"/>
        <v>Horas</v>
      </c>
      <c r="Q722" s="134">
        <v>4</v>
      </c>
      <c r="R722" s="124">
        <f t="shared" ca="1" si="899"/>
        <v>133.81</v>
      </c>
      <c r="S722" s="136" t="s">
        <v>62</v>
      </c>
      <c r="T722" s="123">
        <f t="shared" ca="1" si="900"/>
        <v>167.26</v>
      </c>
      <c r="U722" s="126">
        <f t="shared" ca="1" si="901"/>
        <v>669.04</v>
      </c>
      <c r="V722" s="1"/>
      <c r="W722" s="39" t="str">
        <f ca="1">IF(OR($A722=0,$A722="S",$A722&gt;CFF!$A$9),"",MAX(W$11:OFFSET(W722,-1,0))+1)</f>
        <v/>
      </c>
      <c r="X722" s="4" t="str">
        <f t="shared" si="902"/>
        <v>Rec. Humanos-002</v>
      </c>
      <c r="Y722" s="39">
        <f t="shared" ca="1" si="890"/>
        <v>4</v>
      </c>
      <c r="Z722" s="1"/>
      <c r="AA722" s="133">
        <f>IF($J722=$G$2,ROUND(IF(ISNUMBER(S722),S722,IF(LEFT(S722,2)="DI",HLOOKUP(S722,DADOS!$T$29:$X$30,2,FALSE),0)),4),"")</f>
        <v>0.25</v>
      </c>
      <c r="AB722" s="2"/>
    </row>
    <row r="723" spans="1:28">
      <c r="A723" t="str">
        <f t="shared" si="876"/>
        <v>S</v>
      </c>
      <c r="B723">
        <f t="shared" si="877"/>
        <v>0</v>
      </c>
      <c r="C723">
        <f t="shared" ca="1" si="891"/>
        <v>9</v>
      </c>
      <c r="D723">
        <f t="shared" ca="1" si="892"/>
        <v>7</v>
      </c>
      <c r="E723">
        <f t="shared" ca="1" si="893"/>
        <v>0</v>
      </c>
      <c r="F723">
        <f t="shared" ca="1" si="894"/>
        <v>0</v>
      </c>
      <c r="G723">
        <f t="shared" ca="1" si="895"/>
        <v>3</v>
      </c>
      <c r="H723">
        <f ca="1">IF(OR($A723="S",$A723=0),0,MATCH(0,OFFSET($B723,1,$A723,ROW($A$1504)-ROW($A723)),0))</f>
        <v>0</v>
      </c>
      <c r="I723">
        <f ca="1">IF(OR($A723="S",$A723=0),0,MATCH(OFFSET($B723,0,$A723)+1,OFFSET($B723,1,$A723,ROW($A$1504)-ROW($A723)),0))</f>
        <v>0</v>
      </c>
      <c r="J723" s="132" t="s">
        <v>29</v>
      </c>
      <c r="K723" s="121" t="str">
        <f t="shared" ca="1" si="883"/>
        <v>9.7.3.</v>
      </c>
      <c r="L723" s="137" t="str">
        <f t="shared" ca="1" si="896"/>
        <v>Cotação</v>
      </c>
      <c r="M723" s="122" t="s">
        <v>78</v>
      </c>
      <c r="N723" s="139" t="s">
        <v>151</v>
      </c>
      <c r="O723" s="137" t="str">
        <f t="shared" ca="1" si="918"/>
        <v xml:space="preserve">Administrador (Técnico de Apoio) </v>
      </c>
      <c r="P723" s="138" t="str">
        <f t="shared" ca="1" si="898"/>
        <v>Horas</v>
      </c>
      <c r="Q723" s="134">
        <v>4</v>
      </c>
      <c r="R723" s="124">
        <f t="shared" ca="1" si="899"/>
        <v>103.65</v>
      </c>
      <c r="S723" s="136" t="s">
        <v>62</v>
      </c>
      <c r="T723" s="123">
        <f t="shared" ca="1" si="900"/>
        <v>129.56</v>
      </c>
      <c r="U723" s="126">
        <f t="shared" ca="1" si="901"/>
        <v>518.24</v>
      </c>
      <c r="V723" s="1"/>
      <c r="W723" s="39" t="str">
        <f ca="1">IF(OR($A723=0,$A723="S",$A723&gt;CFF!$A$9),"",MAX(W$11:OFFSET(W723,-1,0))+1)</f>
        <v/>
      </c>
      <c r="X723" s="4" t="str">
        <f t="shared" si="902"/>
        <v>Rec. Humanos-003</v>
      </c>
      <c r="Y723" s="39">
        <f t="shared" ca="1" si="890"/>
        <v>5</v>
      </c>
      <c r="Z723" s="1"/>
      <c r="AA723" s="133">
        <f>IF($J723=$G$2,ROUND(IF(ISNUMBER(S723),S723,IF(LEFT(S723,2)="DI",HLOOKUP(S723,DADOS!$T$29:$X$30,2,FALSE),0)),4),"")</f>
        <v>0.25</v>
      </c>
      <c r="AB723" s="2"/>
    </row>
    <row r="724" spans="1:28">
      <c r="A724" t="str">
        <f t="shared" si="876"/>
        <v>S</v>
      </c>
      <c r="B724">
        <f t="shared" si="877"/>
        <v>0</v>
      </c>
      <c r="C724">
        <f t="shared" ca="1" si="891"/>
        <v>9</v>
      </c>
      <c r="D724">
        <f t="shared" ca="1" si="892"/>
        <v>7</v>
      </c>
      <c r="E724">
        <f t="shared" ca="1" si="893"/>
        <v>0</v>
      </c>
      <c r="F724">
        <f t="shared" ca="1" si="894"/>
        <v>0</v>
      </c>
      <c r="G724">
        <f t="shared" ca="1" si="895"/>
        <v>4</v>
      </c>
      <c r="H724">
        <f ca="1">IF(OR($A724="S",$A724=0),0,MATCH(0,OFFSET($B724,1,$A724,ROW($A$1504)-ROW($A724)),0))</f>
        <v>0</v>
      </c>
      <c r="I724">
        <f ca="1">IF(OR($A724="S",$A724=0),0,MATCH(OFFSET($B724,0,$A724)+1,OFFSET($B724,1,$A724,ROW($A$1504)-ROW($A724)),0))</f>
        <v>0</v>
      </c>
      <c r="J724" s="132" t="s">
        <v>29</v>
      </c>
      <c r="K724" s="121" t="str">
        <f t="shared" ca="1" si="883"/>
        <v>9.7.4.</v>
      </c>
      <c r="L724" s="137" t="str">
        <f t="shared" ca="1" si="896"/>
        <v>SINE</v>
      </c>
      <c r="M724" s="122" t="s">
        <v>78</v>
      </c>
      <c r="N724" s="139" t="s">
        <v>153</v>
      </c>
      <c r="O724" s="137" t="str">
        <f t="shared" ca="1" si="918"/>
        <v>Estagiários</v>
      </c>
      <c r="P724" s="138" t="str">
        <f t="shared" ca="1" si="898"/>
        <v>Horas</v>
      </c>
      <c r="Q724" s="134">
        <v>16</v>
      </c>
      <c r="R724" s="124">
        <f t="shared" ca="1" si="899"/>
        <v>9.7899999999999991</v>
      </c>
      <c r="S724" s="136" t="s">
        <v>62</v>
      </c>
      <c r="T724" s="123">
        <f t="shared" ca="1" si="900"/>
        <v>12.24</v>
      </c>
      <c r="U724" s="126">
        <f t="shared" ca="1" si="901"/>
        <v>195.84</v>
      </c>
      <c r="V724" s="1"/>
      <c r="W724" s="39" t="str">
        <f ca="1">IF(OR($A724=0,$A724="S",$A724&gt;CFF!$A$9),"",MAX(W$11:OFFSET(W724,-1,0))+1)</f>
        <v/>
      </c>
      <c r="X724" s="4" t="str">
        <f t="shared" si="902"/>
        <v>Rec. Humanos-004</v>
      </c>
      <c r="Y724" s="39">
        <f t="shared" ca="1" si="890"/>
        <v>6</v>
      </c>
      <c r="Z724" s="1"/>
      <c r="AA724" s="133">
        <f>IF($J724=$G$2,ROUND(IF(ISNUMBER(S724),S724,IF(LEFT(S724,2)="DI",HLOOKUP(S724,DADOS!$T$29:$X$30,2,FALSE),0)),4),"")</f>
        <v>0.25</v>
      </c>
      <c r="AB724" s="2"/>
    </row>
    <row r="725" spans="1:28">
      <c r="A725" t="str">
        <f t="shared" si="876"/>
        <v>S</v>
      </c>
      <c r="B725">
        <f t="shared" si="877"/>
        <v>0</v>
      </c>
      <c r="C725">
        <f t="shared" ca="1" si="891"/>
        <v>9</v>
      </c>
      <c r="D725">
        <f t="shared" ca="1" si="892"/>
        <v>7</v>
      </c>
      <c r="E725">
        <f t="shared" ca="1" si="893"/>
        <v>0</v>
      </c>
      <c r="F725">
        <f t="shared" ca="1" si="894"/>
        <v>0</v>
      </c>
      <c r="G725">
        <f t="shared" ca="1" si="895"/>
        <v>5</v>
      </c>
      <c r="H725">
        <f ca="1">IF(OR($A725="S",$A725=0),0,MATCH(0,OFFSET($B725,1,$A725,ROW($A$1504)-ROW($A725)),0))</f>
        <v>0</v>
      </c>
      <c r="I725">
        <f ca="1">IF(OR($A725="S",$A725=0),0,MATCH(OFFSET($B725,0,$A725)+1,OFFSET($B725,1,$A725,ROW($A$1504)-ROW($A725)),0))</f>
        <v>0</v>
      </c>
      <c r="J725" s="132" t="s">
        <v>29</v>
      </c>
      <c r="K725" s="121" t="str">
        <f t="shared" ca="1" si="883"/>
        <v>9.7.5.</v>
      </c>
      <c r="L725" s="137" t="str">
        <f t="shared" ca="1" si="896"/>
        <v>Cotação</v>
      </c>
      <c r="M725" s="122" t="s">
        <v>80</v>
      </c>
      <c r="N725" s="139" t="s">
        <v>149</v>
      </c>
      <c r="O725" s="137" t="str">
        <f t="shared" ca="1" si="918"/>
        <v>Fotocópias</v>
      </c>
      <c r="P725" s="138" t="str">
        <f t="shared" ca="1" si="898"/>
        <v>Unidade</v>
      </c>
      <c r="Q725" s="134">
        <v>300</v>
      </c>
      <c r="R725" s="124">
        <f t="shared" ca="1" si="899"/>
        <v>0.3</v>
      </c>
      <c r="S725" s="136" t="s">
        <v>62</v>
      </c>
      <c r="T725" s="123">
        <f t="shared" ca="1" si="900"/>
        <v>0.38</v>
      </c>
      <c r="U725" s="126">
        <f t="shared" ca="1" si="901"/>
        <v>114</v>
      </c>
      <c r="V725" s="1"/>
      <c r="W725" s="39" t="str">
        <f ca="1">IF(OR($A725=0,$A725="S",$A725&gt;CFF!$A$9),"",MAX(W$11:OFFSET(W725,-1,0))+1)</f>
        <v/>
      </c>
      <c r="X725" s="4" t="str">
        <f t="shared" si="902"/>
        <v>Serv. Terc.-001</v>
      </c>
      <c r="Y725" s="39">
        <f t="shared" ca="1" si="890"/>
        <v>81</v>
      </c>
      <c r="Z725" s="1"/>
      <c r="AA725" s="133">
        <f>IF($J725=$G$2,ROUND(IF(ISNUMBER(S725),S725,IF(LEFT(S725,2)="DI",HLOOKUP(S725,DADOS!$T$29:$X$30,2,FALSE),0)),4),"")</f>
        <v>0.25</v>
      </c>
      <c r="AB725" s="2"/>
    </row>
    <row r="726" spans="1:28">
      <c r="A726" t="str">
        <f>CHOOSE(1+LOG(1+2*(J726=$C$2)+4*(J726=$D$2)+8*(J726=$E$2)+16*(J726=$F$2)+32*(J726=$G$2),2),0,1,2,3,4,"S")</f>
        <v>S</v>
      </c>
      <c r="B726">
        <f>IF(OR(A726="S",A726=0),0,IF(ISERROR(I726),H726,SMALL(H726:I726,1)))</f>
        <v>0</v>
      </c>
      <c r="C726">
        <f ca="1">IF($A726=1,OFFSET(C726,-1,0)+1,OFFSET(C726,-1,0))</f>
        <v>9</v>
      </c>
      <c r="D726">
        <f ca="1">IF($A726=1,0,IF($A726=2,OFFSET(D726,-1,0)+1,OFFSET(D726,-1,0)))</f>
        <v>7</v>
      </c>
      <c r="E726">
        <f ca="1">IF(AND($A726&lt;=2,$A726&lt;&gt;0),0,IF($A726=3,OFFSET(E726,-1,0)+1,OFFSET(E726,-1,0)))</f>
        <v>0</v>
      </c>
      <c r="F726">
        <f ca="1">IF(AND($A726&lt;=3,$A726&lt;&gt;0),0,IF($A726=4,OFFSET(F726,-1,0)+1,OFFSET(F726,-1,0)))</f>
        <v>0</v>
      </c>
      <c r="G726">
        <f ca="1">IF(AND($A726&lt;=4,$A726&lt;&gt;0),0,IF($A726="S",OFFSET(G726,-1,0)+1,OFFSET(G726,-1,0)))</f>
        <v>6</v>
      </c>
      <c r="H726">
        <f ca="1">IF(OR($A726="S",$A726=0),0,MATCH(0,OFFSET($B726,1,$A726,ROW($A$1504)-ROW($A726)),0))</f>
        <v>0</v>
      </c>
      <c r="I726">
        <f ca="1">IF(OR($A726="S",$A726=0),0,MATCH(OFFSET($B726,0,$A726)+1,OFFSET($B726,1,$A726,ROW($A$1504)-ROW($A726)),0))</f>
        <v>0</v>
      </c>
      <c r="J726" s="132" t="s">
        <v>29</v>
      </c>
      <c r="K726" s="121" t="str">
        <f ca="1">IF($A726=0,"-",CONCATENATE(C726&amp;".",IF(AND($A$5&gt;=2,$A726&gt;=2),D726&amp;".",""),IF(AND($A$5&gt;=3,$A726&gt;=3),E726&amp;".",""),IF(AND($A$5&gt;=4,$A726&gt;=4),F726&amp;".",""),IF($A726="S",G726&amp;".","")))</f>
        <v>9.7.6.</v>
      </c>
      <c r="L726" s="137" t="str">
        <f ca="1">IF(NOT(ISERROR($Y726)),IF($Y726&lt;&gt;FALSE,INDEX(Banco,$Y726,4),""),"")</f>
        <v>Cotação</v>
      </c>
      <c r="M726" s="122" t="s">
        <v>80</v>
      </c>
      <c r="N726" s="139" t="s">
        <v>256</v>
      </c>
      <c r="O726" s="137" t="str">
        <f ca="1">IF(NOT(ISERROR($Y726)),IF($Y726&lt;&gt;FALSE,INDEX(Banco,$Y726,5),""),"")</f>
        <v>Instrutor/Monitor (Educação Fisíca)</v>
      </c>
      <c r="P726" s="138" t="str">
        <f ca="1">IF(NOT(ISERROR($Y726)),IF($Y726&lt;&gt;FALSE,INDEX(Banco,$Y726,6),""),"")</f>
        <v>Horas</v>
      </c>
      <c r="Q726" s="134">
        <v>3</v>
      </c>
      <c r="R726" s="124">
        <f ca="1">IF(NOT(ISERROR($Y726)),IF($Y726&lt;&gt;FALSE,INDEX(Banco,$Y726,7),0),0)</f>
        <v>100</v>
      </c>
      <c r="S726" s="136" t="s">
        <v>62</v>
      </c>
      <c r="T726" s="123">
        <f ca="1">IF($J726=$G$2,ROUND(ROUND($R726,2)*IF($R$9="Preço Unitário (R$)",1,1+$AA726),2),0)</f>
        <v>125</v>
      </c>
      <c r="U726" s="126">
        <f ca="1">IF($A726="S",VTOTAL1,IF($A726=0,0,ROUND(SomaAgrup,2)))</f>
        <v>375</v>
      </c>
      <c r="V726" s="1"/>
      <c r="W726" s="39" t="str">
        <f ca="1">IF(OR($A726=0,$A726="S",$A726&gt;CFF!$A$9),"",MAX(W$11:OFFSET(W726,-1,0))+1)</f>
        <v/>
      </c>
      <c r="X726" s="4" t="str">
        <f>IF(AND($J726=$G$2,$N726&lt;&gt;"",$M726&lt;&gt;""),CONCATENATE($M726,"-",$N726))</f>
        <v>Serv. Terc.-017</v>
      </c>
      <c r="Y726" s="39">
        <f ca="1">IF(X726&lt;&gt;FALSE,MATCH(X726,OFFSET(Banco,0,0,,1),0))</f>
        <v>97</v>
      </c>
      <c r="Z726" s="1"/>
      <c r="AA726" s="133">
        <f>IF($J726=$G$2,ROUND(IF(ISNUMBER(S726),S726,IF(LEFT(S726,2)="DI",HLOOKUP(S726,DADOS!$T$29:$X$30,2,FALSE),0)),4),"")</f>
        <v>0.25</v>
      </c>
      <c r="AB726" s="2"/>
    </row>
    <row r="727" spans="1:28">
      <c r="A727" t="str">
        <f t="shared" si="876"/>
        <v>S</v>
      </c>
      <c r="B727">
        <f t="shared" si="877"/>
        <v>0</v>
      </c>
      <c r="C727">
        <f t="shared" ca="1" si="891"/>
        <v>9</v>
      </c>
      <c r="D727">
        <f t="shared" ca="1" si="892"/>
        <v>7</v>
      </c>
      <c r="E727">
        <f t="shared" ca="1" si="893"/>
        <v>0</v>
      </c>
      <c r="F727">
        <f t="shared" ca="1" si="894"/>
        <v>0</v>
      </c>
      <c r="G727">
        <f t="shared" ca="1" si="895"/>
        <v>7</v>
      </c>
      <c r="H727">
        <f ca="1">IF(OR($A727="S",$A727=0),0,MATCH(0,OFFSET($B727,1,$A727,ROW($A$1504)-ROW($A727)),0))</f>
        <v>0</v>
      </c>
      <c r="I727">
        <f ca="1">IF(OR($A727="S",$A727=0),0,MATCH(OFFSET($B727,0,$A727)+1,OFFSET($B727,1,$A727,ROW($A$1504)-ROW($A727)),0))</f>
        <v>0</v>
      </c>
      <c r="J727" s="132" t="s">
        <v>29</v>
      </c>
      <c r="K727" s="121" t="str">
        <f t="shared" ca="1" si="883"/>
        <v>9.7.7.</v>
      </c>
      <c r="L727" s="137" t="str">
        <f t="shared" ca="1" si="896"/>
        <v>Cotação</v>
      </c>
      <c r="M727" s="122" t="s">
        <v>80</v>
      </c>
      <c r="N727" s="139" t="s">
        <v>152</v>
      </c>
      <c r="O727" s="137" t="str">
        <f t="shared" ca="1" si="918"/>
        <v>Carro de som com gravação de vinheta</v>
      </c>
      <c r="P727" s="138" t="str">
        <f t="shared" ca="1" si="898"/>
        <v>Horas</v>
      </c>
      <c r="Q727" s="134">
        <v>3</v>
      </c>
      <c r="R727" s="124">
        <f t="shared" ca="1" si="899"/>
        <v>200</v>
      </c>
      <c r="S727" s="136" t="s">
        <v>62</v>
      </c>
      <c r="T727" s="123">
        <f t="shared" ca="1" si="900"/>
        <v>250</v>
      </c>
      <c r="U727" s="126">
        <f t="shared" ca="1" si="901"/>
        <v>750</v>
      </c>
      <c r="V727" s="1"/>
      <c r="W727" s="39" t="str">
        <f ca="1">IF(OR($A727=0,$A727="S",$A727&gt;CFF!$A$9),"",MAX(W$11:OFFSET(W727,-1,0))+1)</f>
        <v/>
      </c>
      <c r="X727" s="4" t="str">
        <f t="shared" si="902"/>
        <v>Serv. Terc.-002</v>
      </c>
      <c r="Y727" s="39">
        <f t="shared" ca="1" si="890"/>
        <v>82</v>
      </c>
      <c r="Z727" s="1"/>
      <c r="AA727" s="133">
        <f>IF($J727=$G$2,ROUND(IF(ISNUMBER(S727),S727,IF(LEFT(S727,2)="DI",HLOOKUP(S727,DADOS!$T$29:$X$30,2,FALSE),0)),4),"")</f>
        <v>0.25</v>
      </c>
      <c r="AB727" s="2"/>
    </row>
    <row r="728" spans="1:28">
      <c r="A728" t="str">
        <f t="shared" si="876"/>
        <v>S</v>
      </c>
      <c r="B728">
        <f t="shared" si="877"/>
        <v>0</v>
      </c>
      <c r="C728">
        <f t="shared" ca="1" si="891"/>
        <v>9</v>
      </c>
      <c r="D728">
        <f t="shared" ca="1" si="892"/>
        <v>7</v>
      </c>
      <c r="E728">
        <f t="shared" ca="1" si="893"/>
        <v>0</v>
      </c>
      <c r="F728">
        <f t="shared" ca="1" si="894"/>
        <v>0</v>
      </c>
      <c r="G728">
        <f t="shared" ca="1" si="895"/>
        <v>8</v>
      </c>
      <c r="H728">
        <f ca="1">IF(OR($A728="S",$A728=0),0,MATCH(0,OFFSET($B728,1,$A728,ROW($A$1504)-ROW($A728)),0))</f>
        <v>0</v>
      </c>
      <c r="I728">
        <f ca="1">IF(OR($A728="S",$A728=0),0,MATCH(OFFSET($B728,0,$A728)+1,OFFSET($B728,1,$A728,ROW($A$1504)-ROW($A728)),0))</f>
        <v>0</v>
      </c>
      <c r="J728" s="132" t="s">
        <v>29</v>
      </c>
      <c r="K728" s="121" t="str">
        <f t="shared" ca="1" si="883"/>
        <v>9.7.8.</v>
      </c>
      <c r="L728" s="137" t="str">
        <f t="shared" ca="1" si="896"/>
        <v>Cotação</v>
      </c>
      <c r="M728" s="122" t="s">
        <v>80</v>
      </c>
      <c r="N728" s="139" t="s">
        <v>151</v>
      </c>
      <c r="O728" s="137" t="str">
        <f t="shared" ca="1" si="918"/>
        <v>Locação de mesas</v>
      </c>
      <c r="P728" s="138" t="str">
        <f t="shared" ca="1" si="898"/>
        <v>Unidade</v>
      </c>
      <c r="Q728" s="134">
        <v>20</v>
      </c>
      <c r="R728" s="124">
        <f t="shared" ca="1" si="899"/>
        <v>3</v>
      </c>
      <c r="S728" s="136" t="s">
        <v>62</v>
      </c>
      <c r="T728" s="123">
        <f t="shared" ca="1" si="900"/>
        <v>3.75</v>
      </c>
      <c r="U728" s="126">
        <f t="shared" ca="1" si="901"/>
        <v>75</v>
      </c>
      <c r="V728" s="1"/>
      <c r="W728" s="39" t="str">
        <f ca="1">IF(OR($A728=0,$A728="S",$A728&gt;CFF!$A$9),"",MAX(W$11:OFFSET(W728,-1,0))+1)</f>
        <v/>
      </c>
      <c r="X728" s="4" t="str">
        <f t="shared" si="902"/>
        <v>Serv. Terc.-003</v>
      </c>
      <c r="Y728" s="39">
        <f t="shared" ca="1" si="890"/>
        <v>83</v>
      </c>
      <c r="Z728" s="1"/>
      <c r="AA728" s="133">
        <f>IF($J728=$G$2,ROUND(IF(ISNUMBER(S728),S728,IF(LEFT(S728,2)="DI",HLOOKUP(S728,DADOS!$T$29:$X$30,2,FALSE),0)),4),"")</f>
        <v>0.25</v>
      </c>
      <c r="AB728" s="2"/>
    </row>
    <row r="729" spans="1:28">
      <c r="A729" t="str">
        <f t="shared" si="876"/>
        <v>S</v>
      </c>
      <c r="B729">
        <f t="shared" si="877"/>
        <v>0</v>
      </c>
      <c r="C729">
        <f t="shared" ca="1" si="891"/>
        <v>9</v>
      </c>
      <c r="D729">
        <f t="shared" ca="1" si="892"/>
        <v>7</v>
      </c>
      <c r="E729">
        <f t="shared" ca="1" si="893"/>
        <v>0</v>
      </c>
      <c r="F729">
        <f t="shared" ca="1" si="894"/>
        <v>0</v>
      </c>
      <c r="G729">
        <f t="shared" ca="1" si="895"/>
        <v>9</v>
      </c>
      <c r="H729">
        <f ca="1">IF(OR($A729="S",$A729=0),0,MATCH(0,OFFSET($B729,1,$A729,ROW($A$1504)-ROW($A729)),0))</f>
        <v>0</v>
      </c>
      <c r="I729">
        <f ca="1">IF(OR($A729="S",$A729=0),0,MATCH(OFFSET($B729,0,$A729)+1,OFFSET($B729,1,$A729,ROW($A$1504)-ROW($A729)),0))</f>
        <v>0</v>
      </c>
      <c r="J729" s="132" t="s">
        <v>29</v>
      </c>
      <c r="K729" s="121" t="str">
        <f t="shared" ca="1" si="883"/>
        <v>9.7.9.</v>
      </c>
      <c r="L729" s="137" t="str">
        <f t="shared" ca="1" si="896"/>
        <v>Cotação</v>
      </c>
      <c r="M729" s="122" t="s">
        <v>80</v>
      </c>
      <c r="N729" s="139" t="s">
        <v>153</v>
      </c>
      <c r="O729" s="137" t="str">
        <f t="shared" ca="1" si="918"/>
        <v>Locação de cadeiras</v>
      </c>
      <c r="P729" s="138" t="str">
        <f t="shared" ca="1" si="898"/>
        <v>Unidade</v>
      </c>
      <c r="Q729" s="134">
        <v>400</v>
      </c>
      <c r="R729" s="124">
        <f t="shared" ca="1" si="899"/>
        <v>2</v>
      </c>
      <c r="S729" s="136" t="s">
        <v>62</v>
      </c>
      <c r="T729" s="123">
        <f t="shared" ca="1" si="900"/>
        <v>2.5</v>
      </c>
      <c r="U729" s="126">
        <f t="shared" ca="1" si="901"/>
        <v>1000</v>
      </c>
      <c r="V729" s="1"/>
      <c r="W729" s="39" t="str">
        <f ca="1">IF(OR($A729=0,$A729="S",$A729&gt;CFF!$A$9),"",MAX(W$11:OFFSET(W729,-1,0))+1)</f>
        <v/>
      </c>
      <c r="X729" s="4" t="str">
        <f t="shared" si="902"/>
        <v>Serv. Terc.-004</v>
      </c>
      <c r="Y729" s="39">
        <f t="shared" ca="1" si="890"/>
        <v>84</v>
      </c>
      <c r="Z729" s="1"/>
      <c r="AA729" s="133">
        <f>IF($J729=$G$2,ROUND(IF(ISNUMBER(S729),S729,IF(LEFT(S729,2)="DI",HLOOKUP(S729,DADOS!$T$29:$X$30,2,FALSE),0)),4),"")</f>
        <v>0.25</v>
      </c>
      <c r="AB729" s="2"/>
    </row>
    <row r="730" spans="1:28">
      <c r="A730" t="str">
        <f t="shared" si="876"/>
        <v>S</v>
      </c>
      <c r="B730">
        <f t="shared" si="877"/>
        <v>0</v>
      </c>
      <c r="C730">
        <f t="shared" ca="1" si="891"/>
        <v>9</v>
      </c>
      <c r="D730">
        <f t="shared" ca="1" si="892"/>
        <v>7</v>
      </c>
      <c r="E730">
        <f t="shared" ca="1" si="893"/>
        <v>0</v>
      </c>
      <c r="F730">
        <f t="shared" ca="1" si="894"/>
        <v>0</v>
      </c>
      <c r="G730">
        <f t="shared" ca="1" si="895"/>
        <v>10</v>
      </c>
      <c r="H730">
        <f ca="1">IF(OR($A730="S",$A730=0),0,MATCH(0,OFFSET($B730,1,$A730,ROW($A$1504)-ROW($A730)),0))</f>
        <v>0</v>
      </c>
      <c r="I730">
        <f ca="1">IF(OR($A730="S",$A730=0),0,MATCH(OFFSET($B730,0,$A730)+1,OFFSET($B730,1,$A730,ROW($A$1504)-ROW($A730)),0))</f>
        <v>0</v>
      </c>
      <c r="J730" s="132" t="s">
        <v>29</v>
      </c>
      <c r="K730" s="121" t="str">
        <f t="shared" ca="1" si="883"/>
        <v>9.7.10.</v>
      </c>
      <c r="L730" s="137" t="str">
        <f t="shared" ca="1" si="896"/>
        <v>Cotação</v>
      </c>
      <c r="M730" s="122" t="s">
        <v>80</v>
      </c>
      <c r="N730" s="139" t="s">
        <v>154</v>
      </c>
      <c r="O730" s="137" t="str">
        <f ca="1">IF(NOT(ISERROR($Y730)),IF($Y730&lt;&gt;FALSE,INDEX(Banco,$Y730,5),""),"")</f>
        <v>Locação de caixa térmica</v>
      </c>
      <c r="P730" s="138" t="str">
        <f t="shared" ca="1" si="898"/>
        <v>Unidade</v>
      </c>
      <c r="Q730" s="134">
        <v>2</v>
      </c>
      <c r="R730" s="124">
        <f t="shared" ca="1" si="899"/>
        <v>40</v>
      </c>
      <c r="S730" s="136" t="s">
        <v>62</v>
      </c>
      <c r="T730" s="123">
        <f t="shared" ca="1" si="900"/>
        <v>50</v>
      </c>
      <c r="U730" s="126">
        <f t="shared" ca="1" si="901"/>
        <v>100</v>
      </c>
      <c r="V730" s="1"/>
      <c r="W730" s="39" t="str">
        <f ca="1">IF(OR($A730=0,$A730="S",$A730&gt;CFF!$A$9),"",MAX(W$11:OFFSET(W730,-1,0))+1)</f>
        <v/>
      </c>
      <c r="X730" s="4" t="str">
        <f t="shared" si="902"/>
        <v>Serv. Terc.-005</v>
      </c>
      <c r="Y730" s="39">
        <f t="shared" ca="1" si="890"/>
        <v>85</v>
      </c>
      <c r="Z730" s="1"/>
      <c r="AA730" s="133">
        <f>IF($J730=$G$2,ROUND(IF(ISNUMBER(S730),S730,IF(LEFT(S730,2)="DI",HLOOKUP(S730,DADOS!$T$29:$X$30,2,FALSE),0)),4),"")</f>
        <v>0.25</v>
      </c>
      <c r="AB730" s="2"/>
    </row>
    <row r="731" spans="1:28">
      <c r="A731" t="str">
        <f t="shared" si="876"/>
        <v>S</v>
      </c>
      <c r="B731">
        <f t="shared" si="877"/>
        <v>0</v>
      </c>
      <c r="C731">
        <f t="shared" ca="1" si="891"/>
        <v>9</v>
      </c>
      <c r="D731">
        <f t="shared" ca="1" si="892"/>
        <v>7</v>
      </c>
      <c r="E731">
        <f t="shared" ca="1" si="893"/>
        <v>0</v>
      </c>
      <c r="F731">
        <f t="shared" ca="1" si="894"/>
        <v>0</v>
      </c>
      <c r="G731">
        <f t="shared" ca="1" si="895"/>
        <v>11</v>
      </c>
      <c r="H731">
        <f ca="1">IF(OR($A731="S",$A731=0),0,MATCH(0,OFFSET($B731,1,$A731,ROW($A$1504)-ROW($A731)),0))</f>
        <v>0</v>
      </c>
      <c r="I731">
        <f ca="1">IF(OR($A731="S",$A731=0),0,MATCH(OFFSET($B731,0,$A731)+1,OFFSET($B731,1,$A731,ROW($A$1504)-ROW($A731)),0))</f>
        <v>0</v>
      </c>
      <c r="J731" s="132" t="s">
        <v>29</v>
      </c>
      <c r="K731" s="121" t="str">
        <f t="shared" ca="1" si="883"/>
        <v>9.7.11.</v>
      </c>
      <c r="L731" s="137" t="str">
        <f t="shared" ca="1" si="896"/>
        <v>Cotação</v>
      </c>
      <c r="M731" s="122" t="s">
        <v>80</v>
      </c>
      <c r="N731" s="139" t="s">
        <v>155</v>
      </c>
      <c r="O731" s="137" t="str">
        <f ca="1">IF(NOT(ISERROR($Y731)),IF($Y731&lt;&gt;FALSE,INDEX(Banco,$Y731,5),""),"")</f>
        <v>Locação de tendas</v>
      </c>
      <c r="P731" s="138" t="str">
        <f t="shared" ca="1" si="898"/>
        <v>Unidade</v>
      </c>
      <c r="Q731" s="134">
        <v>3</v>
      </c>
      <c r="R731" s="124">
        <f t="shared" ca="1" si="899"/>
        <v>250</v>
      </c>
      <c r="S731" s="136" t="s">
        <v>62</v>
      </c>
      <c r="T731" s="123">
        <f t="shared" ca="1" si="900"/>
        <v>312.5</v>
      </c>
      <c r="U731" s="126">
        <f t="shared" ca="1" si="901"/>
        <v>937.5</v>
      </c>
      <c r="V731" s="1"/>
      <c r="W731" s="39" t="str">
        <f ca="1">IF(OR($A731=0,$A731="S",$A731&gt;CFF!$A$9),"",MAX(W$11:OFFSET(W731,-1,0))+1)</f>
        <v/>
      </c>
      <c r="X731" s="4" t="str">
        <f t="shared" si="902"/>
        <v>Serv. Terc.-006</v>
      </c>
      <c r="Y731" s="39">
        <f t="shared" ca="1" si="890"/>
        <v>86</v>
      </c>
      <c r="Z731" s="1"/>
      <c r="AA731" s="133">
        <f>IF($J731=$G$2,ROUND(IF(ISNUMBER(S731),S731,IF(LEFT(S731,2)="DI",HLOOKUP(S731,DADOS!$T$29:$X$30,2,FALSE),0)),4),"")</f>
        <v>0.25</v>
      </c>
      <c r="AB731" s="2"/>
    </row>
    <row r="732" spans="1:28">
      <c r="A732" t="str">
        <f t="shared" ref="A732:A738" si="919">CHOOSE(1+LOG(1+2*(J732=$C$2)+4*(J732=$D$2)+8*(J732=$E$2)+16*(J732=$F$2)+32*(J732=$G$2),2),0,1,2,3,4,"S")</f>
        <v>S</v>
      </c>
      <c r="B732">
        <f t="shared" ref="B732:B738" si="920">IF(OR(A732="S",A732=0),0,IF(ISERROR(I732),H732,SMALL(H732:I732,1)))</f>
        <v>0</v>
      </c>
      <c r="C732">
        <f t="shared" ref="C732:C738" ca="1" si="921">IF($A732=1,OFFSET(C732,-1,0)+1,OFFSET(C732,-1,0))</f>
        <v>9</v>
      </c>
      <c r="D732">
        <f t="shared" ref="D732:D738" ca="1" si="922">IF($A732=1,0,IF($A732=2,OFFSET(D732,-1,0)+1,OFFSET(D732,-1,0)))</f>
        <v>7</v>
      </c>
      <c r="E732">
        <f t="shared" ref="E732:E738" ca="1" si="923">IF(AND($A732&lt;=2,$A732&lt;&gt;0),0,IF($A732=3,OFFSET(E732,-1,0)+1,OFFSET(E732,-1,0)))</f>
        <v>0</v>
      </c>
      <c r="F732">
        <f t="shared" ref="F732:F738" ca="1" si="924">IF(AND($A732&lt;=3,$A732&lt;&gt;0),0,IF($A732=4,OFFSET(F732,-1,0)+1,OFFSET(F732,-1,0)))</f>
        <v>0</v>
      </c>
      <c r="G732">
        <f t="shared" ref="G732:G738" ca="1" si="925">IF(AND($A732&lt;=4,$A732&lt;&gt;0),0,IF($A732="S",OFFSET(G732,-1,0)+1,OFFSET(G732,-1,0)))</f>
        <v>12</v>
      </c>
      <c r="H732">
        <f ca="1">IF(OR($A732="S",$A732=0),0,MATCH(0,OFFSET($B732,1,$A732,ROW($A$1504)-ROW($A732)),0))</f>
        <v>0</v>
      </c>
      <c r="I732">
        <f ca="1">IF(OR($A732="S",$A732=0),0,MATCH(OFFSET($B732,0,$A732)+1,OFFSET($B732,1,$A732,ROW($A$1504)-ROW($A732)),0))</f>
        <v>0</v>
      </c>
      <c r="J732" s="132" t="s">
        <v>29</v>
      </c>
      <c r="K732" s="121" t="str">
        <f t="shared" ref="K732:K738" ca="1" si="926">IF($A732=0,"-",CONCATENATE(C732&amp;".",IF(AND($A$5&gt;=2,$A732&gt;=2),D732&amp;".",""),IF(AND($A$5&gt;=3,$A732&gt;=3),E732&amp;".",""),IF(AND($A$5&gt;=4,$A732&gt;=4),F732&amp;".",""),IF($A732="S",G732&amp;".","")))</f>
        <v>9.7.12.</v>
      </c>
      <c r="L732" s="137" t="str">
        <f t="shared" ref="L732:L738" ca="1" si="927">IF(NOT(ISERROR($Y732)),IF($Y732&lt;&gt;FALSE,INDEX(Banco,$Y732,4),""),"")</f>
        <v>Cotação</v>
      </c>
      <c r="M732" s="122" t="s">
        <v>80</v>
      </c>
      <c r="N732" s="139" t="s">
        <v>157</v>
      </c>
      <c r="O732" s="137" t="str">
        <f t="shared" ref="O732:O738" ca="1" si="928">IF(NOT(ISERROR($Y732)),IF($Y732&lt;&gt;FALSE,INDEX(Banco,$Y732,5),""),"")</f>
        <v>Locação de pula-pula com monitor</v>
      </c>
      <c r="P732" s="138" t="str">
        <f t="shared" ref="P732:P738" ca="1" si="929">IF(NOT(ISERROR($Y732)),IF($Y732&lt;&gt;FALSE,INDEX(Banco,$Y732,6),""),"")</f>
        <v>Unidade</v>
      </c>
      <c r="Q732" s="134">
        <v>2</v>
      </c>
      <c r="R732" s="124">
        <f t="shared" ref="R732:R738" ca="1" si="930">IF(NOT(ISERROR($Y732)),IF($Y732&lt;&gt;FALSE,INDEX(Banco,$Y732,7),0),0)</f>
        <v>220</v>
      </c>
      <c r="S732" s="136" t="s">
        <v>62</v>
      </c>
      <c r="T732" s="123">
        <f t="shared" ref="T732:T738" ca="1" si="931">IF($J732=$G$2,ROUND(ROUND($R732,2)*IF($R$9="Preço Unitário (R$)",1,1+$AA732),2),0)</f>
        <v>275</v>
      </c>
      <c r="U732" s="126">
        <f t="shared" ref="U732:U738" ca="1" si="932">IF($A732="S",VTOTAL1,IF($A732=0,0,ROUND(SomaAgrup,2)))</f>
        <v>550</v>
      </c>
      <c r="V732" s="1"/>
      <c r="W732" s="39" t="str">
        <f ca="1">IF(OR($A732=0,$A732="S",$A732&gt;CFF!$A$9),"",MAX(W$11:OFFSET(W732,-1,0))+1)</f>
        <v/>
      </c>
      <c r="X732" s="4" t="str">
        <f t="shared" ref="X732:X738" si="933">IF(AND($J732=$G$2,$N732&lt;&gt;"",$M732&lt;&gt;""),CONCATENATE($M732,"-",$N732))</f>
        <v>Serv. Terc.-008</v>
      </c>
      <c r="Y732" s="39">
        <f t="shared" ref="Y732:Y738" ca="1" si="934">IF(X732&lt;&gt;FALSE,MATCH(X732,OFFSET(Banco,0,0,,1),0))</f>
        <v>88</v>
      </c>
      <c r="Z732" s="1"/>
      <c r="AA732" s="133">
        <f>IF($J732=$G$2,ROUND(IF(ISNUMBER(S732),S732,IF(LEFT(S732,2)="DI",HLOOKUP(S732,DADOS!$T$29:$X$30,2,FALSE),0)),4),"")</f>
        <v>0.25</v>
      </c>
      <c r="AB732" s="2"/>
    </row>
    <row r="733" spans="1:28">
      <c r="A733" t="str">
        <f t="shared" si="919"/>
        <v>S</v>
      </c>
      <c r="B733">
        <f t="shared" si="920"/>
        <v>0</v>
      </c>
      <c r="C733">
        <f t="shared" ca="1" si="921"/>
        <v>9</v>
      </c>
      <c r="D733">
        <f t="shared" ca="1" si="922"/>
        <v>7</v>
      </c>
      <c r="E733">
        <f t="shared" ca="1" si="923"/>
        <v>0</v>
      </c>
      <c r="F733">
        <f t="shared" ca="1" si="924"/>
        <v>0</v>
      </c>
      <c r="G733">
        <f t="shared" ca="1" si="925"/>
        <v>13</v>
      </c>
      <c r="H733">
        <f ca="1">IF(OR($A733="S",$A733=0),0,MATCH(0,OFFSET($B733,1,$A733,ROW($A$1504)-ROW($A733)),0))</f>
        <v>0</v>
      </c>
      <c r="I733">
        <f ca="1">IF(OR($A733="S",$A733=0),0,MATCH(OFFSET($B733,0,$A733)+1,OFFSET($B733,1,$A733,ROW($A$1504)-ROW($A733)),0))</f>
        <v>0</v>
      </c>
      <c r="J733" s="132" t="s">
        <v>29</v>
      </c>
      <c r="K733" s="121" t="str">
        <f t="shared" ca="1" si="926"/>
        <v>9.7.13.</v>
      </c>
      <c r="L733" s="137" t="str">
        <f t="shared" ca="1" si="927"/>
        <v>Cotação</v>
      </c>
      <c r="M733" s="122" t="s">
        <v>80</v>
      </c>
      <c r="N733" s="139" t="s">
        <v>161</v>
      </c>
      <c r="O733" s="137" t="str">
        <f t="shared" ca="1" si="928"/>
        <v>Água (garrafão de 20 litros)</v>
      </c>
      <c r="P733" s="138" t="str">
        <f t="shared" ca="1" si="929"/>
        <v>Unidade</v>
      </c>
      <c r="Q733" s="134">
        <v>2</v>
      </c>
      <c r="R733" s="124">
        <f t="shared" ca="1" si="930"/>
        <v>10</v>
      </c>
      <c r="S733" s="136" t="s">
        <v>62</v>
      </c>
      <c r="T733" s="123">
        <f t="shared" ca="1" si="931"/>
        <v>12.5</v>
      </c>
      <c r="U733" s="126">
        <f t="shared" ca="1" si="932"/>
        <v>25</v>
      </c>
      <c r="V733" s="1"/>
      <c r="W733" s="39" t="str">
        <f ca="1">IF(OR($A733=0,$A733="S",$A733&gt;CFF!$A$9),"",MAX(W$11:OFFSET(W733,-1,0))+1)</f>
        <v/>
      </c>
      <c r="X733" s="4" t="str">
        <f t="shared" si="933"/>
        <v>Serv. Terc.-012</v>
      </c>
      <c r="Y733" s="39">
        <f t="shared" ca="1" si="934"/>
        <v>92</v>
      </c>
      <c r="Z733" s="1"/>
      <c r="AA733" s="133">
        <f>IF($J733=$G$2,ROUND(IF(ISNUMBER(S733),S733,IF(LEFT(S733,2)="DI",HLOOKUP(S733,DADOS!$T$29:$X$30,2,FALSE),0)),4),"")</f>
        <v>0.25</v>
      </c>
      <c r="AB733" s="2"/>
    </row>
    <row r="734" spans="1:28">
      <c r="A734" t="str">
        <f t="shared" si="919"/>
        <v>S</v>
      </c>
      <c r="B734">
        <f t="shared" si="920"/>
        <v>0</v>
      </c>
      <c r="C734">
        <f t="shared" ca="1" si="921"/>
        <v>9</v>
      </c>
      <c r="D734">
        <f t="shared" ca="1" si="922"/>
        <v>7</v>
      </c>
      <c r="E734">
        <f t="shared" ca="1" si="923"/>
        <v>0</v>
      </c>
      <c r="F734">
        <f t="shared" ca="1" si="924"/>
        <v>0</v>
      </c>
      <c r="G734">
        <f t="shared" ca="1" si="925"/>
        <v>14</v>
      </c>
      <c r="H734">
        <f ca="1">IF(OR($A734="S",$A734=0),0,MATCH(0,OFFSET($B734,1,$A734,ROW($A$1504)-ROW($A734)),0))</f>
        <v>0</v>
      </c>
      <c r="I734">
        <f ca="1">IF(OR($A734="S",$A734=0),0,MATCH(OFFSET($B734,0,$A734)+1,OFFSET($B734,1,$A734,ROW($A$1504)-ROW($A734)),0))</f>
        <v>0</v>
      </c>
      <c r="J734" s="132" t="s">
        <v>29</v>
      </c>
      <c r="K734" s="121" t="str">
        <f t="shared" ca="1" si="926"/>
        <v>9.7.14.</v>
      </c>
      <c r="L734" s="137" t="str">
        <f t="shared" ca="1" si="927"/>
        <v xml:space="preserve">Cotação </v>
      </c>
      <c r="M734" s="122" t="s">
        <v>80</v>
      </c>
      <c r="N734" s="139" t="s">
        <v>160</v>
      </c>
      <c r="O734" s="137" t="str">
        <f t="shared" ca="1" si="928"/>
        <v>Barra de gelo</v>
      </c>
      <c r="P734" s="138" t="str">
        <f t="shared" ca="1" si="929"/>
        <v>Unidade</v>
      </c>
      <c r="Q734" s="134">
        <v>4</v>
      </c>
      <c r="R734" s="124">
        <f t="shared" ca="1" si="930"/>
        <v>12</v>
      </c>
      <c r="S734" s="136" t="s">
        <v>62</v>
      </c>
      <c r="T734" s="123">
        <f t="shared" ca="1" si="931"/>
        <v>15</v>
      </c>
      <c r="U734" s="126">
        <f t="shared" ca="1" si="932"/>
        <v>60</v>
      </c>
      <c r="V734" s="1"/>
      <c r="W734" s="39" t="str">
        <f ca="1">IF(OR($A734=0,$A734="S",$A734&gt;CFF!$A$9),"",MAX(W$11:OFFSET(W734,-1,0))+1)</f>
        <v/>
      </c>
      <c r="X734" s="4" t="str">
        <f t="shared" si="933"/>
        <v>Serv. Terc.-011</v>
      </c>
      <c r="Y734" s="39">
        <f t="shared" ca="1" si="934"/>
        <v>91</v>
      </c>
      <c r="Z734" s="1"/>
      <c r="AA734" s="133">
        <f>IF($J734=$G$2,ROUND(IF(ISNUMBER(S734),S734,IF(LEFT(S734,2)="DI",HLOOKUP(S734,DADOS!$T$29:$X$30,2,FALSE),0)),4),"")</f>
        <v>0.25</v>
      </c>
      <c r="AB734" s="2"/>
    </row>
    <row r="735" spans="1:28">
      <c r="A735" t="str">
        <f t="shared" si="919"/>
        <v>S</v>
      </c>
      <c r="B735">
        <f t="shared" si="920"/>
        <v>0</v>
      </c>
      <c r="C735">
        <f t="shared" ca="1" si="921"/>
        <v>9</v>
      </c>
      <c r="D735">
        <f t="shared" ca="1" si="922"/>
        <v>7</v>
      </c>
      <c r="E735">
        <f t="shared" ca="1" si="923"/>
        <v>0</v>
      </c>
      <c r="F735">
        <f t="shared" ca="1" si="924"/>
        <v>0</v>
      </c>
      <c r="G735">
        <f t="shared" ca="1" si="925"/>
        <v>15</v>
      </c>
      <c r="H735">
        <f ca="1">IF(OR($A735="S",$A735=0),0,MATCH(0,OFFSET($B735,1,$A735,ROW($A$1504)-ROW($A735)),0))</f>
        <v>0</v>
      </c>
      <c r="I735">
        <f ca="1">IF(OR($A735="S",$A735=0),0,MATCH(OFFSET($B735,0,$A735)+1,OFFSET($B735,1,$A735,ROW($A$1504)-ROW($A735)),0))</f>
        <v>0</v>
      </c>
      <c r="J735" s="132" t="s">
        <v>29</v>
      </c>
      <c r="K735" s="121" t="str">
        <f t="shared" ca="1" si="926"/>
        <v>9.7.15.</v>
      </c>
      <c r="L735" s="137" t="str">
        <f t="shared" ca="1" si="927"/>
        <v>Cotação</v>
      </c>
      <c r="M735" s="122" t="s">
        <v>80</v>
      </c>
      <c r="N735" s="139" t="s">
        <v>150</v>
      </c>
      <c r="O735" s="137" t="str">
        <f t="shared" ca="1" si="928"/>
        <v>Sucos</v>
      </c>
      <c r="P735" s="138" t="str">
        <f t="shared" ca="1" si="929"/>
        <v>Unidade</v>
      </c>
      <c r="Q735" s="134">
        <v>12</v>
      </c>
      <c r="R735" s="124">
        <f t="shared" ca="1" si="930"/>
        <v>6.4</v>
      </c>
      <c r="S735" s="136" t="s">
        <v>62</v>
      </c>
      <c r="T735" s="123">
        <f t="shared" ca="1" si="931"/>
        <v>8</v>
      </c>
      <c r="U735" s="126">
        <f t="shared" ca="1" si="932"/>
        <v>96</v>
      </c>
      <c r="V735" s="1"/>
      <c r="W735" s="39" t="str">
        <f ca="1">IF(OR($A735=0,$A735="S",$A735&gt;CFF!$A$9),"",MAX(W$11:OFFSET(W735,-1,0))+1)</f>
        <v/>
      </c>
      <c r="X735" s="4" t="str">
        <f t="shared" si="933"/>
        <v>Serv. Terc.-013</v>
      </c>
      <c r="Y735" s="39">
        <f t="shared" ca="1" si="934"/>
        <v>93</v>
      </c>
      <c r="Z735" s="1"/>
      <c r="AA735" s="133">
        <f>IF($J735=$G$2,ROUND(IF(ISNUMBER(S735),S735,IF(LEFT(S735,2)="DI",HLOOKUP(S735,DADOS!$T$29:$X$30,2,FALSE),0)),4),"")</f>
        <v>0.25</v>
      </c>
      <c r="AB735" s="2"/>
    </row>
    <row r="736" spans="1:28">
      <c r="A736" t="str">
        <f>CHOOSE(1+LOG(1+2*(J736=$C$2)+4*(J736=$D$2)+8*(J736=$E$2)+16*(J736=$F$2)+32*(J736=$G$2),2),0,1,2,3,4,"S")</f>
        <v>S</v>
      </c>
      <c r="B736">
        <f>IF(OR(A736="S",A736=0),0,IF(ISERROR(I736),H736,SMALL(H736:I736,1)))</f>
        <v>0</v>
      </c>
      <c r="C736">
        <f ca="1">IF($A736=1,OFFSET(C736,-1,0)+1,OFFSET(C736,-1,0))</f>
        <v>9</v>
      </c>
      <c r="D736">
        <f ca="1">IF($A736=1,0,IF($A736=2,OFFSET(D736,-1,0)+1,OFFSET(D736,-1,0)))</f>
        <v>7</v>
      </c>
      <c r="E736">
        <f ca="1">IF(AND($A736&lt;=2,$A736&lt;&gt;0),0,IF($A736=3,OFFSET(E736,-1,0)+1,OFFSET(E736,-1,0)))</f>
        <v>0</v>
      </c>
      <c r="F736">
        <f ca="1">IF(AND($A736&lt;=3,$A736&lt;&gt;0),0,IF($A736=4,OFFSET(F736,-1,0)+1,OFFSET(F736,-1,0)))</f>
        <v>0</v>
      </c>
      <c r="G736">
        <f ca="1">IF(AND($A736&lt;=4,$A736&lt;&gt;0),0,IF($A736="S",OFFSET(G736,-1,0)+1,OFFSET(G736,-1,0)))</f>
        <v>16</v>
      </c>
      <c r="H736">
        <f ca="1">IF(OR($A736="S",$A736=0),0,MATCH(0,OFFSET($B736,1,$A736,ROW($A$1504)-ROW($A736)),0))</f>
        <v>0</v>
      </c>
      <c r="I736">
        <f ca="1">IF(OR($A736="S",$A736=0),0,MATCH(OFFSET($B736,0,$A736)+1,OFFSET($B736,1,$A736,ROW($A$1504)-ROW($A736)),0))</f>
        <v>0</v>
      </c>
      <c r="J736" s="132" t="s">
        <v>29</v>
      </c>
      <c r="K736" s="121" t="str">
        <f ca="1">IF($A736=0,"-",CONCATENATE(C736&amp;".",IF(AND($A$5&gt;=2,$A736&gt;=2),D736&amp;".",""),IF(AND($A$5&gt;=3,$A736&gt;=3),E736&amp;".",""),IF(AND($A$5&gt;=4,$A736&gt;=4),F736&amp;".",""),IF($A736="S",G736&amp;".","")))</f>
        <v>9.7.16.</v>
      </c>
      <c r="L736" s="137" t="str">
        <f ca="1">IF(NOT(ISERROR($Y736)),IF($Y736&lt;&gt;FALSE,INDEX(Banco,$Y736,4),""),"")</f>
        <v>Cotação</v>
      </c>
      <c r="M736" s="122" t="s">
        <v>80</v>
      </c>
      <c r="N736" s="139" t="s">
        <v>171</v>
      </c>
      <c r="O736" s="137" t="str">
        <f ca="1">IF(NOT(ISERROR($Y736)),IF($Y736&lt;&gt;FALSE,INDEX(Banco,$Y736,5),""),"")</f>
        <v xml:space="preserve">Refrigerantes (02 litros) </v>
      </c>
      <c r="P736" s="138" t="str">
        <f ca="1">IF(NOT(ISERROR($Y736)),IF($Y736&lt;&gt;FALSE,INDEX(Banco,$Y736,6),""),"")</f>
        <v>Unidade</v>
      </c>
      <c r="Q736" s="134">
        <v>20</v>
      </c>
      <c r="R736" s="124">
        <f ca="1">IF(NOT(ISERROR($Y736)),IF($Y736&lt;&gt;FALSE,INDEX(Banco,$Y736,7),0),0)</f>
        <v>6</v>
      </c>
      <c r="S736" s="136" t="s">
        <v>62</v>
      </c>
      <c r="T736" s="123">
        <f ca="1">IF($J736=$G$2,ROUND(ROUND($R736,2)*IF($R$9="Preço Unitário (R$)",1,1+$AA736),2),0)</f>
        <v>7.5</v>
      </c>
      <c r="U736" s="126">
        <f ca="1">IF($A736="S",VTOTAL1,IF($A736=0,0,ROUND(SomaAgrup,2)))</f>
        <v>150</v>
      </c>
      <c r="V736" s="1"/>
      <c r="W736" s="39" t="str">
        <f ca="1">IF(OR($A736=0,$A736="S",$A736&gt;CFF!$A$9),"",MAX(W$11:OFFSET(W736,-1,0))+1)</f>
        <v/>
      </c>
      <c r="X736" s="4" t="str">
        <f>IF(AND($J736=$G$2,$N736&lt;&gt;"",$M736&lt;&gt;""),CONCATENATE($M736,"-",$N736))</f>
        <v>Serv. Terc.-027</v>
      </c>
      <c r="Y736" s="39">
        <f ca="1">IF(X736&lt;&gt;FALSE,MATCH(X736,OFFSET(Banco,0,0,,1),0))</f>
        <v>107</v>
      </c>
      <c r="Z736" s="1"/>
      <c r="AA736" s="133">
        <f>IF($J736=$G$2,ROUND(IF(ISNUMBER(S736),S736,IF(LEFT(S736,2)="DI",HLOOKUP(S736,DADOS!$T$29:$X$30,2,FALSE),0)),4),"")</f>
        <v>0.25</v>
      </c>
      <c r="AB736" s="2"/>
    </row>
    <row r="737" spans="1:28">
      <c r="A737" t="str">
        <f t="shared" si="919"/>
        <v>S</v>
      </c>
      <c r="B737">
        <f t="shared" si="920"/>
        <v>0</v>
      </c>
      <c r="C737">
        <f t="shared" ca="1" si="921"/>
        <v>9</v>
      </c>
      <c r="D737">
        <f t="shared" ca="1" si="922"/>
        <v>7</v>
      </c>
      <c r="E737">
        <f t="shared" ca="1" si="923"/>
        <v>0</v>
      </c>
      <c r="F737">
        <f t="shared" ca="1" si="924"/>
        <v>0</v>
      </c>
      <c r="G737">
        <f t="shared" ca="1" si="925"/>
        <v>17</v>
      </c>
      <c r="H737">
        <f ca="1">IF(OR($A737="S",$A737=0),0,MATCH(0,OFFSET($B737,1,$A737,ROW($A$1504)-ROW($A737)),0))</f>
        <v>0</v>
      </c>
      <c r="I737">
        <f ca="1">IF(OR($A737="S",$A737=0),0,MATCH(OFFSET($B737,0,$A737)+1,OFFSET($B737,1,$A737,ROW($A$1504)-ROW($A737)),0))</f>
        <v>0</v>
      </c>
      <c r="J737" s="132" t="s">
        <v>29</v>
      </c>
      <c r="K737" s="121" t="str">
        <f t="shared" ca="1" si="926"/>
        <v>9.7.17.</v>
      </c>
      <c r="L737" s="137" t="str">
        <f t="shared" ca="1" si="927"/>
        <v xml:space="preserve">Cotação </v>
      </c>
      <c r="M737" s="122" t="s">
        <v>80</v>
      </c>
      <c r="N737" s="139" t="s">
        <v>159</v>
      </c>
      <c r="O737" s="137" t="str">
        <f t="shared" ca="1" si="928"/>
        <v>Brindes ( descrição nos orçamentos e PTS)</v>
      </c>
      <c r="P737" s="138" t="str">
        <f t="shared" ca="1" si="929"/>
        <v>Unidade</v>
      </c>
      <c r="Q737" s="134">
        <v>8</v>
      </c>
      <c r="R737" s="124">
        <f t="shared" ca="1" si="930"/>
        <v>120</v>
      </c>
      <c r="S737" s="136" t="s">
        <v>62</v>
      </c>
      <c r="T737" s="123">
        <f t="shared" ca="1" si="931"/>
        <v>150</v>
      </c>
      <c r="U737" s="126">
        <f t="shared" ca="1" si="932"/>
        <v>1200</v>
      </c>
      <c r="V737" s="1"/>
      <c r="W737" s="39" t="str">
        <f ca="1">IF(OR($A737=0,$A737="S",$A737&gt;CFF!$A$9),"",MAX(W$11:OFFSET(W737,-1,0))+1)</f>
        <v/>
      </c>
      <c r="X737" s="4" t="str">
        <f t="shared" si="933"/>
        <v>Serv. Terc.-010</v>
      </c>
      <c r="Y737" s="39">
        <f t="shared" ca="1" si="934"/>
        <v>90</v>
      </c>
      <c r="Z737" s="1"/>
      <c r="AA737" s="133">
        <f>IF($J737=$G$2,ROUND(IF(ISNUMBER(S737),S737,IF(LEFT(S737,2)="DI",HLOOKUP(S737,DADOS!$T$29:$X$30,2,FALSE),0)),4),"")</f>
        <v>0.25</v>
      </c>
      <c r="AB737" s="2"/>
    </row>
    <row r="738" spans="1:28">
      <c r="A738" t="str">
        <f t="shared" si="919"/>
        <v>S</v>
      </c>
      <c r="B738">
        <f t="shared" si="920"/>
        <v>0</v>
      </c>
      <c r="C738">
        <f t="shared" ca="1" si="921"/>
        <v>9</v>
      </c>
      <c r="D738">
        <f t="shared" ca="1" si="922"/>
        <v>7</v>
      </c>
      <c r="E738">
        <f t="shared" ca="1" si="923"/>
        <v>0</v>
      </c>
      <c r="F738">
        <f t="shared" ca="1" si="924"/>
        <v>0</v>
      </c>
      <c r="G738">
        <f t="shared" ca="1" si="925"/>
        <v>18</v>
      </c>
      <c r="H738">
        <f ca="1">IF(OR($A738="S",$A738=0),0,MATCH(0,OFFSET($B738,1,$A738,ROW($A$1504)-ROW($A738)),0))</f>
        <v>0</v>
      </c>
      <c r="I738">
        <f ca="1">IF(OR($A738="S",$A738=0),0,MATCH(OFFSET($B738,0,$A738)+1,OFFSET($B738,1,$A738,ROW($A$1504)-ROW($A738)),0))</f>
        <v>0</v>
      </c>
      <c r="J738" s="132" t="s">
        <v>29</v>
      </c>
      <c r="K738" s="121" t="str">
        <f t="shared" ca="1" si="926"/>
        <v>9.7.18.</v>
      </c>
      <c r="L738" s="137" t="str">
        <f t="shared" ca="1" si="927"/>
        <v>Cotação</v>
      </c>
      <c r="M738" s="122" t="s">
        <v>80</v>
      </c>
      <c r="N738" s="139" t="s">
        <v>162</v>
      </c>
      <c r="O738" s="137" t="str">
        <f t="shared" ca="1" si="928"/>
        <v>Coffee break (salgados)</v>
      </c>
      <c r="P738" s="138" t="str">
        <f t="shared" ca="1" si="929"/>
        <v>Centro</v>
      </c>
      <c r="Q738" s="134">
        <v>15</v>
      </c>
      <c r="R738" s="124">
        <f t="shared" ca="1" si="930"/>
        <v>65</v>
      </c>
      <c r="S738" s="136" t="s">
        <v>62</v>
      </c>
      <c r="T738" s="123">
        <f t="shared" ca="1" si="931"/>
        <v>81.25</v>
      </c>
      <c r="U738" s="126">
        <f t="shared" ca="1" si="932"/>
        <v>1218.75</v>
      </c>
      <c r="V738" s="1"/>
      <c r="W738" s="39" t="str">
        <f ca="1">IF(OR($A738=0,$A738="S",$A738&gt;CFF!$A$9),"",MAX(W$11:OFFSET(W738,-1,0))+1)</f>
        <v/>
      </c>
      <c r="X738" s="4" t="str">
        <f t="shared" si="933"/>
        <v>Serv. Terc.-015</v>
      </c>
      <c r="Y738" s="39">
        <f t="shared" ca="1" si="934"/>
        <v>95</v>
      </c>
      <c r="Z738" s="1"/>
      <c r="AA738" s="133">
        <f>IF($J738=$G$2,ROUND(IF(ISNUMBER(S738),S738,IF(LEFT(S738,2)="DI",HLOOKUP(S738,DADOS!$T$29:$X$30,2,FALSE),0)),4),"")</f>
        <v>0.25</v>
      </c>
      <c r="AB738" s="2"/>
    </row>
    <row r="739" spans="1:28">
      <c r="A739" t="str">
        <f t="shared" ref="A739:A748" si="935">CHOOSE(1+LOG(1+2*(J739=$C$2)+4*(J739=$D$2)+8*(J739=$E$2)+16*(J739=$F$2)+32*(J739=$G$2),2),0,1,2,3,4,"S")</f>
        <v>S</v>
      </c>
      <c r="B739">
        <f t="shared" ref="B739:B748" si="936">IF(OR(A739="S",A739=0),0,IF(ISERROR(I739),H739,SMALL(H739:I739,1)))</f>
        <v>0</v>
      </c>
      <c r="C739">
        <f t="shared" ref="C739:C748" ca="1" si="937">IF($A739=1,OFFSET(C739,-1,0)+1,OFFSET(C739,-1,0))</f>
        <v>9</v>
      </c>
      <c r="D739">
        <f t="shared" ref="D739:D748" ca="1" si="938">IF($A739=1,0,IF($A739=2,OFFSET(D739,-1,0)+1,OFFSET(D739,-1,0)))</f>
        <v>7</v>
      </c>
      <c r="E739">
        <f t="shared" ref="E739:E748" ca="1" si="939">IF(AND($A739&lt;=2,$A739&lt;&gt;0),0,IF($A739=3,OFFSET(E739,-1,0)+1,OFFSET(E739,-1,0)))</f>
        <v>0</v>
      </c>
      <c r="F739">
        <f t="shared" ref="F739:F748" ca="1" si="940">IF(AND($A739&lt;=3,$A739&lt;&gt;0),0,IF($A739=4,OFFSET(F739,-1,0)+1,OFFSET(F739,-1,0)))</f>
        <v>0</v>
      </c>
      <c r="G739">
        <f t="shared" ref="G739:G748" ca="1" si="941">IF(AND($A739&lt;=4,$A739&lt;&gt;0),0,IF($A739="S",OFFSET(G739,-1,0)+1,OFFSET(G739,-1,0)))</f>
        <v>19</v>
      </c>
      <c r="H739">
        <f ca="1">IF(OR($A739="S",$A739=0),0,MATCH(0,OFFSET($B739,1,$A739,ROW($A$1504)-ROW($A739)),0))</f>
        <v>0</v>
      </c>
      <c r="I739">
        <f ca="1">IF(OR($A739="S",$A739=0),0,MATCH(OFFSET($B739,0,$A739)+1,OFFSET($B739,1,$A739,ROW($A$1504)-ROW($A739)),0))</f>
        <v>0</v>
      </c>
      <c r="J739" s="132" t="s">
        <v>29</v>
      </c>
      <c r="K739" s="121" t="str">
        <f t="shared" ref="K739:K748" ca="1" si="942">IF($A739=0,"-",CONCATENATE(C739&amp;".",IF(AND($A$5&gt;=2,$A739&gt;=2),D739&amp;".",""),IF(AND($A$5&gt;=3,$A739&gt;=3),E739&amp;".",""),IF(AND($A$5&gt;=4,$A739&gt;=4),F739&amp;".",""),IF($A739="S",G739&amp;".","")))</f>
        <v>9.7.19.</v>
      </c>
      <c r="L739" s="137" t="str">
        <f t="shared" ref="L739:L748" ca="1" si="943">IF(NOT(ISERROR($Y739)),IF($Y739&lt;&gt;FALSE,INDEX(Banco,$Y739,4),""),"")</f>
        <v>Cotação</v>
      </c>
      <c r="M739" s="122" t="s">
        <v>79</v>
      </c>
      <c r="N739" s="139" t="s">
        <v>163</v>
      </c>
      <c r="O739" s="137" t="str">
        <f ca="1">IF(NOT(ISERROR($Y739)),IF($Y739&lt;&gt;FALSE,INDEX(Banco,$Y739,5),""),"")</f>
        <v>Guloseimas (balas e pirulito)</v>
      </c>
      <c r="P739" s="138" t="str">
        <f t="shared" ref="P739:P748" ca="1" si="944">IF(NOT(ISERROR($Y739)),IF($Y739&lt;&gt;FALSE,INDEX(Banco,$Y739,6),""),"")</f>
        <v>Pacote</v>
      </c>
      <c r="Q739" s="134">
        <v>8</v>
      </c>
      <c r="R739" s="124">
        <f t="shared" ref="R739:R748" ca="1" si="945">IF(NOT(ISERROR($Y739)),IF($Y739&lt;&gt;FALSE,INDEX(Banco,$Y739,7),0),0)</f>
        <v>12</v>
      </c>
      <c r="S739" s="136" t="s">
        <v>62</v>
      </c>
      <c r="T739" s="123">
        <f t="shared" ref="T739:T748" ca="1" si="946">IF($J739=$G$2,ROUND(ROUND($R739,2)*IF($R$9="Preço Unitário (R$)",1,1+$AA739),2),0)</f>
        <v>15</v>
      </c>
      <c r="U739" s="126">
        <f t="shared" ref="U739:U748" ca="1" si="947">IF($A739="S",VTOTAL1,IF($A739=0,0,ROUND(SomaAgrup,2)))</f>
        <v>120</v>
      </c>
      <c r="V739" s="1"/>
      <c r="W739" s="39" t="str">
        <f ca="1">IF(OR($A739=0,$A739="S",$A739&gt;CFF!$A$9),"",MAX(W$11:OFFSET(W739,-1,0))+1)</f>
        <v/>
      </c>
      <c r="X739" s="4" t="str">
        <f t="shared" ref="X739:X748" si="948">IF(AND($J739=$G$2,$N739&lt;&gt;"",$M739&lt;&gt;""),CONCATENATE($M739,"-",$N739))</f>
        <v>Rec. Materiais-020</v>
      </c>
      <c r="Y739" s="39">
        <f t="shared" ref="Y739:Y748" ca="1" si="949">IF(X739&lt;&gt;FALSE,MATCH(X739,OFFSET(Banco,0,0,,1),0))</f>
        <v>29</v>
      </c>
      <c r="Z739" s="1"/>
      <c r="AA739" s="133">
        <f>IF($J739=$G$2,ROUND(IF(ISNUMBER(S739),S739,IF(LEFT(S739,2)="DI",HLOOKUP(S739,DADOS!$T$29:$X$30,2,FALSE),0)),4),"")</f>
        <v>0.25</v>
      </c>
      <c r="AB739" s="2"/>
    </row>
    <row r="740" spans="1:28">
      <c r="A740" t="str">
        <f>CHOOSE(1+LOG(1+2*(J740=$C$2)+4*(J740=$D$2)+8*(J740=$E$2)+16*(J740=$F$2)+32*(J740=$G$2),2),0,1,2,3,4,"S")</f>
        <v>S</v>
      </c>
      <c r="B740">
        <f>IF(OR(A740="S",A740=0),0,IF(ISERROR(I740),H740,SMALL(H740:I740,1)))</f>
        <v>0</v>
      </c>
      <c r="C740">
        <f ca="1">IF($A740=1,OFFSET(C740,-1,0)+1,OFFSET(C740,-1,0))</f>
        <v>9</v>
      </c>
      <c r="D740">
        <f ca="1">IF($A740=1,0,IF($A740=2,OFFSET(D740,-1,0)+1,OFFSET(D740,-1,0)))</f>
        <v>7</v>
      </c>
      <c r="E740">
        <f ca="1">IF(AND($A740&lt;=2,$A740&lt;&gt;0),0,IF($A740=3,OFFSET(E740,-1,0)+1,OFFSET(E740,-1,0)))</f>
        <v>0</v>
      </c>
      <c r="F740">
        <f ca="1">IF(AND($A740&lt;=3,$A740&lt;&gt;0),0,IF($A740=4,OFFSET(F740,-1,0)+1,OFFSET(F740,-1,0)))</f>
        <v>0</v>
      </c>
      <c r="G740">
        <f ca="1">IF(AND($A740&lt;=4,$A740&lt;&gt;0),0,IF($A740="S",OFFSET(G740,-1,0)+1,OFFSET(G740,-1,0)))</f>
        <v>20</v>
      </c>
      <c r="H740">
        <f ca="1">IF(OR($A740="S",$A740=0),0,MATCH(0,OFFSET($B740,1,$A740,ROW($A$1504)-ROW($A740)),0))</f>
        <v>0</v>
      </c>
      <c r="I740">
        <f ca="1">IF(OR($A740="S",$A740=0),0,MATCH(OFFSET($B740,0,$A740)+1,OFFSET($B740,1,$A740,ROW($A$1504)-ROW($A740)),0))</f>
        <v>0</v>
      </c>
      <c r="J740" s="132" t="s">
        <v>29</v>
      </c>
      <c r="K740" s="121" t="str">
        <f ca="1">IF($A740=0,"-",CONCATENATE(C740&amp;".",IF(AND($A$5&gt;=2,$A740&gt;=2),D740&amp;".",""),IF(AND($A$5&gt;=3,$A740&gt;=3),E740&amp;".",""),IF(AND($A$5&gt;=4,$A740&gt;=4),F740&amp;".",""),IF($A740="S",G740&amp;".","")))</f>
        <v>9.7.20.</v>
      </c>
      <c r="L740" s="137" t="str">
        <f ca="1">IF(NOT(ISERROR($Y740)),IF($Y740&lt;&gt;FALSE,INDEX(Banco,$Y740,4),""),"")</f>
        <v>CRBio</v>
      </c>
      <c r="M740" s="122" t="s">
        <v>80</v>
      </c>
      <c r="N740" s="139" t="s">
        <v>226</v>
      </c>
      <c r="O740" s="137" t="str">
        <f ca="1">IF(NOT(ISERROR($Y740)),IF($Y740&lt;&gt;FALSE,INDEX(Banco,$Y740,5),""),"")</f>
        <v>Biólogo (Instrutor)</v>
      </c>
      <c r="P740" s="138" t="str">
        <f ca="1">IF(NOT(ISERROR($Y740)),IF($Y740&lt;&gt;FALSE,INDEX(Banco,$Y740,6),""),"")</f>
        <v>Horas</v>
      </c>
      <c r="Q740" s="134">
        <v>4</v>
      </c>
      <c r="R740" s="124">
        <f ca="1">IF(NOT(ISERROR($Y740)),IF($Y740&lt;&gt;FALSE,INDEX(Banco,$Y740,7),0),0)</f>
        <v>100.72</v>
      </c>
      <c r="S740" s="136" t="s">
        <v>62</v>
      </c>
      <c r="T740" s="123">
        <f ca="1">IF($J740=$G$2,ROUND(ROUND($R740,2)*IF($R$9="Preço Unitário (R$)",1,1+$AA740),2),0)</f>
        <v>125.9</v>
      </c>
      <c r="U740" s="126">
        <f ca="1">IF($A740="S",VTOTAL1,IF($A740=0,0,ROUND(SomaAgrup,2)))</f>
        <v>503.6</v>
      </c>
      <c r="V740" s="1"/>
      <c r="W740" s="39" t="str">
        <f ca="1">IF(OR($A740=0,$A740="S",$A740&gt;CFF!$A$9),"",MAX(W$11:OFFSET(W740,-1,0))+1)</f>
        <v/>
      </c>
      <c r="X740" s="4" t="str">
        <f>IF(AND($J740=$G$2,$N740&lt;&gt;"",$M740&lt;&gt;""),CONCATENATE($M740,"-",$N740))</f>
        <v>Serv. Terc.-068</v>
      </c>
      <c r="Y740" s="39">
        <f ca="1">IF(X740&lt;&gt;FALSE,MATCH(X740,OFFSET(Banco,0,0,,1),0))</f>
        <v>148</v>
      </c>
      <c r="Z740" s="1"/>
      <c r="AA740" s="133">
        <f>IF($J740=$G$2,ROUND(IF(ISNUMBER(S740),S740,IF(LEFT(S740,2)="DI",HLOOKUP(S740,DADOS!$T$29:$X$30,2,FALSE),0)),4),"")</f>
        <v>0.25</v>
      </c>
      <c r="AB740" s="2"/>
    </row>
    <row r="741" spans="1:28">
      <c r="A741" t="str">
        <f t="shared" si="935"/>
        <v>S</v>
      </c>
      <c r="B741">
        <f t="shared" si="936"/>
        <v>0</v>
      </c>
      <c r="C741">
        <f t="shared" ca="1" si="937"/>
        <v>9</v>
      </c>
      <c r="D741">
        <f t="shared" ca="1" si="938"/>
        <v>7</v>
      </c>
      <c r="E741">
        <f t="shared" ca="1" si="939"/>
        <v>0</v>
      </c>
      <c r="F741">
        <f t="shared" ca="1" si="940"/>
        <v>0</v>
      </c>
      <c r="G741">
        <f t="shared" ca="1" si="941"/>
        <v>21</v>
      </c>
      <c r="H741">
        <f ca="1">IF(OR($A741="S",$A741=0),0,MATCH(0,OFFSET($B741,1,$A741,ROW($A$1504)-ROW($A741)),0))</f>
        <v>0</v>
      </c>
      <c r="I741">
        <f ca="1">IF(OR($A741="S",$A741=0),0,MATCH(OFFSET($B741,0,$A741)+1,OFFSET($B741,1,$A741,ROW($A$1504)-ROW($A741)),0))</f>
        <v>0</v>
      </c>
      <c r="J741" s="132" t="s">
        <v>29</v>
      </c>
      <c r="K741" s="121" t="str">
        <f t="shared" ca="1" si="942"/>
        <v>9.7.21.</v>
      </c>
      <c r="L741" s="137" t="str">
        <f t="shared" ca="1" si="943"/>
        <v>Cotação</v>
      </c>
      <c r="M741" s="122" t="s">
        <v>79</v>
      </c>
      <c r="N741" s="139" t="s">
        <v>165</v>
      </c>
      <c r="O741" s="137" t="str">
        <f ca="1">IF(NOT(ISERROR($Y741)),IF($Y741&lt;&gt;FALSE,INDEX(Banco,$Y741,5),""),"")</f>
        <v>Papel de presente</v>
      </c>
      <c r="P741" s="138" t="str">
        <f t="shared" ca="1" si="944"/>
        <v>Folhas</v>
      </c>
      <c r="Q741" s="134">
        <v>16</v>
      </c>
      <c r="R741" s="124">
        <f t="shared" ca="1" si="945"/>
        <v>1.5</v>
      </c>
      <c r="S741" s="136" t="s">
        <v>62</v>
      </c>
      <c r="T741" s="123">
        <f t="shared" ca="1" si="946"/>
        <v>1.88</v>
      </c>
      <c r="U741" s="126">
        <f t="shared" ca="1" si="947"/>
        <v>30.08</v>
      </c>
      <c r="V741" s="1"/>
      <c r="W741" s="39" t="str">
        <f ca="1">IF(OR($A741=0,$A741="S",$A741&gt;CFF!$A$9),"",MAX(W$11:OFFSET(W741,-1,0))+1)</f>
        <v/>
      </c>
      <c r="X741" s="4" t="str">
        <f t="shared" si="948"/>
        <v>Rec. Materiais-021</v>
      </c>
      <c r="Y741" s="39">
        <f t="shared" ca="1" si="949"/>
        <v>30</v>
      </c>
      <c r="Z741" s="1"/>
      <c r="AA741" s="133">
        <f>IF($J741=$G$2,ROUND(IF(ISNUMBER(S741),S741,IF(LEFT(S741,2)="DI",HLOOKUP(S741,DADOS!$T$29:$X$30,2,FALSE),0)),4),"")</f>
        <v>0.25</v>
      </c>
      <c r="AB741" s="2"/>
    </row>
    <row r="742" spans="1:28">
      <c r="A742" t="str">
        <f t="shared" si="935"/>
        <v>S</v>
      </c>
      <c r="B742">
        <f t="shared" si="936"/>
        <v>0</v>
      </c>
      <c r="C742">
        <f t="shared" ca="1" si="937"/>
        <v>9</v>
      </c>
      <c r="D742">
        <f t="shared" ca="1" si="938"/>
        <v>7</v>
      </c>
      <c r="E742">
        <f t="shared" ca="1" si="939"/>
        <v>0</v>
      </c>
      <c r="F742">
        <f t="shared" ca="1" si="940"/>
        <v>0</v>
      </c>
      <c r="G742">
        <f t="shared" ca="1" si="941"/>
        <v>22</v>
      </c>
      <c r="H742">
        <f ca="1">IF(OR($A742="S",$A742=0),0,MATCH(0,OFFSET($B742,1,$A742,ROW($A$1504)-ROW($A742)),0))</f>
        <v>0</v>
      </c>
      <c r="I742">
        <f ca="1">IF(OR($A742="S",$A742=0),0,MATCH(OFFSET($B742,0,$A742)+1,OFFSET($B742,1,$A742,ROW($A$1504)-ROW($A742)),0))</f>
        <v>0</v>
      </c>
      <c r="J742" s="132" t="s">
        <v>29</v>
      </c>
      <c r="K742" s="121" t="str">
        <f t="shared" ca="1" si="942"/>
        <v>9.7.22.</v>
      </c>
      <c r="L742" s="137" t="str">
        <f t="shared" ca="1" si="943"/>
        <v>Cotação</v>
      </c>
      <c r="M742" s="122" t="s">
        <v>79</v>
      </c>
      <c r="N742" s="139" t="s">
        <v>170</v>
      </c>
      <c r="O742" s="137" t="str">
        <f ca="1">IF(NOT(ISERROR($Y742)),IF($Y742&lt;&gt;FALSE,INDEX(Banco,$Y742,5),""),"")</f>
        <v>Saco de lixo (100 litros)</v>
      </c>
      <c r="P742" s="138" t="str">
        <f t="shared" ca="1" si="944"/>
        <v>Pacote</v>
      </c>
      <c r="Q742" s="134">
        <v>2</v>
      </c>
      <c r="R742" s="124">
        <f t="shared" ca="1" si="945"/>
        <v>15</v>
      </c>
      <c r="S742" s="136" t="s">
        <v>62</v>
      </c>
      <c r="T742" s="123">
        <f t="shared" ca="1" si="946"/>
        <v>18.75</v>
      </c>
      <c r="U742" s="126">
        <f t="shared" ca="1" si="947"/>
        <v>37.5</v>
      </c>
      <c r="V742" s="1"/>
      <c r="W742" s="39" t="str">
        <f ca="1">IF(OR($A742=0,$A742="S",$A742&gt;CFF!$A$9),"",MAX(W$11:OFFSET(W742,-1,0))+1)</f>
        <v/>
      </c>
      <c r="X742" s="4" t="str">
        <f t="shared" si="948"/>
        <v>Rec. Materiais-026</v>
      </c>
      <c r="Y742" s="39">
        <f t="shared" ca="1" si="949"/>
        <v>35</v>
      </c>
      <c r="Z742" s="1"/>
      <c r="AA742" s="133">
        <f>IF($J742=$G$2,ROUND(IF(ISNUMBER(S742),S742,IF(LEFT(S742,2)="DI",HLOOKUP(S742,DADOS!$T$29:$X$30,2,FALSE),0)),4),"")</f>
        <v>0.25</v>
      </c>
      <c r="AB742" s="2"/>
    </row>
    <row r="743" spans="1:28">
      <c r="A743">
        <f>CHOOSE(1+LOG(1+2*(J743=$C$2)+4*(J743=$D$2)+8*(J743=$E$2)+16*(J743=$F$2)+32*(J743=$G$2),2),0,1,2,3,4,"S")</f>
        <v>2</v>
      </c>
      <c r="B743">
        <f ca="1">IF(OR(A743="S",A743=0),0,IF(ISERROR(I743),H743,SMALL(H743:I743,1)))</f>
        <v>9</v>
      </c>
      <c r="C743">
        <f ca="1">IF($A743=1,OFFSET(C743,-1,0)+1,OFFSET(C743,-1,0))</f>
        <v>9</v>
      </c>
      <c r="D743">
        <f ca="1">IF($A743=1,0,IF($A743=2,OFFSET(D743,-1,0)+1,OFFSET(D743,-1,0)))</f>
        <v>8</v>
      </c>
      <c r="E743">
        <f ca="1">IF(AND($A743&lt;=2,$A743&lt;&gt;0),0,IF($A743=3,OFFSET(E743,-1,0)+1,OFFSET(E743,-1,0)))</f>
        <v>0</v>
      </c>
      <c r="F743">
        <f ca="1">IF(AND($A743&lt;=3,$A743&lt;&gt;0),0,IF($A743=4,OFFSET(F743,-1,0)+1,OFFSET(F743,-1,0)))</f>
        <v>0</v>
      </c>
      <c r="G743">
        <f ca="1">IF(AND($A743&lt;=4,$A743&lt;&gt;0),0,IF($A743="S",OFFSET(G743,-1,0)+1,OFFSET(G743,-1,0)))</f>
        <v>0</v>
      </c>
      <c r="H743">
        <f ca="1">IF(OR($A743="S",$A743=0),0,MATCH(0,OFFSET($B743,1,$A743,ROW($A$1504)-ROW($A743)),0))</f>
        <v>56</v>
      </c>
      <c r="I743">
        <f ca="1">IF(OR($A743="S",$A743=0),0,MATCH(OFFSET($B743,0,$A743)+1,OFFSET($B743,1,$A743,ROW($A$1504)-ROW($A743)),0))</f>
        <v>9</v>
      </c>
      <c r="J743" s="132" t="s">
        <v>68</v>
      </c>
      <c r="K743" s="121" t="str">
        <f ca="1">IF($A743=0,"-",CONCATENATE(C743&amp;".",IF(AND($A$5&gt;=2,$A743&gt;=2),D743&amp;".",""),IF(AND($A$5&gt;=3,$A743&gt;=3),E743&amp;".",""),IF(AND($A$5&gt;=4,$A743&gt;=4),F743&amp;".",""),IF($A743="S",G743&amp;".","")))</f>
        <v>9.8.</v>
      </c>
      <c r="L743" s="137" t="str">
        <f ca="1">IF(NOT(ISERROR($Y743)),IF($Y743&lt;&gt;FALSE,INDEX(Banco,$Y743,4),""),"")</f>
        <v/>
      </c>
      <c r="M743" s="122"/>
      <c r="N743" s="139"/>
      <c r="O743" s="137" t="s">
        <v>407</v>
      </c>
      <c r="P743" s="138" t="str">
        <f ca="1">IF(NOT(ISERROR($Y743)),IF($Y743&lt;&gt;FALSE,INDEX(Banco,$Y743,6),""),"")</f>
        <v/>
      </c>
      <c r="Q743" s="134"/>
      <c r="R743" s="124">
        <f ca="1">IF(NOT(ISERROR($Y743)),IF($Y743&lt;&gt;FALSE,INDEX(Banco,$Y743,7),0),0)</f>
        <v>0</v>
      </c>
      <c r="S743" s="136" t="s">
        <v>62</v>
      </c>
      <c r="T743" s="123">
        <f>IF($J743=$G$2,ROUND(ROUND($R743,2)*IF($R$9="Preço Unitário (R$)",1,1+$AA743),2),0)</f>
        <v>0</v>
      </c>
      <c r="U743" s="126">
        <f ca="1">IF($A743="S",VTOTAL1,IF($A743=0,0,ROUND(SomaAgrup,2)))</f>
        <v>4003.24</v>
      </c>
      <c r="V743" s="1"/>
      <c r="W743" s="39">
        <f ca="1">IF(OR($A743=0,$A743="S",$A743&gt;CFF!$A$9),"",MAX(W$11:OFFSET(W743,-1,0))+1)</f>
        <v>69</v>
      </c>
      <c r="X743" s="4" t="b">
        <f>IF(AND($J743=$G$2,$N743&lt;&gt;"",$M743&lt;&gt;""),CONCATENATE($M743,"-",$N743))</f>
        <v>0</v>
      </c>
      <c r="Y743" s="39" t="b">
        <f ca="1">IF(X743&lt;&gt;FALSE,MATCH(X743,OFFSET(Banco,0,0,,1),0))</f>
        <v>0</v>
      </c>
      <c r="Z743" s="1"/>
      <c r="AA743" s="133" t="str">
        <f>IF($J743=$G$2,ROUND(IF(ISNUMBER(S743),S743,IF(LEFT(S743,2)="DI",HLOOKUP(S743,DADOS!$T$29:$X$30,2,FALSE),0)),4),"")</f>
        <v/>
      </c>
      <c r="AB743" s="2"/>
    </row>
    <row r="744" spans="1:28">
      <c r="A744" t="str">
        <f t="shared" si="935"/>
        <v>S</v>
      </c>
      <c r="B744">
        <f t="shared" si="936"/>
        <v>0</v>
      </c>
      <c r="C744">
        <f t="shared" ca="1" si="937"/>
        <v>9</v>
      </c>
      <c r="D744">
        <f t="shared" ca="1" si="938"/>
        <v>8</v>
      </c>
      <c r="E744">
        <f t="shared" ca="1" si="939"/>
        <v>0</v>
      </c>
      <c r="F744">
        <f t="shared" ca="1" si="940"/>
        <v>0</v>
      </c>
      <c r="G744">
        <f t="shared" ca="1" si="941"/>
        <v>1</v>
      </c>
      <c r="H744">
        <f ca="1">IF(OR($A744="S",$A744=0),0,MATCH(0,OFFSET($B744,1,$A744,ROW($A$1504)-ROW($A744)),0))</f>
        <v>0</v>
      </c>
      <c r="I744">
        <f ca="1">IF(OR($A744="S",$A744=0),0,MATCH(OFFSET($B744,0,$A744)+1,OFFSET($B744,1,$A744,ROW($A$1504)-ROW($A744)),0))</f>
        <v>0</v>
      </c>
      <c r="J744" s="132" t="s">
        <v>29</v>
      </c>
      <c r="K744" s="121" t="str">
        <f t="shared" ca="1" si="942"/>
        <v>9.8.1.</v>
      </c>
      <c r="L744" s="137" t="str">
        <f t="shared" ca="1" si="943"/>
        <v>CRESS</v>
      </c>
      <c r="M744" s="122" t="s">
        <v>78</v>
      </c>
      <c r="N744" s="139" t="s">
        <v>149</v>
      </c>
      <c r="O744" s="137" t="str">
        <f t="shared" ref="O744:O749" ca="1" si="950">IF(NOT(ISERROR($Y744)),IF($Y744&lt;&gt;FALSE,INDEX(Banco,$Y744,5),""),"")</f>
        <v>Responsável Técnica</v>
      </c>
      <c r="P744" s="138" t="str">
        <f t="shared" ca="1" si="944"/>
        <v>Horas</v>
      </c>
      <c r="Q744" s="134">
        <v>4</v>
      </c>
      <c r="R744" s="124">
        <f t="shared" ca="1" si="945"/>
        <v>150.28</v>
      </c>
      <c r="S744" s="136" t="s">
        <v>62</v>
      </c>
      <c r="T744" s="123">
        <f t="shared" ca="1" si="946"/>
        <v>187.85</v>
      </c>
      <c r="U744" s="126">
        <f t="shared" ca="1" si="947"/>
        <v>751.4</v>
      </c>
      <c r="V744" s="1"/>
      <c r="W744" s="39" t="str">
        <f ca="1">IF(OR($A744=0,$A744="S",$A744&gt;CFF!$A$9),"",MAX(W$11:OFFSET(W744,-1,0))+1)</f>
        <v/>
      </c>
      <c r="X744" s="4" t="str">
        <f t="shared" si="948"/>
        <v>Rec. Humanos-001</v>
      </c>
      <c r="Y744" s="39">
        <f t="shared" ca="1" si="949"/>
        <v>3</v>
      </c>
      <c r="Z744" s="1"/>
      <c r="AA744" s="133">
        <f>IF($J744=$G$2,ROUND(IF(ISNUMBER(S744),S744,IF(LEFT(S744,2)="DI",HLOOKUP(S744,DADOS!$T$29:$X$30,2,FALSE),0)),4),"")</f>
        <v>0.25</v>
      </c>
      <c r="AB744" s="2"/>
    </row>
    <row r="745" spans="1:28">
      <c r="A745" t="str">
        <f t="shared" si="935"/>
        <v>S</v>
      </c>
      <c r="B745">
        <f t="shared" si="936"/>
        <v>0</v>
      </c>
      <c r="C745">
        <f t="shared" ca="1" si="937"/>
        <v>9</v>
      </c>
      <c r="D745">
        <f t="shared" ca="1" si="938"/>
        <v>8</v>
      </c>
      <c r="E745">
        <f t="shared" ca="1" si="939"/>
        <v>0</v>
      </c>
      <c r="F745">
        <f t="shared" ca="1" si="940"/>
        <v>0</v>
      </c>
      <c r="G745">
        <f t="shared" ca="1" si="941"/>
        <v>2</v>
      </c>
      <c r="H745">
        <f ca="1">IF(OR($A745="S",$A745=0),0,MATCH(0,OFFSET($B745,1,$A745,ROW($A$1504)-ROW($A745)),0))</f>
        <v>0</v>
      </c>
      <c r="I745">
        <f ca="1">IF(OR($A745="S",$A745=0),0,MATCH(OFFSET($B745,0,$A745)+1,OFFSET($B745,1,$A745,ROW($A$1504)-ROW($A745)),0))</f>
        <v>0</v>
      </c>
      <c r="J745" s="132" t="s">
        <v>29</v>
      </c>
      <c r="K745" s="121" t="str">
        <f t="shared" ca="1" si="942"/>
        <v>9.8.2.</v>
      </c>
      <c r="L745" s="137" t="str">
        <f t="shared" ca="1" si="943"/>
        <v>CRESS</v>
      </c>
      <c r="M745" s="122" t="s">
        <v>78</v>
      </c>
      <c r="N745" s="139" t="s">
        <v>152</v>
      </c>
      <c r="O745" s="137" t="str">
        <f t="shared" ca="1" si="950"/>
        <v>Assistente Social</v>
      </c>
      <c r="P745" s="138" t="str">
        <f t="shared" ca="1" si="944"/>
        <v>Horas</v>
      </c>
      <c r="Q745" s="134">
        <v>4</v>
      </c>
      <c r="R745" s="124">
        <f t="shared" ca="1" si="945"/>
        <v>133.81</v>
      </c>
      <c r="S745" s="136" t="s">
        <v>62</v>
      </c>
      <c r="T745" s="123">
        <f t="shared" ca="1" si="946"/>
        <v>167.26</v>
      </c>
      <c r="U745" s="126">
        <f t="shared" ca="1" si="947"/>
        <v>669.04</v>
      </c>
      <c r="V745" s="1"/>
      <c r="W745" s="39" t="str">
        <f ca="1">IF(OR($A745=0,$A745="S",$A745&gt;CFF!$A$9),"",MAX(W$11:OFFSET(W745,-1,0))+1)</f>
        <v/>
      </c>
      <c r="X745" s="4" t="str">
        <f t="shared" si="948"/>
        <v>Rec. Humanos-002</v>
      </c>
      <c r="Y745" s="39">
        <f t="shared" ca="1" si="949"/>
        <v>4</v>
      </c>
      <c r="Z745" s="1"/>
      <c r="AA745" s="133">
        <f>IF($J745=$G$2,ROUND(IF(ISNUMBER(S745),S745,IF(LEFT(S745,2)="DI",HLOOKUP(S745,DADOS!$T$29:$X$30,2,FALSE),0)),4),"")</f>
        <v>0.25</v>
      </c>
      <c r="AB745" s="2"/>
    </row>
    <row r="746" spans="1:28">
      <c r="A746" t="str">
        <f t="shared" si="935"/>
        <v>S</v>
      </c>
      <c r="B746">
        <f t="shared" si="936"/>
        <v>0</v>
      </c>
      <c r="C746">
        <f t="shared" ca="1" si="937"/>
        <v>9</v>
      </c>
      <c r="D746">
        <f t="shared" ca="1" si="938"/>
        <v>8</v>
      </c>
      <c r="E746">
        <f t="shared" ca="1" si="939"/>
        <v>0</v>
      </c>
      <c r="F746">
        <f t="shared" ca="1" si="940"/>
        <v>0</v>
      </c>
      <c r="G746">
        <f t="shared" ca="1" si="941"/>
        <v>3</v>
      </c>
      <c r="H746">
        <f ca="1">IF(OR($A746="S",$A746=0),0,MATCH(0,OFFSET($B746,1,$A746,ROW($A$1504)-ROW($A746)),0))</f>
        <v>0</v>
      </c>
      <c r="I746">
        <f ca="1">IF(OR($A746="S",$A746=0),0,MATCH(OFFSET($B746,0,$A746)+1,OFFSET($B746,1,$A746,ROW($A$1504)-ROW($A746)),0))</f>
        <v>0</v>
      </c>
      <c r="J746" s="132" t="s">
        <v>29</v>
      </c>
      <c r="K746" s="121" t="str">
        <f t="shared" ca="1" si="942"/>
        <v>9.8.3.</v>
      </c>
      <c r="L746" s="137" t="str">
        <f t="shared" ca="1" si="943"/>
        <v>Cotação</v>
      </c>
      <c r="M746" s="122" t="s">
        <v>80</v>
      </c>
      <c r="N746" s="139" t="s">
        <v>201</v>
      </c>
      <c r="O746" s="137" t="str">
        <f t="shared" ca="1" si="950"/>
        <v xml:space="preserve">Coffe break (salgados) </v>
      </c>
      <c r="P746" s="138" t="str">
        <f t="shared" ca="1" si="944"/>
        <v>Centro</v>
      </c>
      <c r="Q746" s="134">
        <v>2</v>
      </c>
      <c r="R746" s="124">
        <f t="shared" ca="1" si="945"/>
        <v>65</v>
      </c>
      <c r="S746" s="136" t="s">
        <v>62</v>
      </c>
      <c r="T746" s="123">
        <f t="shared" ca="1" si="946"/>
        <v>81.25</v>
      </c>
      <c r="U746" s="126">
        <f t="shared" ca="1" si="947"/>
        <v>162.5</v>
      </c>
      <c r="V746" s="1"/>
      <c r="W746" s="39" t="str">
        <f ca="1">IF(OR($A746=0,$A746="S",$A746&gt;CFF!$A$9),"",MAX(W$11:OFFSET(W746,-1,0))+1)</f>
        <v/>
      </c>
      <c r="X746" s="4" t="str">
        <f t="shared" si="948"/>
        <v>Serv. Terc.-033</v>
      </c>
      <c r="Y746" s="39">
        <f t="shared" ca="1" si="949"/>
        <v>113</v>
      </c>
      <c r="Z746" s="1"/>
      <c r="AA746" s="133">
        <f>IF($J746=$G$2,ROUND(IF(ISNUMBER(S746),S746,IF(LEFT(S746,2)="DI",HLOOKUP(S746,DADOS!$T$29:$X$30,2,FALSE),0)),4),"")</f>
        <v>0.25</v>
      </c>
      <c r="AB746" s="2"/>
    </row>
    <row r="747" spans="1:28">
      <c r="A747" t="str">
        <f>CHOOSE(1+LOG(1+2*(J747=$C$2)+4*(J747=$D$2)+8*(J747=$E$2)+16*(J747=$F$2)+32*(J747=$G$2),2),0,1,2,3,4,"S")</f>
        <v>S</v>
      </c>
      <c r="B747">
        <f>IF(OR(A747="S",A747=0),0,IF(ISERROR(I747),H747,SMALL(H747:I747,1)))</f>
        <v>0</v>
      </c>
      <c r="C747">
        <f ca="1">IF($A747=1,OFFSET(C747,-1,0)+1,OFFSET(C747,-1,0))</f>
        <v>9</v>
      </c>
      <c r="D747">
        <f ca="1">IF($A747=1,0,IF($A747=2,OFFSET(D747,-1,0)+1,OFFSET(D747,-1,0)))</f>
        <v>8</v>
      </c>
      <c r="E747">
        <f ca="1">IF(AND($A747&lt;=2,$A747&lt;&gt;0),0,IF($A747=3,OFFSET(E747,-1,0)+1,OFFSET(E747,-1,0)))</f>
        <v>0</v>
      </c>
      <c r="F747">
        <f ca="1">IF(AND($A747&lt;=3,$A747&lt;&gt;0),0,IF($A747=4,OFFSET(F747,-1,0)+1,OFFSET(F747,-1,0)))</f>
        <v>0</v>
      </c>
      <c r="G747">
        <f ca="1">IF(AND($A747&lt;=4,$A747&lt;&gt;0),0,IF($A747="S",OFFSET(G747,-1,0)+1,OFFSET(G747,-1,0)))</f>
        <v>4</v>
      </c>
      <c r="H747">
        <f ca="1">IF(OR($A747="S",$A747=0),0,MATCH(0,OFFSET($B747,1,$A747,ROW($A$1504)-ROW($A747)),0))</f>
        <v>0</v>
      </c>
      <c r="I747">
        <f ca="1">IF(OR($A747="S",$A747=0),0,MATCH(OFFSET($B747,0,$A747)+1,OFFSET($B747,1,$A747,ROW($A$1504)-ROW($A747)),0))</f>
        <v>0</v>
      </c>
      <c r="J747" s="132" t="s">
        <v>29</v>
      </c>
      <c r="K747" s="121" t="str">
        <f ca="1">IF($A747=0,"-",CONCATENATE(C747&amp;".",IF(AND($A$5&gt;=2,$A747&gt;=2),D747&amp;".",""),IF(AND($A$5&gt;=3,$A747&gt;=3),E747&amp;".",""),IF(AND($A$5&gt;=4,$A747&gt;=4),F747&amp;".",""),IF($A747="S",G747&amp;".","")))</f>
        <v>9.8.4.</v>
      </c>
      <c r="L747" s="137" t="str">
        <f ca="1">IF(NOT(ISERROR($Y747)),IF($Y747&lt;&gt;FALSE,INDEX(Banco,$Y747,4),""),"")</f>
        <v>Cotação</v>
      </c>
      <c r="M747" s="122" t="s">
        <v>80</v>
      </c>
      <c r="N747" s="139" t="s">
        <v>256</v>
      </c>
      <c r="O747" s="137" t="str">
        <f ca="1">IF(NOT(ISERROR($Y747)),IF($Y747&lt;&gt;FALSE,INDEX(Banco,$Y747,5),""),"")</f>
        <v>Instrutor/Monitor (Educação Fisíca)</v>
      </c>
      <c r="P747" s="138" t="str">
        <f ca="1">IF(NOT(ISERROR($Y747)),IF($Y747&lt;&gt;FALSE,INDEX(Banco,$Y747,6),""),"")</f>
        <v>Horas</v>
      </c>
      <c r="Q747" s="134">
        <v>2</v>
      </c>
      <c r="R747" s="124">
        <f ca="1">IF(NOT(ISERROR($Y747)),IF($Y747&lt;&gt;FALSE,INDEX(Banco,$Y747,7),0),0)</f>
        <v>100</v>
      </c>
      <c r="S747" s="136" t="s">
        <v>62</v>
      </c>
      <c r="T747" s="123">
        <f ca="1">IF($J747=$G$2,ROUND(ROUND($R747,2)*IF($R$9="Preço Unitário (R$)",1,1+$AA747),2),0)</f>
        <v>125</v>
      </c>
      <c r="U747" s="126">
        <f ca="1">IF($A747="S",VTOTAL1,IF($A747=0,0,ROUND(SomaAgrup,2)))</f>
        <v>250</v>
      </c>
      <c r="V747" s="1"/>
      <c r="W747" s="39" t="str">
        <f ca="1">IF(OR($A747=0,$A747="S",$A747&gt;CFF!$A$9),"",MAX(W$11:OFFSET(W747,-1,0))+1)</f>
        <v/>
      </c>
      <c r="X747" s="4" t="str">
        <f>IF(AND($J747=$G$2,$N747&lt;&gt;"",$M747&lt;&gt;""),CONCATENATE($M747,"-",$N747))</f>
        <v>Serv. Terc.-017</v>
      </c>
      <c r="Y747" s="39">
        <f ca="1">IF(X747&lt;&gt;FALSE,MATCH(X747,OFFSET(Banco,0,0,,1),0))</f>
        <v>97</v>
      </c>
      <c r="Z747" s="1"/>
      <c r="AA747" s="133">
        <f>IF($J747=$G$2,ROUND(IF(ISNUMBER(S747),S747,IF(LEFT(S747,2)="DI",HLOOKUP(S747,DADOS!$T$29:$X$30,2,FALSE),0)),4),"")</f>
        <v>0.25</v>
      </c>
      <c r="AB747" s="2"/>
    </row>
    <row r="748" spans="1:28">
      <c r="A748" t="str">
        <f t="shared" si="935"/>
        <v>S</v>
      </c>
      <c r="B748">
        <f t="shared" si="936"/>
        <v>0</v>
      </c>
      <c r="C748">
        <f t="shared" ca="1" si="937"/>
        <v>9</v>
      </c>
      <c r="D748">
        <f t="shared" ca="1" si="938"/>
        <v>8</v>
      </c>
      <c r="E748">
        <f t="shared" ca="1" si="939"/>
        <v>0</v>
      </c>
      <c r="F748">
        <f t="shared" ca="1" si="940"/>
        <v>0</v>
      </c>
      <c r="G748">
        <f t="shared" ca="1" si="941"/>
        <v>5</v>
      </c>
      <c r="H748">
        <f ca="1">IF(OR($A748="S",$A748=0),0,MATCH(0,OFFSET($B748,1,$A748,ROW($A$1504)-ROW($A748)),0))</f>
        <v>0</v>
      </c>
      <c r="I748">
        <f ca="1">IF(OR($A748="S",$A748=0),0,MATCH(OFFSET($B748,0,$A748)+1,OFFSET($B748,1,$A748,ROW($A$1504)-ROW($A748)),0))</f>
        <v>0</v>
      </c>
      <c r="J748" s="132" t="s">
        <v>29</v>
      </c>
      <c r="K748" s="121" t="str">
        <f t="shared" ca="1" si="942"/>
        <v>9.8.5.</v>
      </c>
      <c r="L748" s="137" t="str">
        <f t="shared" ca="1" si="943"/>
        <v>CREFITO</v>
      </c>
      <c r="M748" s="122" t="s">
        <v>80</v>
      </c>
      <c r="N748" s="139" t="s">
        <v>260</v>
      </c>
      <c r="O748" s="137" t="str">
        <f t="shared" ca="1" si="950"/>
        <v>Fisioterapeuta (Massagem terapêutica)</v>
      </c>
      <c r="P748" s="138" t="str">
        <f t="shared" ca="1" si="944"/>
        <v>Vagas</v>
      </c>
      <c r="Q748" s="134">
        <v>30</v>
      </c>
      <c r="R748" s="124">
        <f t="shared" ca="1" si="945"/>
        <v>41.6</v>
      </c>
      <c r="S748" s="136" t="s">
        <v>62</v>
      </c>
      <c r="T748" s="123">
        <f t="shared" ca="1" si="946"/>
        <v>52</v>
      </c>
      <c r="U748" s="126">
        <f t="shared" ca="1" si="947"/>
        <v>1560</v>
      </c>
      <c r="V748" s="1"/>
      <c r="W748" s="39" t="str">
        <f ca="1">IF(OR($A748=0,$A748="S",$A748&gt;CFF!$A$9),"",MAX(W$11:OFFSET(W748,-1,0))+1)</f>
        <v/>
      </c>
      <c r="X748" s="4" t="str">
        <f t="shared" si="948"/>
        <v>Serv. Terc.-085</v>
      </c>
      <c r="Y748" s="39">
        <f t="shared" ca="1" si="949"/>
        <v>165</v>
      </c>
      <c r="Z748" s="1"/>
      <c r="AA748" s="133">
        <f>IF($J748=$G$2,ROUND(IF(ISNUMBER(S748),S748,IF(LEFT(S748,2)="DI",HLOOKUP(S748,DADOS!$T$29:$X$30,2,FALSE),0)),4),"")</f>
        <v>0.25</v>
      </c>
      <c r="AB748" s="2"/>
    </row>
    <row r="749" spans="1:28">
      <c r="A749" t="str">
        <f>CHOOSE(1+LOG(1+2*(J749=$C$2)+4*(J749=$D$2)+8*(J749=$E$2)+16*(J749=$F$2)+32*(J749=$G$2),2),0,1,2,3,4,"S")</f>
        <v>S</v>
      </c>
      <c r="B749">
        <f>IF(OR(A749="S",A749=0),0,IF(ISERROR(I749),H749,SMALL(H749:I749,1)))</f>
        <v>0</v>
      </c>
      <c r="C749">
        <f ca="1">IF($A749=1,OFFSET(C749,-1,0)+1,OFFSET(C749,-1,0))</f>
        <v>9</v>
      </c>
      <c r="D749">
        <f ca="1">IF($A749=1,0,IF($A749=2,OFFSET(D749,-1,0)+1,OFFSET(D749,-1,0)))</f>
        <v>8</v>
      </c>
      <c r="E749">
        <f ca="1">IF(AND($A749&lt;=2,$A749&lt;&gt;0),0,IF($A749=3,OFFSET(E749,-1,0)+1,OFFSET(E749,-1,0)))</f>
        <v>0</v>
      </c>
      <c r="F749">
        <f ca="1">IF(AND($A749&lt;=3,$A749&lt;&gt;0),0,IF($A749=4,OFFSET(F749,-1,0)+1,OFFSET(F749,-1,0)))</f>
        <v>0</v>
      </c>
      <c r="G749">
        <f ca="1">IF(AND($A749&lt;=4,$A749&lt;&gt;0),0,IF($A749="S",OFFSET(G749,-1,0)+1,OFFSET(G749,-1,0)))</f>
        <v>6</v>
      </c>
      <c r="H749">
        <f ca="1">IF(OR($A749="S",$A749=0),0,MATCH(0,OFFSET($B749,1,$A749,ROW($A$1504)-ROW($A749)),0))</f>
        <v>0</v>
      </c>
      <c r="I749">
        <f ca="1">IF(OR($A749="S",$A749=0),0,MATCH(OFFSET($B749,0,$A749)+1,OFFSET($B749,1,$A749,ROW($A$1504)-ROW($A749)),0))</f>
        <v>0</v>
      </c>
      <c r="J749" s="132" t="s">
        <v>29</v>
      </c>
      <c r="K749" s="121" t="str">
        <f ca="1">IF($A749=0,"-",CONCATENATE(C749&amp;".",IF(AND($A$5&gt;=2,$A749&gt;=2),D749&amp;".",""),IF(AND($A$5&gt;=3,$A749&gt;=3),E749&amp;".",""),IF(AND($A$5&gt;=4,$A749&gt;=4),F749&amp;".",""),IF($A749="S",G749&amp;".","")))</f>
        <v>9.8.6.</v>
      </c>
      <c r="L749" s="137" t="str">
        <f ca="1">IF(NOT(ISERROR($Y749)),IF($Y749&lt;&gt;FALSE,INDEX(Banco,$Y749,4),""),"")</f>
        <v>COREN</v>
      </c>
      <c r="M749" s="122" t="s">
        <v>80</v>
      </c>
      <c r="N749" s="139" t="s">
        <v>261</v>
      </c>
      <c r="O749" s="137" t="str">
        <f t="shared" ca="1" si="950"/>
        <v>Técnica de Enfermagem (Instrutor)</v>
      </c>
      <c r="P749" s="138" t="str">
        <f ca="1">IF(NOT(ISERROR($Y749)),IF($Y749&lt;&gt;FALSE,INDEX(Banco,$Y749,6),""),"")</f>
        <v>Horas</v>
      </c>
      <c r="Q749" s="134">
        <v>2</v>
      </c>
      <c r="R749" s="124">
        <f ca="1">IF(NOT(ISERROR($Y749)),IF($Y749&lt;&gt;FALSE,INDEX(Banco,$Y749,7),0),0)</f>
        <v>92.65</v>
      </c>
      <c r="S749" s="136" t="s">
        <v>62</v>
      </c>
      <c r="T749" s="123">
        <f ca="1">IF($J749=$G$2,ROUND(ROUND($R749,2)*IF($R$9="Preço Unitário (R$)",1,1+$AA749),2),0)</f>
        <v>115.81</v>
      </c>
      <c r="U749" s="126">
        <f ca="1">IF($A749="S",VTOTAL1,IF($A749=0,0,ROUND(SomaAgrup,2)))</f>
        <v>231.62</v>
      </c>
      <c r="V749" s="1"/>
      <c r="W749" s="39" t="str">
        <f ca="1">IF(OR($A749=0,$A749="S",$A749&gt;CFF!$A$9),"",MAX(W$11:OFFSET(W749,-1,0))+1)</f>
        <v/>
      </c>
      <c r="X749" s="4" t="str">
        <f>IF(AND($J749=$G$2,$N749&lt;&gt;"",$M749&lt;&gt;""),CONCATENATE($M749,"-",$N749))</f>
        <v>Serv. Terc.-086</v>
      </c>
      <c r="Y749" s="39">
        <f ca="1">IF(X749&lt;&gt;FALSE,MATCH(X749,OFFSET(Banco,0,0,,1),0))</f>
        <v>166</v>
      </c>
      <c r="Z749" s="1"/>
      <c r="AA749" s="133">
        <f>IF($J749=$G$2,ROUND(IF(ISNUMBER(S749),S749,IF(LEFT(S749,2)="DI",HLOOKUP(S749,DADOS!$T$29:$X$30,2,FALSE),0)),4),"")</f>
        <v>0.25</v>
      </c>
      <c r="AB749" s="2"/>
    </row>
    <row r="750" spans="1:28">
      <c r="A750" t="str">
        <f>CHOOSE(1+LOG(1+2*(J750=$C$2)+4*(J750=$D$2)+8*(J750=$E$2)+16*(J750=$F$2)+32*(J750=$G$2),2),0,1,2,3,4,"S")</f>
        <v>S</v>
      </c>
      <c r="B750">
        <f>IF(OR(A750="S",A750=0),0,IF(ISERROR(I750),H750,SMALL(H750:I750,1)))</f>
        <v>0</v>
      </c>
      <c r="C750">
        <f ca="1">IF($A750=1,OFFSET(C750,-1,0)+1,OFFSET(C750,-1,0))</f>
        <v>9</v>
      </c>
      <c r="D750">
        <f ca="1">IF($A750=1,0,IF($A750=2,OFFSET(D750,-1,0)+1,OFFSET(D750,-1,0)))</f>
        <v>8</v>
      </c>
      <c r="E750">
        <f ca="1">IF(AND($A750&lt;=2,$A750&lt;&gt;0),0,IF($A750=3,OFFSET(E750,-1,0)+1,OFFSET(E750,-1,0)))</f>
        <v>0</v>
      </c>
      <c r="F750">
        <f ca="1">IF(AND($A750&lt;=3,$A750&lt;&gt;0),0,IF($A750=4,OFFSET(F750,-1,0)+1,OFFSET(F750,-1,0)))</f>
        <v>0</v>
      </c>
      <c r="G750">
        <f ca="1">IF(AND($A750&lt;=4,$A750&lt;&gt;0),0,IF($A750="S",OFFSET(G750,-1,0)+1,OFFSET(G750,-1,0)))</f>
        <v>7</v>
      </c>
      <c r="H750">
        <f ca="1">IF(OR($A750="S",$A750=0),0,MATCH(0,OFFSET($B750,1,$A750,ROW($A$1504)-ROW($A750)),0))</f>
        <v>0</v>
      </c>
      <c r="I750">
        <f ca="1">IF(OR($A750="S",$A750=0),0,MATCH(OFFSET($B750,0,$A750)+1,OFFSET($B750,1,$A750,ROW($A$1504)-ROW($A750)),0))</f>
        <v>0</v>
      </c>
      <c r="J750" s="132" t="s">
        <v>29</v>
      </c>
      <c r="K750" s="121" t="str">
        <f ca="1">IF($A750=0,"-",CONCATENATE(C750&amp;".",IF(AND($A$5&gt;=2,$A750&gt;=2),D750&amp;".",""),IF(AND($A$5&gt;=3,$A750&gt;=3),E750&amp;".",""),IF(AND($A$5&gt;=4,$A750&gt;=4),F750&amp;".",""),IF($A750="S",G750&amp;".","")))</f>
        <v>9.8.7.</v>
      </c>
      <c r="L750" s="137" t="str">
        <f ca="1">IF(NOT(ISERROR($Y750)),IF($Y750&lt;&gt;FALSE,INDEX(Banco,$Y750,4),""),"")</f>
        <v>Cotação</v>
      </c>
      <c r="M750" s="122" t="s">
        <v>80</v>
      </c>
      <c r="N750" s="139" t="s">
        <v>256</v>
      </c>
      <c r="O750" s="137" t="str">
        <f ca="1">IF(NOT(ISERROR($Y750)),IF($Y750&lt;&gt;FALSE,INDEX(Banco,$Y750,5),""),"")</f>
        <v>Instrutor/Monitor (Educação Fisíca)</v>
      </c>
      <c r="P750" s="138" t="str">
        <f ca="1">IF(NOT(ISERROR($Y750)),IF($Y750&lt;&gt;FALSE,INDEX(Banco,$Y750,6),""),"")</f>
        <v>Horas</v>
      </c>
      <c r="Q750" s="134">
        <v>2</v>
      </c>
      <c r="R750" s="124">
        <f ca="1">IF(NOT(ISERROR($Y750)),IF($Y750&lt;&gt;FALSE,INDEX(Banco,$Y750,7),0),0)</f>
        <v>100</v>
      </c>
      <c r="S750" s="136" t="s">
        <v>62</v>
      </c>
      <c r="T750" s="123">
        <f ca="1">IF($J750=$G$2,ROUND(ROUND($R750,2)*IF($R$9="Preço Unitário (R$)",1,1+$AA750),2),0)</f>
        <v>125</v>
      </c>
      <c r="U750" s="126">
        <f ca="1">IF($A750="S",VTOTAL1,IF($A750=0,0,ROUND(SomaAgrup,2)))</f>
        <v>250</v>
      </c>
      <c r="V750" s="1"/>
      <c r="W750" s="39" t="str">
        <f ca="1">IF(OR($A750=0,$A750="S",$A750&gt;CFF!$A$9),"",MAX(W$11:OFFSET(W750,-1,0))+1)</f>
        <v/>
      </c>
      <c r="X750" s="4" t="str">
        <f>IF(AND($J750=$G$2,$N750&lt;&gt;"",$M750&lt;&gt;""),CONCATENATE($M750,"-",$N750))</f>
        <v>Serv. Terc.-017</v>
      </c>
      <c r="Y750" s="39">
        <f ca="1">IF(X750&lt;&gt;FALSE,MATCH(X750,OFFSET(Banco,0,0,,1),0))</f>
        <v>97</v>
      </c>
      <c r="Z750" s="1"/>
      <c r="AA750" s="133">
        <f>IF($J750=$G$2,ROUND(IF(ISNUMBER(S750),S750,IF(LEFT(S750,2)="DI",HLOOKUP(S750,DADOS!$T$29:$X$30,2,FALSE),0)),4),"")</f>
        <v>0.25</v>
      </c>
      <c r="AB750" s="2"/>
    </row>
    <row r="751" spans="1:28">
      <c r="A751" t="str">
        <f>CHOOSE(1+LOG(1+2*(J751=$C$2)+4*(J751=$D$2)+8*(J751=$E$2)+16*(J751=$F$2)+32*(J751=$G$2),2),0,1,2,3,4,"S")</f>
        <v>S</v>
      </c>
      <c r="B751">
        <f>IF(OR(A751="S",A751=0),0,IF(ISERROR(I751),H751,SMALL(H751:I751,1)))</f>
        <v>0</v>
      </c>
      <c r="C751">
        <f ca="1">IF($A751=1,OFFSET(C751,-1,0)+1,OFFSET(C751,-1,0))</f>
        <v>9</v>
      </c>
      <c r="D751">
        <f ca="1">IF($A751=1,0,IF($A751=2,OFFSET(D751,-1,0)+1,OFFSET(D751,-1,0)))</f>
        <v>8</v>
      </c>
      <c r="E751">
        <f ca="1">IF(AND($A751&lt;=2,$A751&lt;&gt;0),0,IF($A751=3,OFFSET(E751,-1,0)+1,OFFSET(E751,-1,0)))</f>
        <v>0</v>
      </c>
      <c r="F751">
        <f ca="1">IF(AND($A751&lt;=3,$A751&lt;&gt;0),0,IF($A751=4,OFFSET(F751,-1,0)+1,OFFSET(F751,-1,0)))</f>
        <v>0</v>
      </c>
      <c r="G751">
        <f ca="1">IF(AND($A751&lt;=4,$A751&lt;&gt;0),0,IF($A751="S",OFFSET(G751,-1,0)+1,OFFSET(G751,-1,0)))</f>
        <v>8</v>
      </c>
      <c r="H751">
        <f ca="1">IF(OR($A751="S",$A751=0),0,MATCH(0,OFFSET($B751,1,$A751,ROW($A$1504)-ROW($A751)),0))</f>
        <v>0</v>
      </c>
      <c r="I751">
        <f ca="1">IF(OR($A751="S",$A751=0),0,MATCH(OFFSET($B751,0,$A751)+1,OFFSET($B751,1,$A751,ROW($A$1504)-ROW($A751)),0))</f>
        <v>0</v>
      </c>
      <c r="J751" s="132" t="s">
        <v>29</v>
      </c>
      <c r="K751" s="121" t="str">
        <f ca="1">IF($A751=0,"-",CONCATENATE(C751&amp;".",IF(AND($A$5&gt;=2,$A751&gt;=2),D751&amp;".",""),IF(AND($A$5&gt;=3,$A751&gt;=3),E751&amp;".",""),IF(AND($A$5&gt;=4,$A751&gt;=4),F751&amp;".",""),IF($A751="S",G751&amp;".","")))</f>
        <v>9.8.8.</v>
      </c>
      <c r="L751" s="137" t="str">
        <f ca="1">IF(NOT(ISERROR($Y751)),IF($Y751&lt;&gt;FALSE,INDEX(Banco,$Y751,4),""),"")</f>
        <v>Cotação</v>
      </c>
      <c r="M751" s="122" t="s">
        <v>80</v>
      </c>
      <c r="N751" s="139" t="s">
        <v>294</v>
      </c>
      <c r="O751" s="137" t="str">
        <f ca="1">IF(NOT(ISERROR($Y751)),IF($Y751&lt;&gt;FALSE,INDEX(Banco,$Y751,5),""),"")</f>
        <v>KIT (massagem terapêutica)</v>
      </c>
      <c r="P751" s="138" t="str">
        <f ca="1">IF(NOT(ISERROR($Y751)),IF($Y751&lt;&gt;FALSE,INDEX(Banco,$Y751,6),""),"")</f>
        <v>KIT</v>
      </c>
      <c r="Q751" s="134">
        <v>1</v>
      </c>
      <c r="R751" s="124">
        <f ca="1">IF(NOT(ISERROR($Y751)),IF($Y751&lt;&gt;FALSE,INDEX(Banco,$Y751,7),0),0)</f>
        <v>102.94</v>
      </c>
      <c r="S751" s="136" t="s">
        <v>62</v>
      </c>
      <c r="T751" s="123">
        <f ca="1">IF($J751=$G$2,ROUND(ROUND($R751,2)*IF($R$9="Preço Unitário (R$)",1,1+$AA751),2),0)</f>
        <v>128.68</v>
      </c>
      <c r="U751" s="126">
        <f ca="1">IF($A751="S",VTOTAL1,IF($A751=0,0,ROUND(SomaAgrup,2)))</f>
        <v>128.68</v>
      </c>
      <c r="V751" s="1"/>
      <c r="W751" s="39" t="str">
        <f ca="1">IF(OR($A751=0,$A751="S",$A751&gt;CFF!$A$9),"",MAX(W$11:OFFSET(W751,-1,0))+1)</f>
        <v/>
      </c>
      <c r="X751" s="4" t="str">
        <f>IF(AND($J751=$G$2,$N751&lt;&gt;"",$M751&lt;&gt;""),CONCATENATE($M751,"-",$N751))</f>
        <v>Serv. Terc.-061</v>
      </c>
      <c r="Y751" s="39">
        <f ca="1">IF(X751&lt;&gt;FALSE,MATCH(X751,OFFSET(Banco,0,0,,1),0))</f>
        <v>141</v>
      </c>
      <c r="Z751" s="1"/>
      <c r="AA751" s="133">
        <f>IF($J751=$G$2,ROUND(IF(ISNUMBER(S751),S751,IF(LEFT(S751,2)="DI",HLOOKUP(S751,DADOS!$T$29:$X$30,2,FALSE),0)),4),"")</f>
        <v>0.25</v>
      </c>
      <c r="AB751" s="2"/>
    </row>
    <row r="752" spans="1:28" ht="25.5">
      <c r="A752">
        <f>CHOOSE(1+LOG(1+2*(J752=$C$2)+4*(J752=$D$2)+8*(J752=$E$2)+16*(J752=$F$2)+32*(J752=$G$2),2),0,1,2,3,4,"S")</f>
        <v>2</v>
      </c>
      <c r="B752">
        <f ca="1">IF(OR(A752="S",A752=0),0,IF(ISERROR(I752),H752,SMALL(H752:I752,1)))</f>
        <v>19</v>
      </c>
      <c r="C752">
        <f ca="1">IF($A752=1,OFFSET(C752,-1,0)+1,OFFSET(C752,-1,0))</f>
        <v>9</v>
      </c>
      <c r="D752">
        <f ca="1">IF($A752=1,0,IF($A752=2,OFFSET(D752,-1,0)+1,OFFSET(D752,-1,0)))</f>
        <v>9</v>
      </c>
      <c r="E752">
        <f ca="1">IF(AND($A752&lt;=2,$A752&lt;&gt;0),0,IF($A752=3,OFFSET(E752,-1,0)+1,OFFSET(E752,-1,0)))</f>
        <v>0</v>
      </c>
      <c r="F752">
        <f ca="1">IF(AND($A752&lt;=3,$A752&lt;&gt;0),0,IF($A752=4,OFFSET(F752,-1,0)+1,OFFSET(F752,-1,0)))</f>
        <v>0</v>
      </c>
      <c r="G752">
        <f ca="1">IF(AND($A752&lt;=4,$A752&lt;&gt;0),0,IF($A752="S",OFFSET(G752,-1,0)+1,OFFSET(G752,-1,0)))</f>
        <v>0</v>
      </c>
      <c r="H752">
        <f ca="1">IF(OR($A752="S",$A752=0),0,MATCH(0,OFFSET($B752,1,$A752,ROW($A$1504)-ROW($A752)),0))</f>
        <v>47</v>
      </c>
      <c r="I752">
        <f ca="1">IF(OR($A752="S",$A752=0),0,MATCH(OFFSET($B752,0,$A752)+1,OFFSET($B752,1,$A752,ROW($A$1504)-ROW($A752)),0))</f>
        <v>19</v>
      </c>
      <c r="J752" s="132" t="s">
        <v>68</v>
      </c>
      <c r="K752" s="121" t="str">
        <f ca="1">IF($A752=0,"-",CONCATENATE(C752&amp;".",IF(AND($A$5&gt;=2,$A752&gt;=2),D752&amp;".",""),IF(AND($A$5&gt;=3,$A752&gt;=3),E752&amp;".",""),IF(AND($A$5&gt;=4,$A752&gt;=4),F752&amp;".",""),IF($A752="S",G752&amp;".","")))</f>
        <v>9.9.</v>
      </c>
      <c r="L752" s="137" t="str">
        <f ca="1">IF(NOT(ISERROR($Y752)),IF($Y752&lt;&gt;FALSE,INDEX(Banco,$Y752,4),""),"")</f>
        <v/>
      </c>
      <c r="M752" s="122"/>
      <c r="N752" s="139"/>
      <c r="O752" s="137" t="s">
        <v>408</v>
      </c>
      <c r="P752" s="138" t="str">
        <f ca="1">IF(NOT(ISERROR($Y752)),IF($Y752&lt;&gt;FALSE,INDEX(Banco,$Y752,6),""),"")</f>
        <v/>
      </c>
      <c r="Q752" s="134"/>
      <c r="R752" s="124">
        <f ca="1">IF(NOT(ISERROR($Y752)),IF($Y752&lt;&gt;FALSE,INDEX(Banco,$Y752,7),0),0)</f>
        <v>0</v>
      </c>
      <c r="S752" s="136" t="s">
        <v>62</v>
      </c>
      <c r="T752" s="123">
        <f>IF($J752=$G$2,ROUND(ROUND($R752,2)*IF($R$9="Preço Unitário (R$)",1,1+$AA752),2),0)</f>
        <v>0</v>
      </c>
      <c r="U752" s="126">
        <f ca="1">IF($A752="S",VTOTAL1,IF($A752=0,0,ROUND(SomaAgrup,2)))</f>
        <v>5687.92</v>
      </c>
      <c r="V752" s="1"/>
      <c r="W752" s="39">
        <f ca="1">IF(OR($A752=0,$A752="S",$A752&gt;CFF!$A$9),"",MAX(W$11:OFFSET(W752,-1,0))+1)</f>
        <v>70</v>
      </c>
      <c r="X752" s="4" t="b">
        <f>IF(AND($J752=$G$2,$N752&lt;&gt;"",$M752&lt;&gt;""),CONCATENATE($M752,"-",$N752))</f>
        <v>0</v>
      </c>
      <c r="Y752" s="39" t="b">
        <f ca="1">IF(X752&lt;&gt;FALSE,MATCH(X752,OFFSET(Banco,0,0,,1),0))</f>
        <v>0</v>
      </c>
      <c r="Z752" s="1"/>
      <c r="AA752" s="133" t="str">
        <f>IF($J752=$G$2,ROUND(IF(ISNUMBER(S752),S752,IF(LEFT(S752,2)="DI",HLOOKUP(S752,DADOS!$T$29:$X$30,2,FALSE),0)),4),"")</f>
        <v/>
      </c>
      <c r="AB752" s="2"/>
    </row>
    <row r="753" spans="1:28">
      <c r="A753" t="str">
        <f t="shared" ref="A753:A770" si="951">CHOOSE(1+LOG(1+2*(J753=$C$2)+4*(J753=$D$2)+8*(J753=$E$2)+16*(J753=$F$2)+32*(J753=$G$2),2),0,1,2,3,4,"S")</f>
        <v>S</v>
      </c>
      <c r="B753">
        <f t="shared" ref="B753:B770" si="952">IF(OR(A753="S",A753=0),0,IF(ISERROR(I753),H753,SMALL(H753:I753,1)))</f>
        <v>0</v>
      </c>
      <c r="C753">
        <f t="shared" ref="C753:C767" ca="1" si="953">IF($A753=1,OFFSET(C753,-1,0)+1,OFFSET(C753,-1,0))</f>
        <v>9</v>
      </c>
      <c r="D753">
        <f t="shared" ref="D753:D767" ca="1" si="954">IF($A753=1,0,IF($A753=2,OFFSET(D753,-1,0)+1,OFFSET(D753,-1,0)))</f>
        <v>9</v>
      </c>
      <c r="E753">
        <f t="shared" ref="E753:E767" ca="1" si="955">IF(AND($A753&lt;=2,$A753&lt;&gt;0),0,IF($A753=3,OFFSET(E753,-1,0)+1,OFFSET(E753,-1,0)))</f>
        <v>0</v>
      </c>
      <c r="F753">
        <f t="shared" ref="F753:F767" ca="1" si="956">IF(AND($A753&lt;=3,$A753&lt;&gt;0),0,IF($A753=4,OFFSET(F753,-1,0)+1,OFFSET(F753,-1,0)))</f>
        <v>0</v>
      </c>
      <c r="G753">
        <f t="shared" ref="G753:G767" ca="1" si="957">IF(AND($A753&lt;=4,$A753&lt;&gt;0),0,IF($A753="S",OFFSET(G753,-1,0)+1,OFFSET(G753,-1,0)))</f>
        <v>1</v>
      </c>
      <c r="H753">
        <f ca="1">IF(OR($A753="S",$A753=0),0,MATCH(0,OFFSET($B753,1,$A753,ROW($A$1504)-ROW($A753)),0))</f>
        <v>0</v>
      </c>
      <c r="I753">
        <f ca="1">IF(OR($A753="S",$A753=0),0,MATCH(OFFSET($B753,0,$A753)+1,OFFSET($B753,1,$A753,ROW($A$1504)-ROW($A753)),0))</f>
        <v>0</v>
      </c>
      <c r="J753" s="132" t="s">
        <v>29</v>
      </c>
      <c r="K753" s="121" t="str">
        <f t="shared" ref="K753:K770" ca="1" si="958">IF($A753=0,"-",CONCATENATE(C753&amp;".",IF(AND($A$5&gt;=2,$A753&gt;=2),D753&amp;".",""),IF(AND($A$5&gt;=3,$A753&gt;=3),E753&amp;".",""),IF(AND($A$5&gt;=4,$A753&gt;=4),F753&amp;".",""),IF($A753="S",G753&amp;".","")))</f>
        <v>9.9.1.</v>
      </c>
      <c r="L753" s="137" t="str">
        <f t="shared" ref="L753:L767" ca="1" si="959">IF(NOT(ISERROR($Y753)),IF($Y753&lt;&gt;FALSE,INDEX(Banco,$Y753,4),""),"")</f>
        <v>CRESS</v>
      </c>
      <c r="M753" s="122" t="s">
        <v>78</v>
      </c>
      <c r="N753" s="139" t="s">
        <v>149</v>
      </c>
      <c r="O753" s="137" t="str">
        <f t="shared" ref="O753:O759" ca="1" si="960">IF(NOT(ISERROR($Y753)),IF($Y753&lt;&gt;FALSE,INDEX(Banco,$Y753,5),""),"")</f>
        <v>Responsável Técnica</v>
      </c>
      <c r="P753" s="138" t="str">
        <f t="shared" ref="P753:P767" ca="1" si="961">IF(NOT(ISERROR($Y753)),IF($Y753&lt;&gt;FALSE,INDEX(Banco,$Y753,6),""),"")</f>
        <v>Horas</v>
      </c>
      <c r="Q753" s="134">
        <v>6</v>
      </c>
      <c r="R753" s="124">
        <f t="shared" ref="R753:R767" ca="1" si="962">IF(NOT(ISERROR($Y753)),IF($Y753&lt;&gt;FALSE,INDEX(Banco,$Y753,7),0),0)</f>
        <v>150.28</v>
      </c>
      <c r="S753" s="136" t="s">
        <v>62</v>
      </c>
      <c r="T753" s="123">
        <f t="shared" ref="T753:T767" ca="1" si="963">IF($J753=$G$2,ROUND(ROUND($R753,2)*IF($R$9="Preço Unitário (R$)",1,1+$AA753),2),0)</f>
        <v>187.85</v>
      </c>
      <c r="U753" s="126">
        <f t="shared" ref="U753:U767" ca="1" si="964">IF($A753="S",VTOTAL1,IF($A753=0,0,ROUND(SomaAgrup,2)))</f>
        <v>1127.0999999999999</v>
      </c>
      <c r="V753" s="1"/>
      <c r="W753" s="39" t="str">
        <f ca="1">IF(OR($A753=0,$A753="S",$A753&gt;CFF!$A$9),"",MAX(W$11:OFFSET(W753,-1,0))+1)</f>
        <v/>
      </c>
      <c r="X753" s="4" t="str">
        <f t="shared" ref="X753:X767" si="965">IF(AND($J753=$G$2,$N753&lt;&gt;"",$M753&lt;&gt;""),CONCATENATE($M753,"-",$N753))</f>
        <v>Rec. Humanos-001</v>
      </c>
      <c r="Y753" s="39">
        <f t="shared" ref="Y753:Y770" ca="1" si="966">IF(X753&lt;&gt;FALSE,MATCH(X753,OFFSET(Banco,0,0,,1),0))</f>
        <v>3</v>
      </c>
      <c r="Z753" s="1"/>
      <c r="AA753" s="133">
        <f>IF($J753=$G$2,ROUND(IF(ISNUMBER(S753),S753,IF(LEFT(S753,2)="DI",HLOOKUP(S753,DADOS!$T$29:$X$30,2,FALSE),0)),4),"")</f>
        <v>0.25</v>
      </c>
      <c r="AB753" s="2"/>
    </row>
    <row r="754" spans="1:28">
      <c r="A754" t="str">
        <f t="shared" si="951"/>
        <v>S</v>
      </c>
      <c r="B754">
        <f t="shared" si="952"/>
        <v>0</v>
      </c>
      <c r="C754">
        <f t="shared" ca="1" si="953"/>
        <v>9</v>
      </c>
      <c r="D754">
        <f t="shared" ca="1" si="954"/>
        <v>9</v>
      </c>
      <c r="E754">
        <f t="shared" ca="1" si="955"/>
        <v>0</v>
      </c>
      <c r="F754">
        <f t="shared" ca="1" si="956"/>
        <v>0</v>
      </c>
      <c r="G754">
        <f t="shared" ca="1" si="957"/>
        <v>2</v>
      </c>
      <c r="H754">
        <f ca="1">IF(OR($A754="S",$A754=0),0,MATCH(0,OFFSET($B754,1,$A754,ROW($A$1504)-ROW($A754)),0))</f>
        <v>0</v>
      </c>
      <c r="I754">
        <f ca="1">IF(OR($A754="S",$A754=0),0,MATCH(OFFSET($B754,0,$A754)+1,OFFSET($B754,1,$A754,ROW($A$1504)-ROW($A754)),0))</f>
        <v>0</v>
      </c>
      <c r="J754" s="132" t="s">
        <v>29</v>
      </c>
      <c r="K754" s="121" t="str">
        <f t="shared" ca="1" si="958"/>
        <v>9.9.2.</v>
      </c>
      <c r="L754" s="137" t="str">
        <f t="shared" ca="1" si="959"/>
        <v>CRESS</v>
      </c>
      <c r="M754" s="122" t="s">
        <v>78</v>
      </c>
      <c r="N754" s="139" t="s">
        <v>152</v>
      </c>
      <c r="O754" s="137" t="str">
        <f t="shared" ca="1" si="960"/>
        <v>Assistente Social</v>
      </c>
      <c r="P754" s="138" t="str">
        <f t="shared" ca="1" si="961"/>
        <v>Horas</v>
      </c>
      <c r="Q754" s="134">
        <v>4</v>
      </c>
      <c r="R754" s="124">
        <f t="shared" ca="1" si="962"/>
        <v>133.81</v>
      </c>
      <c r="S754" s="136" t="s">
        <v>62</v>
      </c>
      <c r="T754" s="123">
        <f t="shared" ca="1" si="963"/>
        <v>167.26</v>
      </c>
      <c r="U754" s="126">
        <f t="shared" ca="1" si="964"/>
        <v>669.04</v>
      </c>
      <c r="V754" s="1"/>
      <c r="W754" s="39" t="str">
        <f ca="1">IF(OR($A754=0,$A754="S",$A754&gt;CFF!$A$9),"",MAX(W$11:OFFSET(W754,-1,0))+1)</f>
        <v/>
      </c>
      <c r="X754" s="4" t="str">
        <f t="shared" si="965"/>
        <v>Rec. Humanos-002</v>
      </c>
      <c r="Y754" s="39">
        <f t="shared" ca="1" si="966"/>
        <v>4</v>
      </c>
      <c r="Z754" s="1"/>
      <c r="AA754" s="133">
        <f>IF($J754=$G$2,ROUND(IF(ISNUMBER(S754),S754,IF(LEFT(S754,2)="DI",HLOOKUP(S754,DADOS!$T$29:$X$30,2,FALSE),0)),4),"")</f>
        <v>0.25</v>
      </c>
      <c r="AB754" s="2"/>
    </row>
    <row r="755" spans="1:28">
      <c r="A755" t="str">
        <f t="shared" si="951"/>
        <v>S</v>
      </c>
      <c r="B755">
        <f t="shared" si="952"/>
        <v>0</v>
      </c>
      <c r="C755">
        <f t="shared" ca="1" si="953"/>
        <v>9</v>
      </c>
      <c r="D755">
        <f t="shared" ca="1" si="954"/>
        <v>9</v>
      </c>
      <c r="E755">
        <f t="shared" ca="1" si="955"/>
        <v>0</v>
      </c>
      <c r="F755">
        <f t="shared" ca="1" si="956"/>
        <v>0</v>
      </c>
      <c r="G755">
        <f t="shared" ca="1" si="957"/>
        <v>3</v>
      </c>
      <c r="H755">
        <f ca="1">IF(OR($A755="S",$A755=0),0,MATCH(0,OFFSET($B755,1,$A755,ROW($A$1504)-ROW($A755)),0))</f>
        <v>0</v>
      </c>
      <c r="I755">
        <f ca="1">IF(OR($A755="S",$A755=0),0,MATCH(OFFSET($B755,0,$A755)+1,OFFSET($B755,1,$A755,ROW($A$1504)-ROW($A755)),0))</f>
        <v>0</v>
      </c>
      <c r="J755" s="132" t="s">
        <v>29</v>
      </c>
      <c r="K755" s="121" t="str">
        <f t="shared" ca="1" si="958"/>
        <v>9.9.3.</v>
      </c>
      <c r="L755" s="137" t="str">
        <f t="shared" ca="1" si="959"/>
        <v>Cotação</v>
      </c>
      <c r="M755" s="122" t="s">
        <v>78</v>
      </c>
      <c r="N755" s="139" t="s">
        <v>151</v>
      </c>
      <c r="O755" s="137" t="str">
        <f t="shared" ca="1" si="960"/>
        <v xml:space="preserve">Administrador (Técnico de Apoio) </v>
      </c>
      <c r="P755" s="138" t="str">
        <f t="shared" ca="1" si="961"/>
        <v>Horas</v>
      </c>
      <c r="Q755" s="134">
        <v>4</v>
      </c>
      <c r="R755" s="124">
        <f t="shared" ca="1" si="962"/>
        <v>103.65</v>
      </c>
      <c r="S755" s="136" t="s">
        <v>62</v>
      </c>
      <c r="T755" s="123">
        <f t="shared" ca="1" si="963"/>
        <v>129.56</v>
      </c>
      <c r="U755" s="126">
        <f t="shared" ca="1" si="964"/>
        <v>518.24</v>
      </c>
      <c r="V755" s="1"/>
      <c r="W755" s="39" t="str">
        <f ca="1">IF(OR($A755=0,$A755="S",$A755&gt;CFF!$A$9),"",MAX(W$11:OFFSET(W755,-1,0))+1)</f>
        <v/>
      </c>
      <c r="X755" s="4" t="str">
        <f t="shared" si="965"/>
        <v>Rec. Humanos-003</v>
      </c>
      <c r="Y755" s="39">
        <f t="shared" ca="1" si="966"/>
        <v>5</v>
      </c>
      <c r="Z755" s="1"/>
      <c r="AA755" s="133">
        <f>IF($J755=$G$2,ROUND(IF(ISNUMBER(S755),S755,IF(LEFT(S755,2)="DI",HLOOKUP(S755,DADOS!$T$29:$X$30,2,FALSE),0)),4),"")</f>
        <v>0.25</v>
      </c>
      <c r="AB755" s="2"/>
    </row>
    <row r="756" spans="1:28">
      <c r="A756" t="str">
        <f t="shared" si="951"/>
        <v>S</v>
      </c>
      <c r="B756">
        <f t="shared" si="952"/>
        <v>0</v>
      </c>
      <c r="C756">
        <f t="shared" ca="1" si="953"/>
        <v>9</v>
      </c>
      <c r="D756">
        <f t="shared" ca="1" si="954"/>
        <v>9</v>
      </c>
      <c r="E756">
        <f t="shared" ca="1" si="955"/>
        <v>0</v>
      </c>
      <c r="F756">
        <f t="shared" ca="1" si="956"/>
        <v>0</v>
      </c>
      <c r="G756">
        <f t="shared" ca="1" si="957"/>
        <v>4</v>
      </c>
      <c r="H756">
        <f ca="1">IF(OR($A756="S",$A756=0),0,MATCH(0,OFFSET($B756,1,$A756,ROW($A$1504)-ROW($A756)),0))</f>
        <v>0</v>
      </c>
      <c r="I756">
        <f ca="1">IF(OR($A756="S",$A756=0),0,MATCH(OFFSET($B756,0,$A756)+1,OFFSET($B756,1,$A756,ROW($A$1504)-ROW($A756)),0))</f>
        <v>0</v>
      </c>
      <c r="J756" s="132" t="s">
        <v>29</v>
      </c>
      <c r="K756" s="121" t="str">
        <f t="shared" ca="1" si="958"/>
        <v>9.9.4.</v>
      </c>
      <c r="L756" s="137" t="str">
        <f t="shared" ca="1" si="959"/>
        <v>SINE</v>
      </c>
      <c r="M756" s="122" t="s">
        <v>78</v>
      </c>
      <c r="N756" s="139" t="s">
        <v>153</v>
      </c>
      <c r="O756" s="137" t="str">
        <f t="shared" ca="1" si="960"/>
        <v>Estagiários</v>
      </c>
      <c r="P756" s="138" t="str">
        <f t="shared" ca="1" si="961"/>
        <v>Horas</v>
      </c>
      <c r="Q756" s="134">
        <v>10</v>
      </c>
      <c r="R756" s="124">
        <f t="shared" ca="1" si="962"/>
        <v>9.7899999999999991</v>
      </c>
      <c r="S756" s="136" t="s">
        <v>62</v>
      </c>
      <c r="T756" s="123">
        <f t="shared" ca="1" si="963"/>
        <v>12.24</v>
      </c>
      <c r="U756" s="126">
        <f t="shared" ca="1" si="964"/>
        <v>122.4</v>
      </c>
      <c r="V756" s="1"/>
      <c r="W756" s="39" t="str">
        <f ca="1">IF(OR($A756=0,$A756="S",$A756&gt;CFF!$A$9),"",MAX(W$11:OFFSET(W756,-1,0))+1)</f>
        <v/>
      </c>
      <c r="X756" s="4" t="str">
        <f t="shared" si="965"/>
        <v>Rec. Humanos-004</v>
      </c>
      <c r="Y756" s="39">
        <f t="shared" ca="1" si="966"/>
        <v>6</v>
      </c>
      <c r="Z756" s="1"/>
      <c r="AA756" s="133">
        <f>IF($J756=$G$2,ROUND(IF(ISNUMBER(S756),S756,IF(LEFT(S756,2)="DI",HLOOKUP(S756,DADOS!$T$29:$X$30,2,FALSE),0)),4),"")</f>
        <v>0.25</v>
      </c>
      <c r="AB756" s="2"/>
    </row>
    <row r="757" spans="1:28">
      <c r="A757" t="str">
        <f t="shared" si="951"/>
        <v>S</v>
      </c>
      <c r="B757">
        <f t="shared" si="952"/>
        <v>0</v>
      </c>
      <c r="C757">
        <f t="shared" ca="1" si="953"/>
        <v>9</v>
      </c>
      <c r="D757">
        <f t="shared" ca="1" si="954"/>
        <v>9</v>
      </c>
      <c r="E757">
        <f t="shared" ca="1" si="955"/>
        <v>0</v>
      </c>
      <c r="F757">
        <f t="shared" ca="1" si="956"/>
        <v>0</v>
      </c>
      <c r="G757">
        <f t="shared" ca="1" si="957"/>
        <v>5</v>
      </c>
      <c r="H757">
        <f ca="1">IF(OR($A757="S",$A757=0),0,MATCH(0,OFFSET($B757,1,$A757,ROW($A$1504)-ROW($A757)),0))</f>
        <v>0</v>
      </c>
      <c r="I757">
        <f ca="1">IF(OR($A757="S",$A757=0),0,MATCH(OFFSET($B757,0,$A757)+1,OFFSET($B757,1,$A757,ROW($A$1504)-ROW($A757)),0))</f>
        <v>0</v>
      </c>
      <c r="J757" s="132" t="s">
        <v>29</v>
      </c>
      <c r="K757" s="121" t="str">
        <f t="shared" ca="1" si="958"/>
        <v>9.9.5.</v>
      </c>
      <c r="L757" s="137" t="str">
        <f t="shared" ca="1" si="959"/>
        <v>Cotação</v>
      </c>
      <c r="M757" s="122" t="s">
        <v>80</v>
      </c>
      <c r="N757" s="139" t="s">
        <v>149</v>
      </c>
      <c r="O757" s="137" t="str">
        <f t="shared" ca="1" si="960"/>
        <v>Fotocópias</v>
      </c>
      <c r="P757" s="138" t="str">
        <f t="shared" ca="1" si="961"/>
        <v>Unidade</v>
      </c>
      <c r="Q757" s="134">
        <v>150</v>
      </c>
      <c r="R757" s="124">
        <f t="shared" ca="1" si="962"/>
        <v>0.3</v>
      </c>
      <c r="S757" s="136" t="s">
        <v>62</v>
      </c>
      <c r="T757" s="123">
        <f t="shared" ca="1" si="963"/>
        <v>0.38</v>
      </c>
      <c r="U757" s="126">
        <f t="shared" ca="1" si="964"/>
        <v>57</v>
      </c>
      <c r="V757" s="1"/>
      <c r="W757" s="39" t="str">
        <f ca="1">IF(OR($A757=0,$A757="S",$A757&gt;CFF!$A$9),"",MAX(W$11:OFFSET(W757,-1,0))+1)</f>
        <v/>
      </c>
      <c r="X757" s="4" t="str">
        <f t="shared" si="965"/>
        <v>Serv. Terc.-001</v>
      </c>
      <c r="Y757" s="39">
        <f t="shared" ca="1" si="966"/>
        <v>81</v>
      </c>
      <c r="Z757" s="1"/>
      <c r="AA757" s="133">
        <f>IF($J757=$G$2,ROUND(IF(ISNUMBER(S757),S757,IF(LEFT(S757,2)="DI",HLOOKUP(S757,DADOS!$T$29:$X$30,2,FALSE),0)),4),"")</f>
        <v>0.25</v>
      </c>
      <c r="AB757" s="2"/>
    </row>
    <row r="758" spans="1:28">
      <c r="A758" t="str">
        <f>CHOOSE(1+LOG(1+2*(J758=$C$2)+4*(J758=$D$2)+8*(J758=$E$2)+16*(J758=$F$2)+32*(J758=$G$2),2),0,1,2,3,4,"S")</f>
        <v>S</v>
      </c>
      <c r="B758">
        <f>IF(OR(A758="S",A758=0),0,IF(ISERROR(I758),H758,SMALL(H758:I758,1)))</f>
        <v>0</v>
      </c>
      <c r="C758">
        <f ca="1">IF($A758=1,OFFSET(C758,-1,0)+1,OFFSET(C758,-1,0))</f>
        <v>9</v>
      </c>
      <c r="D758">
        <f ca="1">IF($A758=1,0,IF($A758=2,OFFSET(D758,-1,0)+1,OFFSET(D758,-1,0)))</f>
        <v>9</v>
      </c>
      <c r="E758">
        <f ca="1">IF(AND($A758&lt;=2,$A758&lt;&gt;0),0,IF($A758=3,OFFSET(E758,-1,0)+1,OFFSET(E758,-1,0)))</f>
        <v>0</v>
      </c>
      <c r="F758">
        <f ca="1">IF(AND($A758&lt;=3,$A758&lt;&gt;0),0,IF($A758=4,OFFSET(F758,-1,0)+1,OFFSET(F758,-1,0)))</f>
        <v>0</v>
      </c>
      <c r="G758">
        <f ca="1">IF(AND($A758&lt;=4,$A758&lt;&gt;0),0,IF($A758="S",OFFSET(G758,-1,0)+1,OFFSET(G758,-1,0)))</f>
        <v>6</v>
      </c>
      <c r="H758">
        <f ca="1">IF(OR($A758="S",$A758=0),0,MATCH(0,OFFSET($B758,1,$A758,ROW($A$1504)-ROW($A758)),0))</f>
        <v>0</v>
      </c>
      <c r="I758">
        <f ca="1">IF(OR($A758="S",$A758=0),0,MATCH(OFFSET($B758,0,$A758)+1,OFFSET($B758,1,$A758,ROW($A$1504)-ROW($A758)),0))</f>
        <v>0</v>
      </c>
      <c r="J758" s="132" t="s">
        <v>29</v>
      </c>
      <c r="K758" s="121" t="str">
        <f ca="1">IF($A758=0,"-",CONCATENATE(C758&amp;".",IF(AND($A$5&gt;=2,$A758&gt;=2),D758&amp;".",""),IF(AND($A$5&gt;=3,$A758&gt;=3),E758&amp;".",""),IF(AND($A$5&gt;=4,$A758&gt;=4),F758&amp;".",""),IF($A758="S",G758&amp;".","")))</f>
        <v>9.9.6.</v>
      </c>
      <c r="L758" s="137" t="str">
        <f ca="1">IF(NOT(ISERROR($Y758)),IF($Y758&lt;&gt;FALSE,INDEX(Banco,$Y758,4),""),"")</f>
        <v>Cotação</v>
      </c>
      <c r="M758" s="122" t="s">
        <v>80</v>
      </c>
      <c r="N758" s="139" t="s">
        <v>256</v>
      </c>
      <c r="O758" s="137" t="str">
        <f ca="1">IF(NOT(ISERROR($Y758)),IF($Y758&lt;&gt;FALSE,INDEX(Banco,$Y758,5),""),"")</f>
        <v>Instrutor/Monitor (Educação Fisíca)</v>
      </c>
      <c r="P758" s="138" t="str">
        <f ca="1">IF(NOT(ISERROR($Y758)),IF($Y758&lt;&gt;FALSE,INDEX(Banco,$Y758,6),""),"")</f>
        <v>Horas</v>
      </c>
      <c r="Q758" s="134">
        <v>3</v>
      </c>
      <c r="R758" s="124">
        <f ca="1">IF(NOT(ISERROR($Y758)),IF($Y758&lt;&gt;FALSE,INDEX(Banco,$Y758,7),0),0)</f>
        <v>100</v>
      </c>
      <c r="S758" s="136" t="s">
        <v>62</v>
      </c>
      <c r="T758" s="123">
        <f ca="1">IF($J758=$G$2,ROUND(ROUND($R758,2)*IF($R$9="Preço Unitário (R$)",1,1+$AA758),2),0)</f>
        <v>125</v>
      </c>
      <c r="U758" s="126">
        <f ca="1">IF($A758="S",VTOTAL1,IF($A758=0,0,ROUND(SomaAgrup,2)))</f>
        <v>375</v>
      </c>
      <c r="V758" s="1"/>
      <c r="W758" s="39" t="str">
        <f ca="1">IF(OR($A758=0,$A758="S",$A758&gt;CFF!$A$9),"",MAX(W$11:OFFSET(W758,-1,0))+1)</f>
        <v/>
      </c>
      <c r="X758" s="4" t="str">
        <f>IF(AND($J758=$G$2,$N758&lt;&gt;"",$M758&lt;&gt;""),CONCATENATE($M758,"-",$N758))</f>
        <v>Serv. Terc.-017</v>
      </c>
      <c r="Y758" s="39">
        <f ca="1">IF(X758&lt;&gt;FALSE,MATCH(X758,OFFSET(Banco,0,0,,1),0))</f>
        <v>97</v>
      </c>
      <c r="Z758" s="1"/>
      <c r="AA758" s="133">
        <f>IF($J758=$G$2,ROUND(IF(ISNUMBER(S758),S758,IF(LEFT(S758,2)="DI",HLOOKUP(S758,DADOS!$T$29:$X$30,2,FALSE),0)),4),"")</f>
        <v>0.25</v>
      </c>
      <c r="AB758" s="2"/>
    </row>
    <row r="759" spans="1:28">
      <c r="A759" t="str">
        <f t="shared" si="951"/>
        <v>S</v>
      </c>
      <c r="B759">
        <f t="shared" si="952"/>
        <v>0</v>
      </c>
      <c r="C759">
        <f t="shared" ca="1" si="953"/>
        <v>9</v>
      </c>
      <c r="D759">
        <f t="shared" ca="1" si="954"/>
        <v>9</v>
      </c>
      <c r="E759">
        <f t="shared" ca="1" si="955"/>
        <v>0</v>
      </c>
      <c r="F759">
        <f t="shared" ca="1" si="956"/>
        <v>0</v>
      </c>
      <c r="G759">
        <f t="shared" ca="1" si="957"/>
        <v>7</v>
      </c>
      <c r="H759">
        <f ca="1">IF(OR($A759="S",$A759=0),0,MATCH(0,OFFSET($B759,1,$A759,ROW($A$1504)-ROW($A759)),0))</f>
        <v>0</v>
      </c>
      <c r="I759">
        <f ca="1">IF(OR($A759="S",$A759=0),0,MATCH(OFFSET($B759,0,$A759)+1,OFFSET($B759,1,$A759,ROW($A$1504)-ROW($A759)),0))</f>
        <v>0</v>
      </c>
      <c r="J759" s="132" t="s">
        <v>29</v>
      </c>
      <c r="K759" s="121" t="str">
        <f t="shared" ca="1" si="958"/>
        <v>9.9.7.</v>
      </c>
      <c r="L759" s="137" t="str">
        <f t="shared" ca="1" si="959"/>
        <v>Cotação</v>
      </c>
      <c r="M759" s="122" t="s">
        <v>80</v>
      </c>
      <c r="N759" s="139" t="s">
        <v>152</v>
      </c>
      <c r="O759" s="137" t="str">
        <f t="shared" ca="1" si="960"/>
        <v>Carro de som com gravação de vinheta</v>
      </c>
      <c r="P759" s="138" t="str">
        <f t="shared" ca="1" si="961"/>
        <v>Horas</v>
      </c>
      <c r="Q759" s="134">
        <v>2</v>
      </c>
      <c r="R759" s="124">
        <f t="shared" ca="1" si="962"/>
        <v>200</v>
      </c>
      <c r="S759" s="136" t="s">
        <v>62</v>
      </c>
      <c r="T759" s="123">
        <f t="shared" ca="1" si="963"/>
        <v>250</v>
      </c>
      <c r="U759" s="126">
        <f t="shared" ca="1" si="964"/>
        <v>500</v>
      </c>
      <c r="V759" s="1"/>
      <c r="W759" s="39" t="str">
        <f ca="1">IF(OR($A759=0,$A759="S",$A759&gt;CFF!$A$9),"",MAX(W$11:OFFSET(W759,-1,0))+1)</f>
        <v/>
      </c>
      <c r="X759" s="4" t="str">
        <f t="shared" si="965"/>
        <v>Serv. Terc.-002</v>
      </c>
      <c r="Y759" s="39">
        <f t="shared" ca="1" si="966"/>
        <v>82</v>
      </c>
      <c r="Z759" s="1"/>
      <c r="AA759" s="133">
        <f>IF($J759=$G$2,ROUND(IF(ISNUMBER(S759),S759,IF(LEFT(S759,2)="DI",HLOOKUP(S759,DADOS!$T$29:$X$30,2,FALSE),0)),4),"")</f>
        <v>0.25</v>
      </c>
      <c r="AB759" s="2"/>
    </row>
    <row r="760" spans="1:28">
      <c r="A760" t="str">
        <f t="shared" si="951"/>
        <v>S</v>
      </c>
      <c r="B760">
        <f t="shared" si="952"/>
        <v>0</v>
      </c>
      <c r="C760">
        <f t="shared" ca="1" si="953"/>
        <v>9</v>
      </c>
      <c r="D760">
        <f t="shared" ca="1" si="954"/>
        <v>9</v>
      </c>
      <c r="E760">
        <f t="shared" ca="1" si="955"/>
        <v>0</v>
      </c>
      <c r="F760">
        <f t="shared" ca="1" si="956"/>
        <v>0</v>
      </c>
      <c r="G760">
        <f t="shared" ca="1" si="957"/>
        <v>8</v>
      </c>
      <c r="H760">
        <f ca="1">IF(OR($A760="S",$A760=0),0,MATCH(0,OFFSET($B760,1,$A760,ROW($A$1504)-ROW($A760)),0))</f>
        <v>0</v>
      </c>
      <c r="I760">
        <f ca="1">IF(OR($A760="S",$A760=0),0,MATCH(OFFSET($B760,0,$A760)+1,OFFSET($B760,1,$A760,ROW($A$1504)-ROW($A760)),0))</f>
        <v>0</v>
      </c>
      <c r="J760" s="132" t="s">
        <v>29</v>
      </c>
      <c r="K760" s="121" t="str">
        <f t="shared" ca="1" si="958"/>
        <v>9.9.8.</v>
      </c>
      <c r="L760" s="137" t="str">
        <f t="shared" ca="1" si="959"/>
        <v>Cotação</v>
      </c>
      <c r="M760" s="122" t="s">
        <v>80</v>
      </c>
      <c r="N760" s="139" t="s">
        <v>154</v>
      </c>
      <c r="O760" s="137" t="str">
        <f ca="1">IF(NOT(ISERROR($Y760)),IF($Y760&lt;&gt;FALSE,INDEX(Banco,$Y760,5),""),"")</f>
        <v>Locação de caixa térmica</v>
      </c>
      <c r="P760" s="138" t="str">
        <f t="shared" ca="1" si="961"/>
        <v>Unidade</v>
      </c>
      <c r="Q760" s="134">
        <v>1</v>
      </c>
      <c r="R760" s="124">
        <f t="shared" ca="1" si="962"/>
        <v>40</v>
      </c>
      <c r="S760" s="136" t="s">
        <v>62</v>
      </c>
      <c r="T760" s="123">
        <f t="shared" ca="1" si="963"/>
        <v>50</v>
      </c>
      <c r="U760" s="126">
        <f t="shared" ca="1" si="964"/>
        <v>50</v>
      </c>
      <c r="V760" s="1"/>
      <c r="W760" s="39" t="str">
        <f ca="1">IF(OR($A760=0,$A760="S",$A760&gt;CFF!$A$9),"",MAX(W$11:OFFSET(W760,-1,0))+1)</f>
        <v/>
      </c>
      <c r="X760" s="4" t="str">
        <f t="shared" si="965"/>
        <v>Serv. Terc.-005</v>
      </c>
      <c r="Y760" s="39">
        <f t="shared" ca="1" si="966"/>
        <v>85</v>
      </c>
      <c r="Z760" s="1"/>
      <c r="AA760" s="133">
        <f>IF($J760=$G$2,ROUND(IF(ISNUMBER(S760),S760,IF(LEFT(S760,2)="DI",HLOOKUP(S760,DADOS!$T$29:$X$30,2,FALSE),0)),4),"")</f>
        <v>0.25</v>
      </c>
      <c r="AB760" s="2"/>
    </row>
    <row r="761" spans="1:28">
      <c r="A761" t="str">
        <f t="shared" si="951"/>
        <v>S</v>
      </c>
      <c r="B761">
        <f t="shared" si="952"/>
        <v>0</v>
      </c>
      <c r="C761">
        <f t="shared" ca="1" si="953"/>
        <v>9</v>
      </c>
      <c r="D761">
        <f t="shared" ca="1" si="954"/>
        <v>9</v>
      </c>
      <c r="E761">
        <f t="shared" ca="1" si="955"/>
        <v>0</v>
      </c>
      <c r="F761">
        <f t="shared" ca="1" si="956"/>
        <v>0</v>
      </c>
      <c r="G761">
        <f t="shared" ca="1" si="957"/>
        <v>9</v>
      </c>
      <c r="H761">
        <f ca="1">IF(OR($A761="S",$A761=0),0,MATCH(0,OFFSET($B761,1,$A761,ROW($A$1504)-ROW($A761)),0))</f>
        <v>0</v>
      </c>
      <c r="I761">
        <f ca="1">IF(OR($A761="S",$A761=0),0,MATCH(OFFSET($B761,0,$A761)+1,OFFSET($B761,1,$A761,ROW($A$1504)-ROW($A761)),0))</f>
        <v>0</v>
      </c>
      <c r="J761" s="132" t="s">
        <v>29</v>
      </c>
      <c r="K761" s="121" t="str">
        <f t="shared" ca="1" si="958"/>
        <v>9.9.9.</v>
      </c>
      <c r="L761" s="137" t="str">
        <f t="shared" ca="1" si="959"/>
        <v>Cotação</v>
      </c>
      <c r="M761" s="122" t="s">
        <v>80</v>
      </c>
      <c r="N761" s="139" t="s">
        <v>157</v>
      </c>
      <c r="O761" s="137" t="str">
        <f t="shared" ref="O761:O767" ca="1" si="967">IF(NOT(ISERROR($Y761)),IF($Y761&lt;&gt;FALSE,INDEX(Banco,$Y761,5),""),"")</f>
        <v>Locação de pula-pula com monitor</v>
      </c>
      <c r="P761" s="138" t="str">
        <f t="shared" ca="1" si="961"/>
        <v>Unidade</v>
      </c>
      <c r="Q761" s="134">
        <v>1</v>
      </c>
      <c r="R761" s="124">
        <f t="shared" ca="1" si="962"/>
        <v>220</v>
      </c>
      <c r="S761" s="136" t="s">
        <v>62</v>
      </c>
      <c r="T761" s="123">
        <f t="shared" ca="1" si="963"/>
        <v>275</v>
      </c>
      <c r="U761" s="126">
        <f t="shared" ca="1" si="964"/>
        <v>275</v>
      </c>
      <c r="V761" s="1"/>
      <c r="W761" s="39" t="str">
        <f ca="1">IF(OR($A761=0,$A761="S",$A761&gt;CFF!$A$9),"",MAX(W$11:OFFSET(W761,-1,0))+1)</f>
        <v/>
      </c>
      <c r="X761" s="4" t="str">
        <f t="shared" si="965"/>
        <v>Serv. Terc.-008</v>
      </c>
      <c r="Y761" s="39">
        <f t="shared" ca="1" si="966"/>
        <v>88</v>
      </c>
      <c r="Z761" s="1"/>
      <c r="AA761" s="133">
        <f>IF($J761=$G$2,ROUND(IF(ISNUMBER(S761),S761,IF(LEFT(S761,2)="DI",HLOOKUP(S761,DADOS!$T$29:$X$30,2,FALSE),0)),4),"")</f>
        <v>0.25</v>
      </c>
      <c r="AB761" s="2"/>
    </row>
    <row r="762" spans="1:28">
      <c r="A762" t="str">
        <f t="shared" si="951"/>
        <v>S</v>
      </c>
      <c r="B762">
        <f t="shared" si="952"/>
        <v>0</v>
      </c>
      <c r="C762">
        <f t="shared" ca="1" si="953"/>
        <v>9</v>
      </c>
      <c r="D762">
        <f t="shared" ca="1" si="954"/>
        <v>9</v>
      </c>
      <c r="E762">
        <f t="shared" ca="1" si="955"/>
        <v>0</v>
      </c>
      <c r="F762">
        <f t="shared" ca="1" si="956"/>
        <v>0</v>
      </c>
      <c r="G762">
        <f t="shared" ca="1" si="957"/>
        <v>10</v>
      </c>
      <c r="H762">
        <f ca="1">IF(OR($A762="S",$A762=0),0,MATCH(0,OFFSET($B762,1,$A762,ROW($A$1504)-ROW($A762)),0))</f>
        <v>0</v>
      </c>
      <c r="I762">
        <f ca="1">IF(OR($A762="S",$A762=0),0,MATCH(OFFSET($B762,0,$A762)+1,OFFSET($B762,1,$A762,ROW($A$1504)-ROW($A762)),0))</f>
        <v>0</v>
      </c>
      <c r="J762" s="132" t="s">
        <v>29</v>
      </c>
      <c r="K762" s="121" t="str">
        <f t="shared" ca="1" si="958"/>
        <v>9.9.10.</v>
      </c>
      <c r="L762" s="137" t="str">
        <f t="shared" ca="1" si="959"/>
        <v>Cotação</v>
      </c>
      <c r="M762" s="122" t="s">
        <v>80</v>
      </c>
      <c r="N762" s="139" t="s">
        <v>161</v>
      </c>
      <c r="O762" s="137" t="str">
        <f t="shared" ca="1" si="967"/>
        <v>Água (garrafão de 20 litros)</v>
      </c>
      <c r="P762" s="138" t="str">
        <f t="shared" ca="1" si="961"/>
        <v>Unidade</v>
      </c>
      <c r="Q762" s="134">
        <v>1</v>
      </c>
      <c r="R762" s="124">
        <f t="shared" ca="1" si="962"/>
        <v>10</v>
      </c>
      <c r="S762" s="136" t="s">
        <v>62</v>
      </c>
      <c r="T762" s="123">
        <f t="shared" ca="1" si="963"/>
        <v>12.5</v>
      </c>
      <c r="U762" s="126">
        <f t="shared" ca="1" si="964"/>
        <v>12.5</v>
      </c>
      <c r="V762" s="1"/>
      <c r="W762" s="39" t="str">
        <f ca="1">IF(OR($A762=0,$A762="S",$A762&gt;CFF!$A$9),"",MAX(W$11:OFFSET(W762,-1,0))+1)</f>
        <v/>
      </c>
      <c r="X762" s="4" t="str">
        <f t="shared" si="965"/>
        <v>Serv. Terc.-012</v>
      </c>
      <c r="Y762" s="39">
        <f t="shared" ca="1" si="966"/>
        <v>92</v>
      </c>
      <c r="Z762" s="1"/>
      <c r="AA762" s="133">
        <f>IF($J762=$G$2,ROUND(IF(ISNUMBER(S762),S762,IF(LEFT(S762,2)="DI",HLOOKUP(S762,DADOS!$T$29:$X$30,2,FALSE),0)),4),"")</f>
        <v>0.25</v>
      </c>
      <c r="AB762" s="2"/>
    </row>
    <row r="763" spans="1:28">
      <c r="A763" t="str">
        <f t="shared" si="951"/>
        <v>S</v>
      </c>
      <c r="B763">
        <f t="shared" si="952"/>
        <v>0</v>
      </c>
      <c r="C763">
        <f t="shared" ca="1" si="953"/>
        <v>9</v>
      </c>
      <c r="D763">
        <f t="shared" ca="1" si="954"/>
        <v>9</v>
      </c>
      <c r="E763">
        <f t="shared" ca="1" si="955"/>
        <v>0</v>
      </c>
      <c r="F763">
        <f t="shared" ca="1" si="956"/>
        <v>0</v>
      </c>
      <c r="G763">
        <f t="shared" ca="1" si="957"/>
        <v>11</v>
      </c>
      <c r="H763">
        <f ca="1">IF(OR($A763="S",$A763=0),0,MATCH(0,OFFSET($B763,1,$A763,ROW($A$1504)-ROW($A763)),0))</f>
        <v>0</v>
      </c>
      <c r="I763">
        <f ca="1">IF(OR($A763="S",$A763=0),0,MATCH(OFFSET($B763,0,$A763)+1,OFFSET($B763,1,$A763,ROW($A$1504)-ROW($A763)),0))</f>
        <v>0</v>
      </c>
      <c r="J763" s="132" t="s">
        <v>29</v>
      </c>
      <c r="K763" s="121" t="str">
        <f t="shared" ca="1" si="958"/>
        <v>9.9.11.</v>
      </c>
      <c r="L763" s="137" t="str">
        <f t="shared" ca="1" si="959"/>
        <v xml:space="preserve">Cotação </v>
      </c>
      <c r="M763" s="122" t="s">
        <v>80</v>
      </c>
      <c r="N763" s="139" t="s">
        <v>160</v>
      </c>
      <c r="O763" s="137" t="str">
        <f t="shared" ca="1" si="967"/>
        <v>Barra de gelo</v>
      </c>
      <c r="P763" s="138" t="str">
        <f t="shared" ca="1" si="961"/>
        <v>Unidade</v>
      </c>
      <c r="Q763" s="134">
        <v>2</v>
      </c>
      <c r="R763" s="124">
        <f t="shared" ca="1" si="962"/>
        <v>12</v>
      </c>
      <c r="S763" s="136" t="s">
        <v>62</v>
      </c>
      <c r="T763" s="123">
        <f t="shared" ca="1" si="963"/>
        <v>15</v>
      </c>
      <c r="U763" s="126">
        <f t="shared" ca="1" si="964"/>
        <v>30</v>
      </c>
      <c r="V763" s="1"/>
      <c r="W763" s="39" t="str">
        <f ca="1">IF(OR($A763=0,$A763="S",$A763&gt;CFF!$A$9),"",MAX(W$11:OFFSET(W763,-1,0))+1)</f>
        <v/>
      </c>
      <c r="X763" s="4" t="str">
        <f t="shared" si="965"/>
        <v>Serv. Terc.-011</v>
      </c>
      <c r="Y763" s="39">
        <f t="shared" ca="1" si="966"/>
        <v>91</v>
      </c>
      <c r="Z763" s="1"/>
      <c r="AA763" s="133">
        <f>IF($J763=$G$2,ROUND(IF(ISNUMBER(S763),S763,IF(LEFT(S763,2)="DI",HLOOKUP(S763,DADOS!$T$29:$X$30,2,FALSE),0)),4),"")</f>
        <v>0.25</v>
      </c>
      <c r="AB763" s="2"/>
    </row>
    <row r="764" spans="1:28">
      <c r="A764" t="str">
        <f t="shared" si="951"/>
        <v>S</v>
      </c>
      <c r="B764">
        <f t="shared" si="952"/>
        <v>0</v>
      </c>
      <c r="C764">
        <f t="shared" ca="1" si="953"/>
        <v>9</v>
      </c>
      <c r="D764">
        <f t="shared" ca="1" si="954"/>
        <v>9</v>
      </c>
      <c r="E764">
        <f t="shared" ca="1" si="955"/>
        <v>0</v>
      </c>
      <c r="F764">
        <f t="shared" ca="1" si="956"/>
        <v>0</v>
      </c>
      <c r="G764">
        <f t="shared" ca="1" si="957"/>
        <v>12</v>
      </c>
      <c r="H764">
        <f ca="1">IF(OR($A764="S",$A764=0),0,MATCH(0,OFFSET($B764,1,$A764,ROW($A$1504)-ROW($A764)),0))</f>
        <v>0</v>
      </c>
      <c r="I764">
        <f ca="1">IF(OR($A764="S",$A764=0),0,MATCH(OFFSET($B764,0,$A764)+1,OFFSET($B764,1,$A764,ROW($A$1504)-ROW($A764)),0))</f>
        <v>0</v>
      </c>
      <c r="J764" s="132" t="s">
        <v>29</v>
      </c>
      <c r="K764" s="121" t="str">
        <f t="shared" ca="1" si="958"/>
        <v>9.9.12.</v>
      </c>
      <c r="L764" s="137" t="str">
        <f t="shared" ca="1" si="959"/>
        <v>Cotação</v>
      </c>
      <c r="M764" s="122" t="s">
        <v>80</v>
      </c>
      <c r="N764" s="139" t="s">
        <v>150</v>
      </c>
      <c r="O764" s="137" t="str">
        <f t="shared" ca="1" si="967"/>
        <v>Sucos</v>
      </c>
      <c r="P764" s="138" t="str">
        <f t="shared" ca="1" si="961"/>
        <v>Unidade</v>
      </c>
      <c r="Q764" s="134">
        <v>6</v>
      </c>
      <c r="R764" s="124">
        <f t="shared" ca="1" si="962"/>
        <v>6.4</v>
      </c>
      <c r="S764" s="136" t="s">
        <v>62</v>
      </c>
      <c r="T764" s="123">
        <f t="shared" ca="1" si="963"/>
        <v>8</v>
      </c>
      <c r="U764" s="126">
        <f t="shared" ca="1" si="964"/>
        <v>48</v>
      </c>
      <c r="V764" s="1"/>
      <c r="W764" s="39" t="str">
        <f ca="1">IF(OR($A764=0,$A764="S",$A764&gt;CFF!$A$9),"",MAX(W$11:OFFSET(W764,-1,0))+1)</f>
        <v/>
      </c>
      <c r="X764" s="4" t="str">
        <f t="shared" si="965"/>
        <v>Serv. Terc.-013</v>
      </c>
      <c r="Y764" s="39">
        <f t="shared" ca="1" si="966"/>
        <v>93</v>
      </c>
      <c r="Z764" s="1"/>
      <c r="AA764" s="133">
        <f>IF($J764=$G$2,ROUND(IF(ISNUMBER(S764),S764,IF(LEFT(S764,2)="DI",HLOOKUP(S764,DADOS!$T$29:$X$30,2,FALSE),0)),4),"")</f>
        <v>0.25</v>
      </c>
      <c r="AB764" s="2"/>
    </row>
    <row r="765" spans="1:28">
      <c r="A765" t="str">
        <f>CHOOSE(1+LOG(1+2*(J765=$C$2)+4*(J765=$D$2)+8*(J765=$E$2)+16*(J765=$F$2)+32*(J765=$G$2),2),0,1,2,3,4,"S")</f>
        <v>S</v>
      </c>
      <c r="B765">
        <f>IF(OR(A765="S",A765=0),0,IF(ISERROR(I765),H765,SMALL(H765:I765,1)))</f>
        <v>0</v>
      </c>
      <c r="C765">
        <f ca="1">IF($A765=1,OFFSET(C765,-1,0)+1,OFFSET(C765,-1,0))</f>
        <v>9</v>
      </c>
      <c r="D765">
        <f ca="1">IF($A765=1,0,IF($A765=2,OFFSET(D765,-1,0)+1,OFFSET(D765,-1,0)))</f>
        <v>9</v>
      </c>
      <c r="E765">
        <f ca="1">IF(AND($A765&lt;=2,$A765&lt;&gt;0),0,IF($A765=3,OFFSET(E765,-1,0)+1,OFFSET(E765,-1,0)))</f>
        <v>0</v>
      </c>
      <c r="F765">
        <f ca="1">IF(AND($A765&lt;=3,$A765&lt;&gt;0),0,IF($A765=4,OFFSET(F765,-1,0)+1,OFFSET(F765,-1,0)))</f>
        <v>0</v>
      </c>
      <c r="G765">
        <f ca="1">IF(AND($A765&lt;=4,$A765&lt;&gt;0),0,IF($A765="S",OFFSET(G765,-1,0)+1,OFFSET(G765,-1,0)))</f>
        <v>13</v>
      </c>
      <c r="H765">
        <f ca="1">IF(OR($A765="S",$A765=0),0,MATCH(0,OFFSET($B765,1,$A765,ROW($A$1504)-ROW($A765)),0))</f>
        <v>0</v>
      </c>
      <c r="I765">
        <f ca="1">IF(OR($A765="S",$A765=0),0,MATCH(OFFSET($B765,0,$A765)+1,OFFSET($B765,1,$A765,ROW($A$1504)-ROW($A765)),0))</f>
        <v>0</v>
      </c>
      <c r="J765" s="132" t="s">
        <v>29</v>
      </c>
      <c r="K765" s="121" t="str">
        <f ca="1">IF($A765=0,"-",CONCATENATE(C765&amp;".",IF(AND($A$5&gt;=2,$A765&gt;=2),D765&amp;".",""),IF(AND($A$5&gt;=3,$A765&gt;=3),E765&amp;".",""),IF(AND($A$5&gt;=4,$A765&gt;=4),F765&amp;".",""),IF($A765="S",G765&amp;".","")))</f>
        <v>9.9.13.</v>
      </c>
      <c r="L765" s="137" t="str">
        <f ca="1">IF(NOT(ISERROR($Y765)),IF($Y765&lt;&gt;FALSE,INDEX(Banco,$Y765,4),""),"")</f>
        <v>Cotação</v>
      </c>
      <c r="M765" s="122" t="s">
        <v>80</v>
      </c>
      <c r="N765" s="139" t="s">
        <v>171</v>
      </c>
      <c r="O765" s="137" t="str">
        <f ca="1">IF(NOT(ISERROR($Y765)),IF($Y765&lt;&gt;FALSE,INDEX(Banco,$Y765,5),""),"")</f>
        <v xml:space="preserve">Refrigerantes (02 litros) </v>
      </c>
      <c r="P765" s="138" t="str">
        <f ca="1">IF(NOT(ISERROR($Y765)),IF($Y765&lt;&gt;FALSE,INDEX(Banco,$Y765,6),""),"")</f>
        <v>Unidade</v>
      </c>
      <c r="Q765" s="134">
        <v>10</v>
      </c>
      <c r="R765" s="124">
        <f ca="1">IF(NOT(ISERROR($Y765)),IF($Y765&lt;&gt;FALSE,INDEX(Banco,$Y765,7),0),0)</f>
        <v>6</v>
      </c>
      <c r="S765" s="136" t="s">
        <v>62</v>
      </c>
      <c r="T765" s="123">
        <f ca="1">IF($J765=$G$2,ROUND(ROUND($R765,2)*IF($R$9="Preço Unitário (R$)",1,1+$AA765),2),0)</f>
        <v>7.5</v>
      </c>
      <c r="U765" s="126">
        <f ca="1">IF($A765="S",VTOTAL1,IF($A765=0,0,ROUND(SomaAgrup,2)))</f>
        <v>75</v>
      </c>
      <c r="V765" s="1"/>
      <c r="W765" s="39" t="str">
        <f ca="1">IF(OR($A765=0,$A765="S",$A765&gt;CFF!$A$9),"",MAX(W$11:OFFSET(W765,-1,0))+1)</f>
        <v/>
      </c>
      <c r="X765" s="4" t="str">
        <f>IF(AND($J765=$G$2,$N765&lt;&gt;"",$M765&lt;&gt;""),CONCATENATE($M765,"-",$N765))</f>
        <v>Serv. Terc.-027</v>
      </c>
      <c r="Y765" s="39">
        <f ca="1">IF(X765&lt;&gt;FALSE,MATCH(X765,OFFSET(Banco,0,0,,1),0))</f>
        <v>107</v>
      </c>
      <c r="Z765" s="1"/>
      <c r="AA765" s="133">
        <f>IF($J765=$G$2,ROUND(IF(ISNUMBER(S765),S765,IF(LEFT(S765,2)="DI",HLOOKUP(S765,DADOS!$T$29:$X$30,2,FALSE),0)),4),"")</f>
        <v>0.25</v>
      </c>
      <c r="AB765" s="2"/>
    </row>
    <row r="766" spans="1:28">
      <c r="A766" t="str">
        <f t="shared" si="951"/>
        <v>S</v>
      </c>
      <c r="B766">
        <f t="shared" si="952"/>
        <v>0</v>
      </c>
      <c r="C766">
        <f t="shared" ca="1" si="953"/>
        <v>9</v>
      </c>
      <c r="D766">
        <f t="shared" ca="1" si="954"/>
        <v>9</v>
      </c>
      <c r="E766">
        <f t="shared" ca="1" si="955"/>
        <v>0</v>
      </c>
      <c r="F766">
        <f t="shared" ca="1" si="956"/>
        <v>0</v>
      </c>
      <c r="G766">
        <f t="shared" ca="1" si="957"/>
        <v>14</v>
      </c>
      <c r="H766">
        <f ca="1">IF(OR($A766="S",$A766=0),0,MATCH(0,OFFSET($B766,1,$A766,ROW($A$1504)-ROW($A766)),0))</f>
        <v>0</v>
      </c>
      <c r="I766">
        <f ca="1">IF(OR($A766="S",$A766=0),0,MATCH(OFFSET($B766,0,$A766)+1,OFFSET($B766,1,$A766,ROW($A$1504)-ROW($A766)),0))</f>
        <v>0</v>
      </c>
      <c r="J766" s="132" t="s">
        <v>29</v>
      </c>
      <c r="K766" s="121" t="str">
        <f t="shared" ca="1" si="958"/>
        <v>9.9.14.</v>
      </c>
      <c r="L766" s="137" t="str">
        <f t="shared" ca="1" si="959"/>
        <v xml:space="preserve">Cotação </v>
      </c>
      <c r="M766" s="122" t="s">
        <v>80</v>
      </c>
      <c r="N766" s="139" t="s">
        <v>159</v>
      </c>
      <c r="O766" s="137" t="str">
        <f t="shared" ca="1" si="967"/>
        <v>Brindes ( descrição nos orçamentos e PTS)</v>
      </c>
      <c r="P766" s="138" t="str">
        <f t="shared" ca="1" si="961"/>
        <v>Unidade</v>
      </c>
      <c r="Q766" s="134">
        <v>4</v>
      </c>
      <c r="R766" s="124">
        <f t="shared" ca="1" si="962"/>
        <v>120</v>
      </c>
      <c r="S766" s="136" t="s">
        <v>62</v>
      </c>
      <c r="T766" s="123">
        <f t="shared" ca="1" si="963"/>
        <v>150</v>
      </c>
      <c r="U766" s="126">
        <f t="shared" ca="1" si="964"/>
        <v>600</v>
      </c>
      <c r="V766" s="1"/>
      <c r="W766" s="39" t="str">
        <f ca="1">IF(OR($A766=0,$A766="S",$A766&gt;CFF!$A$9),"",MAX(W$11:OFFSET(W766,-1,0))+1)</f>
        <v/>
      </c>
      <c r="X766" s="4" t="str">
        <f t="shared" si="965"/>
        <v>Serv. Terc.-010</v>
      </c>
      <c r="Y766" s="39">
        <f t="shared" ca="1" si="966"/>
        <v>90</v>
      </c>
      <c r="Z766" s="1"/>
      <c r="AA766" s="133">
        <f>IF($J766=$G$2,ROUND(IF(ISNUMBER(S766),S766,IF(LEFT(S766,2)="DI",HLOOKUP(S766,DADOS!$T$29:$X$30,2,FALSE),0)),4),"")</f>
        <v>0.25</v>
      </c>
      <c r="AB766" s="2"/>
    </row>
    <row r="767" spans="1:28">
      <c r="A767" t="str">
        <f t="shared" si="951"/>
        <v>S</v>
      </c>
      <c r="B767">
        <f t="shared" si="952"/>
        <v>0</v>
      </c>
      <c r="C767">
        <f t="shared" ca="1" si="953"/>
        <v>9</v>
      </c>
      <c r="D767">
        <f t="shared" ca="1" si="954"/>
        <v>9</v>
      </c>
      <c r="E767">
        <f t="shared" ca="1" si="955"/>
        <v>0</v>
      </c>
      <c r="F767">
        <f t="shared" ca="1" si="956"/>
        <v>0</v>
      </c>
      <c r="G767">
        <f t="shared" ca="1" si="957"/>
        <v>15</v>
      </c>
      <c r="H767">
        <f ca="1">IF(OR($A767="S",$A767=0),0,MATCH(0,OFFSET($B767,1,$A767,ROW($A$1504)-ROW($A767)),0))</f>
        <v>0</v>
      </c>
      <c r="I767">
        <f ca="1">IF(OR($A767="S",$A767=0),0,MATCH(OFFSET($B767,0,$A767)+1,OFFSET($B767,1,$A767,ROW($A$1504)-ROW($A767)),0))</f>
        <v>0</v>
      </c>
      <c r="J767" s="132" t="s">
        <v>29</v>
      </c>
      <c r="K767" s="121" t="str">
        <f t="shared" ca="1" si="958"/>
        <v>9.9.15.</v>
      </c>
      <c r="L767" s="137" t="str">
        <f t="shared" ca="1" si="959"/>
        <v>Cotação</v>
      </c>
      <c r="M767" s="122" t="s">
        <v>80</v>
      </c>
      <c r="N767" s="139" t="s">
        <v>162</v>
      </c>
      <c r="O767" s="137" t="str">
        <f t="shared" ca="1" si="967"/>
        <v>Coffee break (salgados)</v>
      </c>
      <c r="P767" s="138" t="str">
        <f t="shared" ca="1" si="961"/>
        <v>Centro</v>
      </c>
      <c r="Q767" s="134">
        <v>8</v>
      </c>
      <c r="R767" s="124">
        <f t="shared" ca="1" si="962"/>
        <v>65</v>
      </c>
      <c r="S767" s="136" t="s">
        <v>62</v>
      </c>
      <c r="T767" s="123">
        <f t="shared" ca="1" si="963"/>
        <v>81.25</v>
      </c>
      <c r="U767" s="126">
        <f t="shared" ca="1" si="964"/>
        <v>650</v>
      </c>
      <c r="V767" s="1"/>
      <c r="W767" s="39" t="str">
        <f ca="1">IF(OR($A767=0,$A767="S",$A767&gt;CFF!$A$9),"",MAX(W$11:OFFSET(W767,-1,0))+1)</f>
        <v/>
      </c>
      <c r="X767" s="4" t="str">
        <f t="shared" si="965"/>
        <v>Serv. Terc.-015</v>
      </c>
      <c r="Y767" s="39">
        <f t="shared" ca="1" si="966"/>
        <v>95</v>
      </c>
      <c r="Z767" s="1"/>
      <c r="AA767" s="133">
        <f>IF($J767=$G$2,ROUND(IF(ISNUMBER(S767),S767,IF(LEFT(S767,2)="DI",HLOOKUP(S767,DADOS!$T$29:$X$30,2,FALSE),0)),4),"")</f>
        <v>0.25</v>
      </c>
      <c r="AB767" s="2"/>
    </row>
    <row r="768" spans="1:28">
      <c r="A768" t="str">
        <f>CHOOSE(1+LOG(1+2*(J768=$C$2)+4*(J768=$D$2)+8*(J768=$E$2)+16*(J768=$F$2)+32*(J768=$G$2),2),0,1,2,3,4,"S")</f>
        <v>S</v>
      </c>
      <c r="B768">
        <f>IF(OR(A768="S",A768=0),0,IF(ISERROR(I768),H768,SMALL(H768:I768,1)))</f>
        <v>0</v>
      </c>
      <c r="C768">
        <f ca="1">IF($A768=1,OFFSET(C768,-1,0)+1,OFFSET(C768,-1,0))</f>
        <v>9</v>
      </c>
      <c r="D768">
        <f ca="1">IF($A768=1,0,IF($A768=2,OFFSET(D768,-1,0)+1,OFFSET(D768,-1,0)))</f>
        <v>9</v>
      </c>
      <c r="E768">
        <f ca="1">IF(AND($A768&lt;=2,$A768&lt;&gt;0),0,IF($A768=3,OFFSET(E768,-1,0)+1,OFFSET(E768,-1,0)))</f>
        <v>0</v>
      </c>
      <c r="F768">
        <f ca="1">IF(AND($A768&lt;=3,$A768&lt;&gt;0),0,IF($A768=4,OFFSET(F768,-1,0)+1,OFFSET(F768,-1,0)))</f>
        <v>0</v>
      </c>
      <c r="G768">
        <f ca="1">IF(AND($A768&lt;=4,$A768&lt;&gt;0),0,IF($A768="S",OFFSET(G768,-1,0)+1,OFFSET(G768,-1,0)))</f>
        <v>16</v>
      </c>
      <c r="H768">
        <f ca="1">IF(OR($A768="S",$A768=0),0,MATCH(0,OFFSET($B768,1,$A768,ROW($A$1504)-ROW($A768)),0))</f>
        <v>0</v>
      </c>
      <c r="I768">
        <f ca="1">IF(OR($A768="S",$A768=0),0,MATCH(OFFSET($B768,0,$A768)+1,OFFSET($B768,1,$A768,ROW($A$1504)-ROW($A768)),0))</f>
        <v>0</v>
      </c>
      <c r="J768" s="132" t="s">
        <v>29</v>
      </c>
      <c r="K768" s="121" t="str">
        <f ca="1">IF($A768=0,"-",CONCATENATE(C768&amp;".",IF(AND($A$5&gt;=2,$A768&gt;=2),D768&amp;".",""),IF(AND($A$5&gt;=3,$A768&gt;=3),E768&amp;".",""),IF(AND($A$5&gt;=4,$A768&gt;=4),F768&amp;".",""),IF($A768="S",G768&amp;".","")))</f>
        <v>9.9.16.</v>
      </c>
      <c r="L768" s="137" t="str">
        <f ca="1">IF(NOT(ISERROR($Y768)),IF($Y768&lt;&gt;FALSE,INDEX(Banco,$Y768,4),""),"")</f>
        <v>CRBio</v>
      </c>
      <c r="M768" s="122" t="s">
        <v>80</v>
      </c>
      <c r="N768" s="139" t="s">
        <v>226</v>
      </c>
      <c r="O768" s="137" t="str">
        <f ca="1">IF(NOT(ISERROR($Y768)),IF($Y768&lt;&gt;FALSE,INDEX(Banco,$Y768,5),""),"")</f>
        <v>Biólogo (Instrutor)</v>
      </c>
      <c r="P768" s="138" t="str">
        <f ca="1">IF(NOT(ISERROR($Y768)),IF($Y768&lt;&gt;FALSE,INDEX(Banco,$Y768,6),""),"")</f>
        <v>Horas</v>
      </c>
      <c r="Q768" s="134">
        <v>4</v>
      </c>
      <c r="R768" s="124">
        <f ca="1">IF(NOT(ISERROR($Y768)),IF($Y768&lt;&gt;FALSE,INDEX(Banco,$Y768,7),0),0)</f>
        <v>100.72</v>
      </c>
      <c r="S768" s="136" t="s">
        <v>62</v>
      </c>
      <c r="T768" s="123">
        <f ca="1">IF($J768=$G$2,ROUND(ROUND($R768,2)*IF($R$9="Preço Unitário (R$)",1,1+$AA768),2),0)</f>
        <v>125.9</v>
      </c>
      <c r="U768" s="126">
        <f ca="1">IF($A768="S",VTOTAL1,IF($A768=0,0,ROUND(SomaAgrup,2)))</f>
        <v>503.6</v>
      </c>
      <c r="V768" s="1"/>
      <c r="W768" s="39" t="str">
        <f ca="1">IF(OR($A768=0,$A768="S",$A768&gt;CFF!$A$9),"",MAX(W$11:OFFSET(W768,-1,0))+1)</f>
        <v/>
      </c>
      <c r="X768" s="4" t="str">
        <f>IF(AND($J768=$G$2,$N768&lt;&gt;"",$M768&lt;&gt;""),CONCATENATE($M768,"-",$N768))</f>
        <v>Serv. Terc.-068</v>
      </c>
      <c r="Y768" s="39">
        <f ca="1">IF(X768&lt;&gt;FALSE,MATCH(X768,OFFSET(Banco,0,0,,1),0))</f>
        <v>148</v>
      </c>
      <c r="Z768" s="1"/>
      <c r="AA768" s="133">
        <f>IF($J768=$G$2,ROUND(IF(ISNUMBER(S768),S768,IF(LEFT(S768,2)="DI",HLOOKUP(S768,DADOS!$T$29:$X$30,2,FALSE),0)),4),"")</f>
        <v>0.25</v>
      </c>
      <c r="AB768" s="2"/>
    </row>
    <row r="769" spans="1:28">
      <c r="A769" t="str">
        <f t="shared" si="951"/>
        <v>S</v>
      </c>
      <c r="B769">
        <f t="shared" si="952"/>
        <v>0</v>
      </c>
      <c r="C769">
        <f t="shared" ref="C769:C779" ca="1" si="968">IF($A769=1,OFFSET(C769,-1,0)+1,OFFSET(C769,-1,0))</f>
        <v>9</v>
      </c>
      <c r="D769">
        <f t="shared" ref="D769:D779" ca="1" si="969">IF($A769=1,0,IF($A769=2,OFFSET(D769,-1,0)+1,OFFSET(D769,-1,0)))</f>
        <v>9</v>
      </c>
      <c r="E769">
        <f t="shared" ref="E769:E779" ca="1" si="970">IF(AND($A769&lt;=2,$A769&lt;&gt;0),0,IF($A769=3,OFFSET(E769,-1,0)+1,OFFSET(E769,-1,0)))</f>
        <v>0</v>
      </c>
      <c r="F769">
        <f t="shared" ref="F769:F779" ca="1" si="971">IF(AND($A769&lt;=3,$A769&lt;&gt;0),0,IF($A769=4,OFFSET(F769,-1,0)+1,OFFSET(F769,-1,0)))</f>
        <v>0</v>
      </c>
      <c r="G769">
        <f t="shared" ref="G769:G779" ca="1" si="972">IF(AND($A769&lt;=4,$A769&lt;&gt;0),0,IF($A769="S",OFFSET(G769,-1,0)+1,OFFSET(G769,-1,0)))</f>
        <v>17</v>
      </c>
      <c r="H769">
        <f ca="1">IF(OR($A769="S",$A769=0),0,MATCH(0,OFFSET($B769,1,$A769,ROW($A$1504)-ROW($A769)),0))</f>
        <v>0</v>
      </c>
      <c r="I769">
        <f ca="1">IF(OR($A769="S",$A769=0),0,MATCH(OFFSET($B769,0,$A769)+1,OFFSET($B769,1,$A769,ROW($A$1504)-ROW($A769)),0))</f>
        <v>0</v>
      </c>
      <c r="J769" s="132" t="s">
        <v>29</v>
      </c>
      <c r="K769" s="121" t="str">
        <f t="shared" ca="1" si="958"/>
        <v>9.9.17.</v>
      </c>
      <c r="L769" s="137" t="str">
        <f t="shared" ref="L769:L779" ca="1" si="973">IF(NOT(ISERROR($Y769)),IF($Y769&lt;&gt;FALSE,INDEX(Banco,$Y769,4),""),"")</f>
        <v>Cotação</v>
      </c>
      <c r="M769" s="122" t="s">
        <v>79</v>
      </c>
      <c r="N769" s="139" t="s">
        <v>163</v>
      </c>
      <c r="O769" s="137" t="str">
        <f ca="1">IF(NOT(ISERROR($Y769)),IF($Y769&lt;&gt;FALSE,INDEX(Banco,$Y769,5),""),"")</f>
        <v>Guloseimas (balas e pirulito)</v>
      </c>
      <c r="P769" s="138" t="str">
        <f t="shared" ref="P769:P779" ca="1" si="974">IF(NOT(ISERROR($Y769)),IF($Y769&lt;&gt;FALSE,INDEX(Banco,$Y769,6),""),"")</f>
        <v>Pacote</v>
      </c>
      <c r="Q769" s="134">
        <v>4</v>
      </c>
      <c r="R769" s="124">
        <f t="shared" ref="R769:R779" ca="1" si="975">IF(NOT(ISERROR($Y769)),IF($Y769&lt;&gt;FALSE,INDEX(Banco,$Y769,7),0),0)</f>
        <v>12</v>
      </c>
      <c r="S769" s="136" t="s">
        <v>62</v>
      </c>
      <c r="T769" s="123">
        <f t="shared" ref="T769:T779" ca="1" si="976">IF($J769=$G$2,ROUND(ROUND($R769,2)*IF($R$9="Preço Unitário (R$)",1,1+$AA769),2),0)</f>
        <v>15</v>
      </c>
      <c r="U769" s="126">
        <f t="shared" ref="U769:U779" ca="1" si="977">IF($A769="S",VTOTAL1,IF($A769=0,0,ROUND(SomaAgrup,2)))</f>
        <v>60</v>
      </c>
      <c r="V769" s="1"/>
      <c r="W769" s="39" t="str">
        <f ca="1">IF(OR($A769=0,$A769="S",$A769&gt;CFF!$A$9),"",MAX(W$11:OFFSET(W769,-1,0))+1)</f>
        <v/>
      </c>
      <c r="X769" s="4" t="str">
        <f t="shared" ref="X769:X779" si="978">IF(AND($J769=$G$2,$N769&lt;&gt;"",$M769&lt;&gt;""),CONCATENATE($M769,"-",$N769))</f>
        <v>Rec. Materiais-020</v>
      </c>
      <c r="Y769" s="39">
        <f t="shared" ca="1" si="966"/>
        <v>29</v>
      </c>
      <c r="Z769" s="1"/>
      <c r="AA769" s="133">
        <f>IF($J769=$G$2,ROUND(IF(ISNUMBER(S769),S769,IF(LEFT(S769,2)="DI",HLOOKUP(S769,DADOS!$T$29:$X$30,2,FALSE),0)),4),"")</f>
        <v>0.25</v>
      </c>
      <c r="AB769" s="2"/>
    </row>
    <row r="770" spans="1:28">
      <c r="A770" t="str">
        <f t="shared" si="951"/>
        <v>S</v>
      </c>
      <c r="B770">
        <f t="shared" si="952"/>
        <v>0</v>
      </c>
      <c r="C770">
        <f t="shared" ca="1" si="968"/>
        <v>9</v>
      </c>
      <c r="D770">
        <f t="shared" ca="1" si="969"/>
        <v>9</v>
      </c>
      <c r="E770">
        <f t="shared" ca="1" si="970"/>
        <v>0</v>
      </c>
      <c r="F770">
        <f t="shared" ca="1" si="971"/>
        <v>0</v>
      </c>
      <c r="G770">
        <f t="shared" ca="1" si="972"/>
        <v>18</v>
      </c>
      <c r="H770">
        <f ca="1">IF(OR($A770="S",$A770=0),0,MATCH(0,OFFSET($B770,1,$A770,ROW($A$1504)-ROW($A770)),0))</f>
        <v>0</v>
      </c>
      <c r="I770">
        <f ca="1">IF(OR($A770="S",$A770=0),0,MATCH(OFFSET($B770,0,$A770)+1,OFFSET($B770,1,$A770,ROW($A$1504)-ROW($A770)),0))</f>
        <v>0</v>
      </c>
      <c r="J770" s="132" t="s">
        <v>29</v>
      </c>
      <c r="K770" s="121" t="str">
        <f t="shared" ca="1" si="958"/>
        <v>9.9.18.</v>
      </c>
      <c r="L770" s="137" t="str">
        <f t="shared" ca="1" si="973"/>
        <v>Cotação</v>
      </c>
      <c r="M770" s="122" t="s">
        <v>79</v>
      </c>
      <c r="N770" s="139" t="s">
        <v>165</v>
      </c>
      <c r="O770" s="137" t="str">
        <f ca="1">IF(NOT(ISERROR($Y770)),IF($Y770&lt;&gt;FALSE,INDEX(Banco,$Y770,5),""),"")</f>
        <v>Papel de presente</v>
      </c>
      <c r="P770" s="138" t="str">
        <f t="shared" ca="1" si="974"/>
        <v>Folhas</v>
      </c>
      <c r="Q770" s="134">
        <v>8</v>
      </c>
      <c r="R770" s="124">
        <f t="shared" ca="1" si="975"/>
        <v>1.5</v>
      </c>
      <c r="S770" s="136" t="s">
        <v>62</v>
      </c>
      <c r="T770" s="123">
        <f t="shared" ca="1" si="976"/>
        <v>1.88</v>
      </c>
      <c r="U770" s="126">
        <f t="shared" ca="1" si="977"/>
        <v>15.04</v>
      </c>
      <c r="V770" s="1"/>
      <c r="W770" s="39" t="str">
        <f ca="1">IF(OR($A770=0,$A770="S",$A770&gt;CFF!$A$9),"",MAX(W$11:OFFSET(W770,-1,0))+1)</f>
        <v/>
      </c>
      <c r="X770" s="4" t="str">
        <f t="shared" si="978"/>
        <v>Rec. Materiais-021</v>
      </c>
      <c r="Y770" s="39">
        <f t="shared" ca="1" si="966"/>
        <v>30</v>
      </c>
      <c r="Z770" s="1"/>
      <c r="AA770" s="133">
        <f>IF($J770=$G$2,ROUND(IF(ISNUMBER(S770),S770,IF(LEFT(S770,2)="DI",HLOOKUP(S770,DADOS!$T$29:$X$30,2,FALSE),0)),4),"")</f>
        <v>0.25</v>
      </c>
      <c r="AB770" s="2"/>
    </row>
    <row r="771" spans="1:28">
      <c r="A771">
        <f>CHOOSE(1+LOG(1+2*(J771=$C$2)+4*(J771=$D$2)+8*(J771=$E$2)+16*(J771=$F$2)+32*(J771=$G$2),2),0,1,2,3,4,"S")</f>
        <v>2</v>
      </c>
      <c r="B771">
        <f ca="1">IF(OR(A771="S",A771=0),0,IF(ISERROR(I771),H771,SMALL(H771:I771,1)))</f>
        <v>9</v>
      </c>
      <c r="C771">
        <f ca="1">IF($A771=1,OFFSET(C771,-1,0)+1,OFFSET(C771,-1,0))</f>
        <v>9</v>
      </c>
      <c r="D771">
        <f ca="1">IF($A771=1,0,IF($A771=2,OFFSET(D771,-1,0)+1,OFFSET(D771,-1,0)))</f>
        <v>10</v>
      </c>
      <c r="E771">
        <f ca="1">IF(AND($A771&lt;=2,$A771&lt;&gt;0),0,IF($A771=3,OFFSET(E771,-1,0)+1,OFFSET(E771,-1,0)))</f>
        <v>0</v>
      </c>
      <c r="F771">
        <f ca="1">IF(AND($A771&lt;=3,$A771&lt;&gt;0),0,IF($A771=4,OFFSET(F771,-1,0)+1,OFFSET(F771,-1,0)))</f>
        <v>0</v>
      </c>
      <c r="G771">
        <f ca="1">IF(AND($A771&lt;=4,$A771&lt;&gt;0),0,IF($A771="S",OFFSET(G771,-1,0)+1,OFFSET(G771,-1,0)))</f>
        <v>0</v>
      </c>
      <c r="H771">
        <f ca="1">IF(OR($A771="S",$A771=0),0,MATCH(0,OFFSET($B771,1,$A771,ROW($A$1504)-ROW($A771)),0))</f>
        <v>28</v>
      </c>
      <c r="I771">
        <f ca="1">IF(OR($A771="S",$A771=0),0,MATCH(OFFSET($B771,0,$A771)+1,OFFSET($B771,1,$A771,ROW($A$1504)-ROW($A771)),0))</f>
        <v>9</v>
      </c>
      <c r="J771" s="132" t="s">
        <v>68</v>
      </c>
      <c r="K771" s="121" t="str">
        <f ca="1">IF($A771=0,"-",CONCATENATE(C771&amp;".",IF(AND($A$5&gt;=2,$A771&gt;=2),D771&amp;".",""),IF(AND($A$5&gt;=3,$A771&gt;=3),E771&amp;".",""),IF(AND($A$5&gt;=4,$A771&gt;=4),F771&amp;".",""),IF($A771="S",G771&amp;".","")))</f>
        <v>9.10.</v>
      </c>
      <c r="L771" s="137" t="str">
        <f ca="1">IF(NOT(ISERROR($Y771)),IF($Y771&lt;&gt;FALSE,INDEX(Banco,$Y771,4),""),"")</f>
        <v/>
      </c>
      <c r="M771" s="122"/>
      <c r="N771" s="139"/>
      <c r="O771" s="137" t="s">
        <v>409</v>
      </c>
      <c r="P771" s="138" t="str">
        <f ca="1">IF(NOT(ISERROR($Y771)),IF($Y771&lt;&gt;FALSE,INDEX(Banco,$Y771,6),""),"")</f>
        <v/>
      </c>
      <c r="Q771" s="134"/>
      <c r="R771" s="124">
        <f ca="1">IF(NOT(ISERROR($Y771)),IF($Y771&lt;&gt;FALSE,INDEX(Banco,$Y771,7),0),0)</f>
        <v>0</v>
      </c>
      <c r="S771" s="136" t="s">
        <v>62</v>
      </c>
      <c r="T771" s="123">
        <f>IF($J771=$G$2,ROUND(ROUND($R771,2)*IF($R$9="Preço Unitário (R$)",1,1+$AA771),2),0)</f>
        <v>0</v>
      </c>
      <c r="U771" s="126">
        <f ca="1">IF($A771="S",VTOTAL1,IF($A771=0,0,ROUND(SomaAgrup,2)))</f>
        <v>4465.74</v>
      </c>
      <c r="V771" s="1"/>
      <c r="W771" s="39">
        <f ca="1">IF(OR($A771=0,$A771="S",$A771&gt;CFF!$A$9),"",MAX(W$11:OFFSET(W771,-1,0))+1)</f>
        <v>71</v>
      </c>
      <c r="X771" s="4" t="b">
        <f>IF(AND($J771=$G$2,$N771&lt;&gt;"",$M771&lt;&gt;""),CONCATENATE($M771,"-",$N771))</f>
        <v>0</v>
      </c>
      <c r="Y771" s="39" t="b">
        <f ca="1">IF(X771&lt;&gt;FALSE,MATCH(X771,OFFSET(Banco,0,0,,1),0))</f>
        <v>0</v>
      </c>
      <c r="Z771" s="1"/>
      <c r="AA771" s="133" t="str">
        <f>IF($J771=$G$2,ROUND(IF(ISNUMBER(S771),S771,IF(LEFT(S771,2)="DI",HLOOKUP(S771,DADOS!$T$29:$X$30,2,FALSE),0)),4),"")</f>
        <v/>
      </c>
      <c r="AB771" s="2"/>
    </row>
    <row r="772" spans="1:28">
      <c r="A772" t="str">
        <f t="shared" ref="A772:A786" si="979">CHOOSE(1+LOG(1+2*(J772=$C$2)+4*(J772=$D$2)+8*(J772=$E$2)+16*(J772=$F$2)+32*(J772=$G$2),2),0,1,2,3,4,"S")</f>
        <v>S</v>
      </c>
      <c r="B772">
        <f t="shared" ref="B772:B786" si="980">IF(OR(A772="S",A772=0),0,IF(ISERROR(I772),H772,SMALL(H772:I772,1)))</f>
        <v>0</v>
      </c>
      <c r="C772">
        <f t="shared" ca="1" si="968"/>
        <v>9</v>
      </c>
      <c r="D772">
        <f t="shared" ca="1" si="969"/>
        <v>10</v>
      </c>
      <c r="E772">
        <f t="shared" ca="1" si="970"/>
        <v>0</v>
      </c>
      <c r="F772">
        <f t="shared" ca="1" si="971"/>
        <v>0</v>
      </c>
      <c r="G772">
        <f t="shared" ca="1" si="972"/>
        <v>1</v>
      </c>
      <c r="H772">
        <f ca="1">IF(OR($A772="S",$A772=0),0,MATCH(0,OFFSET($B772,1,$A772,ROW($A$1504)-ROW($A772)),0))</f>
        <v>0</v>
      </c>
      <c r="I772">
        <f ca="1">IF(OR($A772="S",$A772=0),0,MATCH(OFFSET($B772,0,$A772)+1,OFFSET($B772,1,$A772,ROW($A$1504)-ROW($A772)),0))</f>
        <v>0</v>
      </c>
      <c r="J772" s="132" t="s">
        <v>29</v>
      </c>
      <c r="K772" s="121" t="str">
        <f t="shared" ref="K772:K786" ca="1" si="981">IF($A772=0,"-",CONCATENATE(C772&amp;".",IF(AND($A$5&gt;=2,$A772&gt;=2),D772&amp;".",""),IF(AND($A$5&gt;=3,$A772&gt;=3),E772&amp;".",""),IF(AND($A$5&gt;=4,$A772&gt;=4),F772&amp;".",""),IF($A772="S",G772&amp;".","")))</f>
        <v>9.10.1.</v>
      </c>
      <c r="L772" s="137" t="str">
        <f t="shared" ca="1" si="973"/>
        <v>CRESS</v>
      </c>
      <c r="M772" s="122" t="s">
        <v>78</v>
      </c>
      <c r="N772" s="139" t="s">
        <v>149</v>
      </c>
      <c r="O772" s="137" t="str">
        <f t="shared" ref="O772:O777" ca="1" si="982">IF(NOT(ISERROR($Y772)),IF($Y772&lt;&gt;FALSE,INDEX(Banco,$Y772,5),""),"")</f>
        <v>Responsável Técnica</v>
      </c>
      <c r="P772" s="138" t="str">
        <f t="shared" ca="1" si="974"/>
        <v>Horas</v>
      </c>
      <c r="Q772" s="134">
        <v>4</v>
      </c>
      <c r="R772" s="124">
        <f t="shared" ca="1" si="975"/>
        <v>150.28</v>
      </c>
      <c r="S772" s="136" t="s">
        <v>62</v>
      </c>
      <c r="T772" s="123">
        <f t="shared" ca="1" si="976"/>
        <v>187.85</v>
      </c>
      <c r="U772" s="126">
        <f t="shared" ca="1" si="977"/>
        <v>751.4</v>
      </c>
      <c r="V772" s="1"/>
      <c r="W772" s="39" t="str">
        <f ca="1">IF(OR($A772=0,$A772="S",$A772&gt;CFF!$A$9),"",MAX(W$11:OFFSET(W772,-1,0))+1)</f>
        <v/>
      </c>
      <c r="X772" s="4" t="str">
        <f t="shared" si="978"/>
        <v>Rec. Humanos-001</v>
      </c>
      <c r="Y772" s="39">
        <f t="shared" ref="Y772:Y786" ca="1" si="983">IF(X772&lt;&gt;FALSE,MATCH(X772,OFFSET(Banco,0,0,,1),0))</f>
        <v>3</v>
      </c>
      <c r="Z772" s="1"/>
      <c r="AA772" s="133">
        <f>IF($J772=$G$2,ROUND(IF(ISNUMBER(S772),S772,IF(LEFT(S772,2)="DI",HLOOKUP(S772,DADOS!$T$29:$X$30,2,FALSE),0)),4),"")</f>
        <v>0.25</v>
      </c>
      <c r="AB772" s="2"/>
    </row>
    <row r="773" spans="1:28">
      <c r="A773" t="str">
        <f t="shared" si="979"/>
        <v>S</v>
      </c>
      <c r="B773">
        <f t="shared" si="980"/>
        <v>0</v>
      </c>
      <c r="C773">
        <f t="shared" ca="1" si="968"/>
        <v>9</v>
      </c>
      <c r="D773">
        <f t="shared" ca="1" si="969"/>
        <v>10</v>
      </c>
      <c r="E773">
        <f t="shared" ca="1" si="970"/>
        <v>0</v>
      </c>
      <c r="F773">
        <f t="shared" ca="1" si="971"/>
        <v>0</v>
      </c>
      <c r="G773">
        <f t="shared" ca="1" si="972"/>
        <v>2</v>
      </c>
      <c r="H773">
        <f ca="1">IF(OR($A773="S",$A773=0),0,MATCH(0,OFFSET($B773,1,$A773,ROW($A$1504)-ROW($A773)),0))</f>
        <v>0</v>
      </c>
      <c r="I773">
        <f ca="1">IF(OR($A773="S",$A773=0),0,MATCH(OFFSET($B773,0,$A773)+1,OFFSET($B773,1,$A773,ROW($A$1504)-ROW($A773)),0))</f>
        <v>0</v>
      </c>
      <c r="J773" s="132" t="s">
        <v>29</v>
      </c>
      <c r="K773" s="121" t="str">
        <f t="shared" ca="1" si="981"/>
        <v>9.10.2.</v>
      </c>
      <c r="L773" s="137" t="str">
        <f t="shared" ca="1" si="973"/>
        <v>CRESS</v>
      </c>
      <c r="M773" s="122" t="s">
        <v>78</v>
      </c>
      <c r="N773" s="139" t="s">
        <v>152</v>
      </c>
      <c r="O773" s="137" t="str">
        <f t="shared" ca="1" si="982"/>
        <v>Assistente Social</v>
      </c>
      <c r="P773" s="138" t="str">
        <f t="shared" ca="1" si="974"/>
        <v>Horas</v>
      </c>
      <c r="Q773" s="134">
        <v>4</v>
      </c>
      <c r="R773" s="124">
        <f t="shared" ca="1" si="975"/>
        <v>133.81</v>
      </c>
      <c r="S773" s="136" t="s">
        <v>62</v>
      </c>
      <c r="T773" s="123">
        <f t="shared" ca="1" si="976"/>
        <v>167.26</v>
      </c>
      <c r="U773" s="126">
        <f t="shared" ca="1" si="977"/>
        <v>669.04</v>
      </c>
      <c r="V773" s="1"/>
      <c r="W773" s="39" t="str">
        <f ca="1">IF(OR($A773=0,$A773="S",$A773&gt;CFF!$A$9),"",MAX(W$11:OFFSET(W773,-1,0))+1)</f>
        <v/>
      </c>
      <c r="X773" s="4" t="str">
        <f t="shared" si="978"/>
        <v>Rec. Humanos-002</v>
      </c>
      <c r="Y773" s="39">
        <f t="shared" ca="1" si="983"/>
        <v>4</v>
      </c>
      <c r="Z773" s="1"/>
      <c r="AA773" s="133">
        <f>IF($J773=$G$2,ROUND(IF(ISNUMBER(S773),S773,IF(LEFT(S773,2)="DI",HLOOKUP(S773,DADOS!$T$29:$X$30,2,FALSE),0)),4),"")</f>
        <v>0.25</v>
      </c>
      <c r="AB773" s="2"/>
    </row>
    <row r="774" spans="1:28">
      <c r="A774" t="str">
        <f t="shared" si="979"/>
        <v>S</v>
      </c>
      <c r="B774">
        <f t="shared" si="980"/>
        <v>0</v>
      </c>
      <c r="C774">
        <f t="shared" ca="1" si="968"/>
        <v>9</v>
      </c>
      <c r="D774">
        <f t="shared" ca="1" si="969"/>
        <v>10</v>
      </c>
      <c r="E774">
        <f t="shared" ca="1" si="970"/>
        <v>0</v>
      </c>
      <c r="F774">
        <f t="shared" ca="1" si="971"/>
        <v>0</v>
      </c>
      <c r="G774">
        <f t="shared" ca="1" si="972"/>
        <v>3</v>
      </c>
      <c r="H774">
        <f ca="1">IF(OR($A774="S",$A774=0),0,MATCH(0,OFFSET($B774,1,$A774,ROW($A$1504)-ROW($A774)),0))</f>
        <v>0</v>
      </c>
      <c r="I774">
        <f ca="1">IF(OR($A774="S",$A774=0),0,MATCH(OFFSET($B774,0,$A774)+1,OFFSET($B774,1,$A774,ROW($A$1504)-ROW($A774)),0))</f>
        <v>0</v>
      </c>
      <c r="J774" s="132" t="s">
        <v>29</v>
      </c>
      <c r="K774" s="121" t="str">
        <f t="shared" ca="1" si="981"/>
        <v>9.10.3.</v>
      </c>
      <c r="L774" s="137" t="str">
        <f t="shared" ca="1" si="973"/>
        <v>Cotação</v>
      </c>
      <c r="M774" s="122" t="s">
        <v>80</v>
      </c>
      <c r="N774" s="139" t="s">
        <v>201</v>
      </c>
      <c r="O774" s="137" t="str">
        <f t="shared" ca="1" si="982"/>
        <v xml:space="preserve">Coffe break (salgados) </v>
      </c>
      <c r="P774" s="138" t="str">
        <f t="shared" ca="1" si="974"/>
        <v>Centro</v>
      </c>
      <c r="Q774" s="134">
        <v>4</v>
      </c>
      <c r="R774" s="124">
        <f t="shared" ca="1" si="975"/>
        <v>65</v>
      </c>
      <c r="S774" s="136" t="s">
        <v>62</v>
      </c>
      <c r="T774" s="123">
        <f t="shared" ca="1" si="976"/>
        <v>81.25</v>
      </c>
      <c r="U774" s="126">
        <f t="shared" ca="1" si="977"/>
        <v>325</v>
      </c>
      <c r="V774" s="1"/>
      <c r="W774" s="39" t="str">
        <f ca="1">IF(OR($A774=0,$A774="S",$A774&gt;CFF!$A$9),"",MAX(W$11:OFFSET(W774,-1,0))+1)</f>
        <v/>
      </c>
      <c r="X774" s="4" t="str">
        <f t="shared" si="978"/>
        <v>Serv. Terc.-033</v>
      </c>
      <c r="Y774" s="39">
        <f t="shared" ca="1" si="983"/>
        <v>113</v>
      </c>
      <c r="Z774" s="1"/>
      <c r="AA774" s="133">
        <f>IF($J774=$G$2,ROUND(IF(ISNUMBER(S774),S774,IF(LEFT(S774,2)="DI",HLOOKUP(S774,DADOS!$T$29:$X$30,2,FALSE),0)),4),"")</f>
        <v>0.25</v>
      </c>
      <c r="AB774" s="2"/>
    </row>
    <row r="775" spans="1:28">
      <c r="A775" t="str">
        <f t="shared" si="979"/>
        <v>S</v>
      </c>
      <c r="B775">
        <f t="shared" si="980"/>
        <v>0</v>
      </c>
      <c r="C775">
        <f t="shared" ca="1" si="968"/>
        <v>9</v>
      </c>
      <c r="D775">
        <f t="shared" ca="1" si="969"/>
        <v>10</v>
      </c>
      <c r="E775">
        <f t="shared" ca="1" si="970"/>
        <v>0</v>
      </c>
      <c r="F775">
        <f t="shared" ca="1" si="971"/>
        <v>0</v>
      </c>
      <c r="G775">
        <f t="shared" ca="1" si="972"/>
        <v>4</v>
      </c>
      <c r="H775">
        <f ca="1">IF(OR($A775="S",$A775=0),0,MATCH(0,OFFSET($B775,1,$A775,ROW($A$1504)-ROW($A775)),0))</f>
        <v>0</v>
      </c>
      <c r="I775">
        <f ca="1">IF(OR($A775="S",$A775=0),0,MATCH(OFFSET($B775,0,$A775)+1,OFFSET($B775,1,$A775,ROW($A$1504)-ROW($A775)),0))</f>
        <v>0</v>
      </c>
      <c r="J775" s="132" t="s">
        <v>29</v>
      </c>
      <c r="K775" s="121" t="str">
        <f t="shared" ca="1" si="981"/>
        <v>9.10.4.</v>
      </c>
      <c r="L775" s="137" t="str">
        <f t="shared" ca="1" si="973"/>
        <v>Cotação</v>
      </c>
      <c r="M775" s="122" t="s">
        <v>80</v>
      </c>
      <c r="N775" s="139" t="s">
        <v>171</v>
      </c>
      <c r="O775" s="137" t="str">
        <f ca="1">IF(NOT(ISERROR($Y775)),IF($Y775&lt;&gt;FALSE,INDEX(Banco,$Y775,5),""),"")</f>
        <v xml:space="preserve">Refrigerantes (02 litros) </v>
      </c>
      <c r="P775" s="138" t="str">
        <f t="shared" ca="1" si="974"/>
        <v>Unidade</v>
      </c>
      <c r="Q775" s="134">
        <v>4</v>
      </c>
      <c r="R775" s="124">
        <f t="shared" ca="1" si="975"/>
        <v>6</v>
      </c>
      <c r="S775" s="136" t="s">
        <v>62</v>
      </c>
      <c r="T775" s="123">
        <f t="shared" ca="1" si="976"/>
        <v>7.5</v>
      </c>
      <c r="U775" s="126">
        <f t="shared" ca="1" si="977"/>
        <v>30</v>
      </c>
      <c r="V775" s="1"/>
      <c r="W775" s="39" t="str">
        <f ca="1">IF(OR($A775=0,$A775="S",$A775&gt;CFF!$A$9),"",MAX(W$11:OFFSET(W775,-1,0))+1)</f>
        <v/>
      </c>
      <c r="X775" s="4" t="str">
        <f t="shared" si="978"/>
        <v>Serv. Terc.-027</v>
      </c>
      <c r="Y775" s="39">
        <f t="shared" ca="1" si="983"/>
        <v>107</v>
      </c>
      <c r="Z775" s="1"/>
      <c r="AA775" s="133">
        <f>IF($J775=$G$2,ROUND(IF(ISNUMBER(S775),S775,IF(LEFT(S775,2)="DI",HLOOKUP(S775,DADOS!$T$29:$X$30,2,FALSE),0)),4),"")</f>
        <v>0.25</v>
      </c>
      <c r="AB775" s="2"/>
    </row>
    <row r="776" spans="1:28">
      <c r="A776" t="str">
        <f t="shared" si="979"/>
        <v>S</v>
      </c>
      <c r="B776">
        <f t="shared" si="980"/>
        <v>0</v>
      </c>
      <c r="C776">
        <f t="shared" ca="1" si="968"/>
        <v>9</v>
      </c>
      <c r="D776">
        <f t="shared" ca="1" si="969"/>
        <v>10</v>
      </c>
      <c r="E776">
        <f t="shared" ca="1" si="970"/>
        <v>0</v>
      </c>
      <c r="F776">
        <f t="shared" ca="1" si="971"/>
        <v>0</v>
      </c>
      <c r="G776">
        <f t="shared" ca="1" si="972"/>
        <v>5</v>
      </c>
      <c r="H776">
        <f ca="1">IF(OR($A776="S",$A776=0),0,MATCH(0,OFFSET($B776,1,$A776,ROW($A$1504)-ROW($A776)),0))</f>
        <v>0</v>
      </c>
      <c r="I776">
        <f ca="1">IF(OR($A776="S",$A776=0),0,MATCH(OFFSET($B776,0,$A776)+1,OFFSET($B776,1,$A776,ROW($A$1504)-ROW($A776)),0))</f>
        <v>0</v>
      </c>
      <c r="J776" s="132" t="s">
        <v>29</v>
      </c>
      <c r="K776" s="121" t="str">
        <f t="shared" ca="1" si="981"/>
        <v>9.10.5.</v>
      </c>
      <c r="L776" s="137" t="str">
        <f t="shared" ca="1" si="973"/>
        <v>CREFITO</v>
      </c>
      <c r="M776" s="122" t="s">
        <v>80</v>
      </c>
      <c r="N776" s="139" t="s">
        <v>260</v>
      </c>
      <c r="O776" s="137" t="str">
        <f t="shared" ca="1" si="982"/>
        <v>Fisioterapeuta (Massagem terapêutica)</v>
      </c>
      <c r="P776" s="138" t="str">
        <f t="shared" ca="1" si="974"/>
        <v>Vagas</v>
      </c>
      <c r="Q776" s="134">
        <v>40</v>
      </c>
      <c r="R776" s="124">
        <f t="shared" ca="1" si="975"/>
        <v>41.6</v>
      </c>
      <c r="S776" s="136" t="s">
        <v>62</v>
      </c>
      <c r="T776" s="123">
        <f t="shared" ca="1" si="976"/>
        <v>52</v>
      </c>
      <c r="U776" s="126">
        <f t="shared" ca="1" si="977"/>
        <v>2080</v>
      </c>
      <c r="V776" s="1"/>
      <c r="W776" s="39" t="str">
        <f ca="1">IF(OR($A776=0,$A776="S",$A776&gt;CFF!$A$9),"",MAX(W$11:OFFSET(W776,-1,0))+1)</f>
        <v/>
      </c>
      <c r="X776" s="4" t="str">
        <f t="shared" si="978"/>
        <v>Serv. Terc.-085</v>
      </c>
      <c r="Y776" s="39">
        <f t="shared" ca="1" si="983"/>
        <v>165</v>
      </c>
      <c r="Z776" s="1"/>
      <c r="AA776" s="133">
        <f>IF($J776=$G$2,ROUND(IF(ISNUMBER(S776),S776,IF(LEFT(S776,2)="DI",HLOOKUP(S776,DADOS!$T$29:$X$30,2,FALSE),0)),4),"")</f>
        <v>0.25</v>
      </c>
      <c r="AB776" s="2"/>
    </row>
    <row r="777" spans="1:28">
      <c r="A777" t="str">
        <f t="shared" si="979"/>
        <v>S</v>
      </c>
      <c r="B777">
        <f t="shared" si="980"/>
        <v>0</v>
      </c>
      <c r="C777">
        <f t="shared" ca="1" si="968"/>
        <v>9</v>
      </c>
      <c r="D777">
        <f t="shared" ca="1" si="969"/>
        <v>10</v>
      </c>
      <c r="E777">
        <f t="shared" ca="1" si="970"/>
        <v>0</v>
      </c>
      <c r="F777">
        <f t="shared" ca="1" si="971"/>
        <v>0</v>
      </c>
      <c r="G777">
        <f t="shared" ca="1" si="972"/>
        <v>6</v>
      </c>
      <c r="H777">
        <f ca="1">IF(OR($A777="S",$A777=0),0,MATCH(0,OFFSET($B777,1,$A777,ROW($A$1504)-ROW($A777)),0))</f>
        <v>0</v>
      </c>
      <c r="I777">
        <f ca="1">IF(OR($A777="S",$A777=0),0,MATCH(OFFSET($B777,0,$A777)+1,OFFSET($B777,1,$A777,ROW($A$1504)-ROW($A777)),0))</f>
        <v>0</v>
      </c>
      <c r="J777" s="132" t="s">
        <v>29</v>
      </c>
      <c r="K777" s="121" t="str">
        <f t="shared" ca="1" si="981"/>
        <v>9.10.6.</v>
      </c>
      <c r="L777" s="137" t="str">
        <f t="shared" ca="1" si="973"/>
        <v>COREN</v>
      </c>
      <c r="M777" s="122" t="s">
        <v>80</v>
      </c>
      <c r="N777" s="139" t="s">
        <v>261</v>
      </c>
      <c r="O777" s="137" t="str">
        <f t="shared" ca="1" si="982"/>
        <v>Técnica de Enfermagem (Instrutor)</v>
      </c>
      <c r="P777" s="138" t="str">
        <f t="shared" ca="1" si="974"/>
        <v>Horas</v>
      </c>
      <c r="Q777" s="134">
        <v>2</v>
      </c>
      <c r="R777" s="124">
        <f t="shared" ca="1" si="975"/>
        <v>92.65</v>
      </c>
      <c r="S777" s="136" t="s">
        <v>62</v>
      </c>
      <c r="T777" s="123">
        <f t="shared" ca="1" si="976"/>
        <v>115.81</v>
      </c>
      <c r="U777" s="126">
        <f t="shared" ca="1" si="977"/>
        <v>231.62</v>
      </c>
      <c r="V777" s="1"/>
      <c r="W777" s="39" t="str">
        <f ca="1">IF(OR($A777=0,$A777="S",$A777&gt;CFF!$A$9),"",MAX(W$11:OFFSET(W777,-1,0))+1)</f>
        <v/>
      </c>
      <c r="X777" s="4" t="str">
        <f t="shared" si="978"/>
        <v>Serv. Terc.-086</v>
      </c>
      <c r="Y777" s="39">
        <f t="shared" ca="1" si="983"/>
        <v>166</v>
      </c>
      <c r="Z777" s="1"/>
      <c r="AA777" s="133">
        <f>IF($J777=$G$2,ROUND(IF(ISNUMBER(S777),S777,IF(LEFT(S777,2)="DI",HLOOKUP(S777,DADOS!$T$29:$X$30,2,FALSE),0)),4),"")</f>
        <v>0.25</v>
      </c>
      <c r="AB777" s="2"/>
    </row>
    <row r="778" spans="1:28">
      <c r="A778" t="str">
        <f t="shared" si="979"/>
        <v>S</v>
      </c>
      <c r="B778">
        <f t="shared" si="980"/>
        <v>0</v>
      </c>
      <c r="C778">
        <f t="shared" ca="1" si="968"/>
        <v>9</v>
      </c>
      <c r="D778">
        <f t="shared" ca="1" si="969"/>
        <v>10</v>
      </c>
      <c r="E778">
        <f t="shared" ca="1" si="970"/>
        <v>0</v>
      </c>
      <c r="F778">
        <f t="shared" ca="1" si="971"/>
        <v>0</v>
      </c>
      <c r="G778">
        <f t="shared" ca="1" si="972"/>
        <v>7</v>
      </c>
      <c r="H778">
        <f ca="1">IF(OR($A778="S",$A778=0),0,MATCH(0,OFFSET($B778,1,$A778,ROW($A$1504)-ROW($A778)),0))</f>
        <v>0</v>
      </c>
      <c r="I778">
        <f ca="1">IF(OR($A778="S",$A778=0),0,MATCH(OFFSET($B778,0,$A778)+1,OFFSET($B778,1,$A778,ROW($A$1504)-ROW($A778)),0))</f>
        <v>0</v>
      </c>
      <c r="J778" s="132" t="s">
        <v>29</v>
      </c>
      <c r="K778" s="121" t="str">
        <f t="shared" ca="1" si="981"/>
        <v>9.10.7.</v>
      </c>
      <c r="L778" s="137" t="str">
        <f t="shared" ca="1" si="973"/>
        <v>Cotação</v>
      </c>
      <c r="M778" s="122" t="s">
        <v>80</v>
      </c>
      <c r="N778" s="139" t="s">
        <v>256</v>
      </c>
      <c r="O778" s="137" t="str">
        <f ca="1">IF(NOT(ISERROR($Y778)),IF($Y778&lt;&gt;FALSE,INDEX(Banco,$Y778,5),""),"")</f>
        <v>Instrutor/Monitor (Educação Fisíca)</v>
      </c>
      <c r="P778" s="138" t="str">
        <f t="shared" ca="1" si="974"/>
        <v>Horas</v>
      </c>
      <c r="Q778" s="134">
        <v>2</v>
      </c>
      <c r="R778" s="124">
        <f t="shared" ca="1" si="975"/>
        <v>100</v>
      </c>
      <c r="S778" s="136" t="s">
        <v>62</v>
      </c>
      <c r="T778" s="123">
        <f t="shared" ca="1" si="976"/>
        <v>125</v>
      </c>
      <c r="U778" s="126">
        <f t="shared" ca="1" si="977"/>
        <v>250</v>
      </c>
      <c r="V778" s="1"/>
      <c r="W778" s="39" t="str">
        <f ca="1">IF(OR($A778=0,$A778="S",$A778&gt;CFF!$A$9),"",MAX(W$11:OFFSET(W778,-1,0))+1)</f>
        <v/>
      </c>
      <c r="X778" s="4" t="str">
        <f t="shared" si="978"/>
        <v>Serv. Terc.-017</v>
      </c>
      <c r="Y778" s="39">
        <f t="shared" ca="1" si="983"/>
        <v>97</v>
      </c>
      <c r="Z778" s="1"/>
      <c r="AA778" s="133">
        <f>IF($J778=$G$2,ROUND(IF(ISNUMBER(S778),S778,IF(LEFT(S778,2)="DI",HLOOKUP(S778,DADOS!$T$29:$X$30,2,FALSE),0)),4),"")</f>
        <v>0.25</v>
      </c>
      <c r="AB778" s="2"/>
    </row>
    <row r="779" spans="1:28">
      <c r="A779" t="str">
        <f t="shared" si="979"/>
        <v>S</v>
      </c>
      <c r="B779">
        <f t="shared" si="980"/>
        <v>0</v>
      </c>
      <c r="C779">
        <f t="shared" ca="1" si="968"/>
        <v>9</v>
      </c>
      <c r="D779">
        <f t="shared" ca="1" si="969"/>
        <v>10</v>
      </c>
      <c r="E779">
        <f t="shared" ca="1" si="970"/>
        <v>0</v>
      </c>
      <c r="F779">
        <f t="shared" ca="1" si="971"/>
        <v>0</v>
      </c>
      <c r="G779">
        <f t="shared" ca="1" si="972"/>
        <v>8</v>
      </c>
      <c r="H779">
        <f ca="1">IF(OR($A779="S",$A779=0),0,MATCH(0,OFFSET($B779,1,$A779,ROW($A$1504)-ROW($A779)),0))</f>
        <v>0</v>
      </c>
      <c r="I779">
        <f ca="1">IF(OR($A779="S",$A779=0),0,MATCH(OFFSET($B779,0,$A779)+1,OFFSET($B779,1,$A779,ROW($A$1504)-ROW($A779)),0))</f>
        <v>0</v>
      </c>
      <c r="J779" s="132" t="s">
        <v>29</v>
      </c>
      <c r="K779" s="121" t="str">
        <f t="shared" ca="1" si="981"/>
        <v>9.10.8.</v>
      </c>
      <c r="L779" s="137" t="str">
        <f t="shared" ca="1" si="973"/>
        <v>Cotação</v>
      </c>
      <c r="M779" s="122" t="s">
        <v>80</v>
      </c>
      <c r="N779" s="139" t="s">
        <v>294</v>
      </c>
      <c r="O779" s="137" t="str">
        <f ca="1">IF(NOT(ISERROR($Y779)),IF($Y779&lt;&gt;FALSE,INDEX(Banco,$Y779,5),""),"")</f>
        <v>KIT (massagem terapêutica)</v>
      </c>
      <c r="P779" s="138" t="str">
        <f t="shared" ca="1" si="974"/>
        <v>KIT</v>
      </c>
      <c r="Q779" s="134">
        <v>1</v>
      </c>
      <c r="R779" s="124">
        <f t="shared" ca="1" si="975"/>
        <v>102.94</v>
      </c>
      <c r="S779" s="136" t="s">
        <v>62</v>
      </c>
      <c r="T779" s="123">
        <f t="shared" ca="1" si="976"/>
        <v>128.68</v>
      </c>
      <c r="U779" s="126">
        <f t="shared" ca="1" si="977"/>
        <v>128.68</v>
      </c>
      <c r="V779" s="1"/>
      <c r="W779" s="39" t="str">
        <f ca="1">IF(OR($A779=0,$A779="S",$A779&gt;CFF!$A$9),"",MAX(W$11:OFFSET(W779,-1,0))+1)</f>
        <v/>
      </c>
      <c r="X779" s="4" t="str">
        <f t="shared" si="978"/>
        <v>Serv. Terc.-061</v>
      </c>
      <c r="Y779" s="39">
        <f t="shared" ca="1" si="983"/>
        <v>141</v>
      </c>
      <c r="Z779" s="1"/>
      <c r="AA779" s="133">
        <f>IF($J779=$G$2,ROUND(IF(ISNUMBER(S779),S779,IF(LEFT(S779,2)="DI",HLOOKUP(S779,DADOS!$T$29:$X$30,2,FALSE),0)),4),"")</f>
        <v>0.25</v>
      </c>
      <c r="AB779" s="2"/>
    </row>
    <row r="780" spans="1:28" ht="25.5">
      <c r="A780">
        <f>CHOOSE(1+LOG(1+2*(J780=$C$2)+4*(J780=$D$2)+8*(J780=$E$2)+16*(J780=$F$2)+32*(J780=$G$2),2),0,1,2,3,4,"S")</f>
        <v>2</v>
      </c>
      <c r="B780">
        <f ca="1">IF(OR(A780="S",A780=0),0,IF(ISERROR(I780),H780,SMALL(H780:I780,1)))</f>
        <v>19</v>
      </c>
      <c r="C780">
        <f ca="1">IF($A780=1,OFFSET(C780,-1,0)+1,OFFSET(C780,-1,0))</f>
        <v>9</v>
      </c>
      <c r="D780">
        <f ca="1">IF($A780=1,0,IF($A780=2,OFFSET(D780,-1,0)+1,OFFSET(D780,-1,0)))</f>
        <v>11</v>
      </c>
      <c r="E780">
        <f ca="1">IF(AND($A780&lt;=2,$A780&lt;&gt;0),0,IF($A780=3,OFFSET(E780,-1,0)+1,OFFSET(E780,-1,0)))</f>
        <v>0</v>
      </c>
      <c r="F780">
        <f ca="1">IF(AND($A780&lt;=3,$A780&lt;&gt;0),0,IF($A780=4,OFFSET(F780,-1,0)+1,OFFSET(F780,-1,0)))</f>
        <v>0</v>
      </c>
      <c r="G780">
        <f ca="1">IF(AND($A780&lt;=4,$A780&lt;&gt;0),0,IF($A780="S",OFFSET(G780,-1,0)+1,OFFSET(G780,-1,0)))</f>
        <v>0</v>
      </c>
      <c r="H780">
        <f ca="1">IF(OR($A780="S",$A780=0),0,MATCH(0,OFFSET($B780,1,$A780,ROW($A$1504)-ROW($A780)),0))</f>
        <v>19</v>
      </c>
      <c r="I780" t="e">
        <f ca="1">IF(OR($A780="S",$A780=0),0,MATCH(OFFSET($B780,0,$A780)+1,OFFSET($B780,1,$A780,ROW($A$1504)-ROW($A780)),0))</f>
        <v>#N/A</v>
      </c>
      <c r="J780" s="132" t="s">
        <v>68</v>
      </c>
      <c r="K780" s="121" t="str">
        <f ca="1">IF($A780=0,"-",CONCATENATE(C780&amp;".",IF(AND($A$5&gt;=2,$A780&gt;=2),D780&amp;".",""),IF(AND($A$5&gt;=3,$A780&gt;=3),E780&amp;".",""),IF(AND($A$5&gt;=4,$A780&gt;=4),F780&amp;".",""),IF($A780="S",G780&amp;".","")))</f>
        <v>9.11.</v>
      </c>
      <c r="L780" s="137" t="str">
        <f ca="1">IF(NOT(ISERROR($Y780)),IF($Y780&lt;&gt;FALSE,INDEX(Banco,$Y780,4),""),"")</f>
        <v/>
      </c>
      <c r="M780" s="122"/>
      <c r="N780" s="139"/>
      <c r="O780" s="137" t="s">
        <v>410</v>
      </c>
      <c r="P780" s="138" t="str">
        <f ca="1">IF(NOT(ISERROR($Y780)),IF($Y780&lt;&gt;FALSE,INDEX(Banco,$Y780,6),""),"")</f>
        <v/>
      </c>
      <c r="Q780" s="134"/>
      <c r="R780" s="124">
        <f ca="1">IF(NOT(ISERROR($Y780)),IF($Y780&lt;&gt;FALSE,INDEX(Banco,$Y780,7),0),0)</f>
        <v>0</v>
      </c>
      <c r="S780" s="136" t="s">
        <v>62</v>
      </c>
      <c r="T780" s="123">
        <f>IF($J780=$G$2,ROUND(ROUND($R780,2)*IF($R$9="Preço Unitário (R$)",1,1+$AA780),2),0)</f>
        <v>0</v>
      </c>
      <c r="U780" s="126">
        <f ca="1">IF($A780="S",VTOTAL1,IF($A780=0,0,ROUND(SomaAgrup,2)))</f>
        <v>5687.92</v>
      </c>
      <c r="V780" s="1"/>
      <c r="W780" s="39">
        <f ca="1">IF(OR($A780=0,$A780="S",$A780&gt;CFF!$A$9),"",MAX(W$11:OFFSET(W780,-1,0))+1)</f>
        <v>72</v>
      </c>
      <c r="X780" s="4" t="b">
        <f>IF(AND($J780=$G$2,$N780&lt;&gt;"",$M780&lt;&gt;""),CONCATENATE($M780,"-",$N780))</f>
        <v>0</v>
      </c>
      <c r="Y780" s="39" t="b">
        <f ca="1">IF(X780&lt;&gt;FALSE,MATCH(X780,OFFSET(Banco,0,0,,1),0))</f>
        <v>0</v>
      </c>
      <c r="Z780" s="1"/>
      <c r="AA780" s="133" t="str">
        <f>IF($J780=$G$2,ROUND(IF(ISNUMBER(S780),S780,IF(LEFT(S780,2)="DI",HLOOKUP(S780,DADOS!$T$29:$X$30,2,FALSE),0)),4),"")</f>
        <v/>
      </c>
      <c r="AB780" s="2"/>
    </row>
    <row r="781" spans="1:28">
      <c r="A781" t="str">
        <f t="shared" si="979"/>
        <v>S</v>
      </c>
      <c r="B781">
        <f t="shared" si="980"/>
        <v>0</v>
      </c>
      <c r="C781">
        <f t="shared" ref="C781:C795" ca="1" si="984">IF($A781=1,OFFSET(C781,-1,0)+1,OFFSET(C781,-1,0))</f>
        <v>9</v>
      </c>
      <c r="D781">
        <f t="shared" ref="D781:D795" ca="1" si="985">IF($A781=1,0,IF($A781=2,OFFSET(D781,-1,0)+1,OFFSET(D781,-1,0)))</f>
        <v>11</v>
      </c>
      <c r="E781">
        <f t="shared" ref="E781:E795" ca="1" si="986">IF(AND($A781&lt;=2,$A781&lt;&gt;0),0,IF($A781=3,OFFSET(E781,-1,0)+1,OFFSET(E781,-1,0)))</f>
        <v>0</v>
      </c>
      <c r="F781">
        <f t="shared" ref="F781:F795" ca="1" si="987">IF(AND($A781&lt;=3,$A781&lt;&gt;0),0,IF($A781=4,OFFSET(F781,-1,0)+1,OFFSET(F781,-1,0)))</f>
        <v>0</v>
      </c>
      <c r="G781">
        <f t="shared" ref="G781:G795" ca="1" si="988">IF(AND($A781&lt;=4,$A781&lt;&gt;0),0,IF($A781="S",OFFSET(G781,-1,0)+1,OFFSET(G781,-1,0)))</f>
        <v>1</v>
      </c>
      <c r="H781">
        <f ca="1">IF(OR($A781="S",$A781=0),0,MATCH(0,OFFSET($B781,1,$A781,ROW($A$1504)-ROW($A781)),0))</f>
        <v>0</v>
      </c>
      <c r="I781">
        <f ca="1">IF(OR($A781="S",$A781=0),0,MATCH(OFFSET($B781,0,$A781)+1,OFFSET($B781,1,$A781,ROW($A$1504)-ROW($A781)),0))</f>
        <v>0</v>
      </c>
      <c r="J781" s="132" t="s">
        <v>29</v>
      </c>
      <c r="K781" s="121" t="str">
        <f t="shared" ca="1" si="981"/>
        <v>9.11.1.</v>
      </c>
      <c r="L781" s="137" t="str">
        <f t="shared" ref="L781:L795" ca="1" si="989">IF(NOT(ISERROR($Y781)),IF($Y781&lt;&gt;FALSE,INDEX(Banco,$Y781,4),""),"")</f>
        <v>CRESS</v>
      </c>
      <c r="M781" s="122" t="s">
        <v>78</v>
      </c>
      <c r="N781" s="139" t="s">
        <v>149</v>
      </c>
      <c r="O781" s="137" t="str">
        <f t="shared" ref="O781:O787" ca="1" si="990">IF(NOT(ISERROR($Y781)),IF($Y781&lt;&gt;FALSE,INDEX(Banco,$Y781,5),""),"")</f>
        <v>Responsável Técnica</v>
      </c>
      <c r="P781" s="138" t="str">
        <f t="shared" ref="P781:P795" ca="1" si="991">IF(NOT(ISERROR($Y781)),IF($Y781&lt;&gt;FALSE,INDEX(Banco,$Y781,6),""),"")</f>
        <v>Horas</v>
      </c>
      <c r="Q781" s="134">
        <v>6</v>
      </c>
      <c r="R781" s="124">
        <f t="shared" ref="R781:R795" ca="1" si="992">IF(NOT(ISERROR($Y781)),IF($Y781&lt;&gt;FALSE,INDEX(Banco,$Y781,7),0),0)</f>
        <v>150.28</v>
      </c>
      <c r="S781" s="136" t="s">
        <v>62</v>
      </c>
      <c r="T781" s="123">
        <f t="shared" ref="T781:T795" ca="1" si="993">IF($J781=$G$2,ROUND(ROUND($R781,2)*IF($R$9="Preço Unitário (R$)",1,1+$AA781),2),0)</f>
        <v>187.85</v>
      </c>
      <c r="U781" s="126">
        <f t="shared" ref="U781:U795" ca="1" si="994">IF($A781="S",VTOTAL1,IF($A781=0,0,ROUND(SomaAgrup,2)))</f>
        <v>1127.0999999999999</v>
      </c>
      <c r="V781" s="1"/>
      <c r="W781" s="39" t="str">
        <f ca="1">IF(OR($A781=0,$A781="S",$A781&gt;CFF!$A$9),"",MAX(W$11:OFFSET(W781,-1,0))+1)</f>
        <v/>
      </c>
      <c r="X781" s="4" t="str">
        <f t="shared" ref="X781:X795" si="995">IF(AND($J781=$G$2,$N781&lt;&gt;"",$M781&lt;&gt;""),CONCATENATE($M781,"-",$N781))</f>
        <v>Rec. Humanos-001</v>
      </c>
      <c r="Y781" s="39">
        <f t="shared" ca="1" si="983"/>
        <v>3</v>
      </c>
      <c r="Z781" s="1"/>
      <c r="AA781" s="133">
        <f>IF($J781=$G$2,ROUND(IF(ISNUMBER(S781),S781,IF(LEFT(S781,2)="DI",HLOOKUP(S781,DADOS!$T$29:$X$30,2,FALSE),0)),4),"")</f>
        <v>0.25</v>
      </c>
      <c r="AB781" s="2"/>
    </row>
    <row r="782" spans="1:28">
      <c r="A782" t="str">
        <f t="shared" si="979"/>
        <v>S</v>
      </c>
      <c r="B782">
        <f t="shared" si="980"/>
        <v>0</v>
      </c>
      <c r="C782">
        <f t="shared" ca="1" si="984"/>
        <v>9</v>
      </c>
      <c r="D782">
        <f t="shared" ca="1" si="985"/>
        <v>11</v>
      </c>
      <c r="E782">
        <f t="shared" ca="1" si="986"/>
        <v>0</v>
      </c>
      <c r="F782">
        <f t="shared" ca="1" si="987"/>
        <v>0</v>
      </c>
      <c r="G782">
        <f t="shared" ca="1" si="988"/>
        <v>2</v>
      </c>
      <c r="H782">
        <f ca="1">IF(OR($A782="S",$A782=0),0,MATCH(0,OFFSET($B782,1,$A782,ROW($A$1504)-ROW($A782)),0))</f>
        <v>0</v>
      </c>
      <c r="I782">
        <f ca="1">IF(OR($A782="S",$A782=0),0,MATCH(OFFSET($B782,0,$A782)+1,OFFSET($B782,1,$A782,ROW($A$1504)-ROW($A782)),0))</f>
        <v>0</v>
      </c>
      <c r="J782" s="132" t="s">
        <v>29</v>
      </c>
      <c r="K782" s="121" t="str">
        <f t="shared" ca="1" si="981"/>
        <v>9.11.2.</v>
      </c>
      <c r="L782" s="137" t="str">
        <f t="shared" ca="1" si="989"/>
        <v>CRESS</v>
      </c>
      <c r="M782" s="122" t="s">
        <v>78</v>
      </c>
      <c r="N782" s="139" t="s">
        <v>152</v>
      </c>
      <c r="O782" s="137" t="str">
        <f t="shared" ca="1" si="990"/>
        <v>Assistente Social</v>
      </c>
      <c r="P782" s="138" t="str">
        <f t="shared" ca="1" si="991"/>
        <v>Horas</v>
      </c>
      <c r="Q782" s="134">
        <v>4</v>
      </c>
      <c r="R782" s="124">
        <f t="shared" ca="1" si="992"/>
        <v>133.81</v>
      </c>
      <c r="S782" s="136" t="s">
        <v>62</v>
      </c>
      <c r="T782" s="123">
        <f t="shared" ca="1" si="993"/>
        <v>167.26</v>
      </c>
      <c r="U782" s="126">
        <f t="shared" ca="1" si="994"/>
        <v>669.04</v>
      </c>
      <c r="V782" s="1"/>
      <c r="W782" s="39" t="str">
        <f ca="1">IF(OR($A782=0,$A782="S",$A782&gt;CFF!$A$9),"",MAX(W$11:OFFSET(W782,-1,0))+1)</f>
        <v/>
      </c>
      <c r="X782" s="4" t="str">
        <f t="shared" si="995"/>
        <v>Rec. Humanos-002</v>
      </c>
      <c r="Y782" s="39">
        <f t="shared" ca="1" si="983"/>
        <v>4</v>
      </c>
      <c r="Z782" s="1"/>
      <c r="AA782" s="133">
        <f>IF($J782=$G$2,ROUND(IF(ISNUMBER(S782),S782,IF(LEFT(S782,2)="DI",HLOOKUP(S782,DADOS!$T$29:$X$30,2,FALSE),0)),4),"")</f>
        <v>0.25</v>
      </c>
      <c r="AB782" s="2"/>
    </row>
    <row r="783" spans="1:28">
      <c r="A783" t="str">
        <f t="shared" si="979"/>
        <v>S</v>
      </c>
      <c r="B783">
        <f t="shared" si="980"/>
        <v>0</v>
      </c>
      <c r="C783">
        <f t="shared" ca="1" si="984"/>
        <v>9</v>
      </c>
      <c r="D783">
        <f t="shared" ca="1" si="985"/>
        <v>11</v>
      </c>
      <c r="E783">
        <f t="shared" ca="1" si="986"/>
        <v>0</v>
      </c>
      <c r="F783">
        <f t="shared" ca="1" si="987"/>
        <v>0</v>
      </c>
      <c r="G783">
        <f t="shared" ca="1" si="988"/>
        <v>3</v>
      </c>
      <c r="H783">
        <f ca="1">IF(OR($A783="S",$A783=0),0,MATCH(0,OFFSET($B783,1,$A783,ROW($A$1504)-ROW($A783)),0))</f>
        <v>0</v>
      </c>
      <c r="I783">
        <f ca="1">IF(OR($A783="S",$A783=0),0,MATCH(OFFSET($B783,0,$A783)+1,OFFSET($B783,1,$A783,ROW($A$1504)-ROW($A783)),0))</f>
        <v>0</v>
      </c>
      <c r="J783" s="132" t="s">
        <v>29</v>
      </c>
      <c r="K783" s="121" t="str">
        <f t="shared" ca="1" si="981"/>
        <v>9.11.3.</v>
      </c>
      <c r="L783" s="137" t="str">
        <f t="shared" ca="1" si="989"/>
        <v>Cotação</v>
      </c>
      <c r="M783" s="122" t="s">
        <v>78</v>
      </c>
      <c r="N783" s="139" t="s">
        <v>151</v>
      </c>
      <c r="O783" s="137" t="str">
        <f t="shared" ca="1" si="990"/>
        <v xml:space="preserve">Administrador (Técnico de Apoio) </v>
      </c>
      <c r="P783" s="138" t="str">
        <f t="shared" ca="1" si="991"/>
        <v>Horas</v>
      </c>
      <c r="Q783" s="134">
        <v>4</v>
      </c>
      <c r="R783" s="124">
        <f t="shared" ca="1" si="992"/>
        <v>103.65</v>
      </c>
      <c r="S783" s="136" t="s">
        <v>62</v>
      </c>
      <c r="T783" s="123">
        <f t="shared" ca="1" si="993"/>
        <v>129.56</v>
      </c>
      <c r="U783" s="126">
        <f t="shared" ca="1" si="994"/>
        <v>518.24</v>
      </c>
      <c r="V783" s="1"/>
      <c r="W783" s="39" t="str">
        <f ca="1">IF(OR($A783=0,$A783="S",$A783&gt;CFF!$A$9),"",MAX(W$11:OFFSET(W783,-1,0))+1)</f>
        <v/>
      </c>
      <c r="X783" s="4" t="str">
        <f t="shared" si="995"/>
        <v>Rec. Humanos-003</v>
      </c>
      <c r="Y783" s="39">
        <f t="shared" ca="1" si="983"/>
        <v>5</v>
      </c>
      <c r="Z783" s="1"/>
      <c r="AA783" s="133">
        <f>IF($J783=$G$2,ROUND(IF(ISNUMBER(S783),S783,IF(LEFT(S783,2)="DI",HLOOKUP(S783,DADOS!$T$29:$X$30,2,FALSE),0)),4),"")</f>
        <v>0.25</v>
      </c>
      <c r="AB783" s="2"/>
    </row>
    <row r="784" spans="1:28">
      <c r="A784" t="str">
        <f t="shared" si="979"/>
        <v>S</v>
      </c>
      <c r="B784">
        <f t="shared" si="980"/>
        <v>0</v>
      </c>
      <c r="C784">
        <f t="shared" ca="1" si="984"/>
        <v>9</v>
      </c>
      <c r="D784">
        <f t="shared" ca="1" si="985"/>
        <v>11</v>
      </c>
      <c r="E784">
        <f t="shared" ca="1" si="986"/>
        <v>0</v>
      </c>
      <c r="F784">
        <f t="shared" ca="1" si="987"/>
        <v>0</v>
      </c>
      <c r="G784">
        <f t="shared" ca="1" si="988"/>
        <v>4</v>
      </c>
      <c r="H784">
        <f ca="1">IF(OR($A784="S",$A784=0),0,MATCH(0,OFFSET($B784,1,$A784,ROW($A$1504)-ROW($A784)),0))</f>
        <v>0</v>
      </c>
      <c r="I784">
        <f ca="1">IF(OR($A784="S",$A784=0),0,MATCH(OFFSET($B784,0,$A784)+1,OFFSET($B784,1,$A784,ROW($A$1504)-ROW($A784)),0))</f>
        <v>0</v>
      </c>
      <c r="J784" s="132" t="s">
        <v>29</v>
      </c>
      <c r="K784" s="121" t="str">
        <f t="shared" ca="1" si="981"/>
        <v>9.11.4.</v>
      </c>
      <c r="L784" s="137" t="str">
        <f t="shared" ca="1" si="989"/>
        <v>SINE</v>
      </c>
      <c r="M784" s="122" t="s">
        <v>78</v>
      </c>
      <c r="N784" s="139" t="s">
        <v>153</v>
      </c>
      <c r="O784" s="137" t="str">
        <f t="shared" ca="1" si="990"/>
        <v>Estagiários</v>
      </c>
      <c r="P784" s="138" t="str">
        <f t="shared" ca="1" si="991"/>
        <v>Horas</v>
      </c>
      <c r="Q784" s="134">
        <v>10</v>
      </c>
      <c r="R784" s="124">
        <f t="shared" ca="1" si="992"/>
        <v>9.7899999999999991</v>
      </c>
      <c r="S784" s="136" t="s">
        <v>62</v>
      </c>
      <c r="T784" s="123">
        <f t="shared" ca="1" si="993"/>
        <v>12.24</v>
      </c>
      <c r="U784" s="126">
        <f t="shared" ca="1" si="994"/>
        <v>122.4</v>
      </c>
      <c r="V784" s="1"/>
      <c r="W784" s="39" t="str">
        <f ca="1">IF(OR($A784=0,$A784="S",$A784&gt;CFF!$A$9),"",MAX(W$11:OFFSET(W784,-1,0))+1)</f>
        <v/>
      </c>
      <c r="X784" s="4" t="str">
        <f t="shared" si="995"/>
        <v>Rec. Humanos-004</v>
      </c>
      <c r="Y784" s="39">
        <f t="shared" ca="1" si="983"/>
        <v>6</v>
      </c>
      <c r="Z784" s="1"/>
      <c r="AA784" s="133">
        <f>IF($J784=$G$2,ROUND(IF(ISNUMBER(S784),S784,IF(LEFT(S784,2)="DI",HLOOKUP(S784,DADOS!$T$29:$X$30,2,FALSE),0)),4),"")</f>
        <v>0.25</v>
      </c>
      <c r="AB784" s="2"/>
    </row>
    <row r="785" spans="1:28">
      <c r="A785" t="str">
        <f t="shared" si="979"/>
        <v>S</v>
      </c>
      <c r="B785">
        <f t="shared" si="980"/>
        <v>0</v>
      </c>
      <c r="C785">
        <f t="shared" ca="1" si="984"/>
        <v>9</v>
      </c>
      <c r="D785">
        <f t="shared" ca="1" si="985"/>
        <v>11</v>
      </c>
      <c r="E785">
        <f t="shared" ca="1" si="986"/>
        <v>0</v>
      </c>
      <c r="F785">
        <f t="shared" ca="1" si="987"/>
        <v>0</v>
      </c>
      <c r="G785">
        <f t="shared" ca="1" si="988"/>
        <v>5</v>
      </c>
      <c r="H785">
        <f ca="1">IF(OR($A785="S",$A785=0),0,MATCH(0,OFFSET($B785,1,$A785,ROW($A$1504)-ROW($A785)),0))</f>
        <v>0</v>
      </c>
      <c r="I785">
        <f ca="1">IF(OR($A785="S",$A785=0),0,MATCH(OFFSET($B785,0,$A785)+1,OFFSET($B785,1,$A785,ROW($A$1504)-ROW($A785)),0))</f>
        <v>0</v>
      </c>
      <c r="J785" s="132" t="s">
        <v>29</v>
      </c>
      <c r="K785" s="121" t="str">
        <f t="shared" ca="1" si="981"/>
        <v>9.11.5.</v>
      </c>
      <c r="L785" s="137" t="str">
        <f t="shared" ca="1" si="989"/>
        <v>Cotação</v>
      </c>
      <c r="M785" s="122" t="s">
        <v>80</v>
      </c>
      <c r="N785" s="139" t="s">
        <v>149</v>
      </c>
      <c r="O785" s="137" t="str">
        <f t="shared" ca="1" si="990"/>
        <v>Fotocópias</v>
      </c>
      <c r="P785" s="138" t="str">
        <f t="shared" ca="1" si="991"/>
        <v>Unidade</v>
      </c>
      <c r="Q785" s="134">
        <v>150</v>
      </c>
      <c r="R785" s="124">
        <f t="shared" ca="1" si="992"/>
        <v>0.3</v>
      </c>
      <c r="S785" s="136" t="s">
        <v>62</v>
      </c>
      <c r="T785" s="123">
        <f t="shared" ca="1" si="993"/>
        <v>0.38</v>
      </c>
      <c r="U785" s="126">
        <f t="shared" ca="1" si="994"/>
        <v>57</v>
      </c>
      <c r="V785" s="1"/>
      <c r="W785" s="39" t="str">
        <f ca="1">IF(OR($A785=0,$A785="S",$A785&gt;CFF!$A$9),"",MAX(W$11:OFFSET(W785,-1,0))+1)</f>
        <v/>
      </c>
      <c r="X785" s="4" t="str">
        <f t="shared" si="995"/>
        <v>Serv. Terc.-001</v>
      </c>
      <c r="Y785" s="39">
        <f t="shared" ca="1" si="983"/>
        <v>81</v>
      </c>
      <c r="Z785" s="1"/>
      <c r="AA785" s="133">
        <f>IF($J785=$G$2,ROUND(IF(ISNUMBER(S785),S785,IF(LEFT(S785,2)="DI",HLOOKUP(S785,DADOS!$T$29:$X$30,2,FALSE),0)),4),"")</f>
        <v>0.25</v>
      </c>
      <c r="AB785" s="2"/>
    </row>
    <row r="786" spans="1:28">
      <c r="A786" t="str">
        <f t="shared" si="979"/>
        <v>S</v>
      </c>
      <c r="B786">
        <f t="shared" si="980"/>
        <v>0</v>
      </c>
      <c r="C786">
        <f ca="1">IF($A786=1,OFFSET(C786,-1,0)+1,OFFSET(C786,-1,0))</f>
        <v>9</v>
      </c>
      <c r="D786">
        <f ca="1">IF($A786=1,0,IF($A786=2,OFFSET(D786,-1,0)+1,OFFSET(D786,-1,0)))</f>
        <v>11</v>
      </c>
      <c r="E786">
        <f ca="1">IF(AND($A786&lt;=2,$A786&lt;&gt;0),0,IF($A786=3,OFFSET(E786,-1,0)+1,OFFSET(E786,-1,0)))</f>
        <v>0</v>
      </c>
      <c r="F786">
        <f ca="1">IF(AND($A786&lt;=3,$A786&lt;&gt;0),0,IF($A786=4,OFFSET(F786,-1,0)+1,OFFSET(F786,-1,0)))</f>
        <v>0</v>
      </c>
      <c r="G786">
        <f ca="1">IF(AND($A786&lt;=4,$A786&lt;&gt;0),0,IF($A786="S",OFFSET(G786,-1,0)+1,OFFSET(G786,-1,0)))</f>
        <v>6</v>
      </c>
      <c r="H786">
        <f ca="1">IF(OR($A786="S",$A786=0),0,MATCH(0,OFFSET($B786,1,$A786,ROW($A$1504)-ROW($A786)),0))</f>
        <v>0</v>
      </c>
      <c r="I786">
        <f ca="1">IF(OR($A786="S",$A786=0),0,MATCH(OFFSET($B786,0,$A786)+1,OFFSET($B786,1,$A786,ROW($A$1504)-ROW($A786)),0))</f>
        <v>0</v>
      </c>
      <c r="J786" s="132" t="s">
        <v>29</v>
      </c>
      <c r="K786" s="121" t="str">
        <f t="shared" ca="1" si="981"/>
        <v>9.11.6.</v>
      </c>
      <c r="L786" s="137" t="str">
        <f ca="1">IF(NOT(ISERROR($Y786)),IF($Y786&lt;&gt;FALSE,INDEX(Banco,$Y786,4),""),"")</f>
        <v>Cotação</v>
      </c>
      <c r="M786" s="122" t="s">
        <v>80</v>
      </c>
      <c r="N786" s="139" t="s">
        <v>256</v>
      </c>
      <c r="O786" s="137" t="str">
        <f ca="1">IF(NOT(ISERROR($Y786)),IF($Y786&lt;&gt;FALSE,INDEX(Banco,$Y786,5),""),"")</f>
        <v>Instrutor/Monitor (Educação Fisíca)</v>
      </c>
      <c r="P786" s="138" t="str">
        <f ca="1">IF(NOT(ISERROR($Y786)),IF($Y786&lt;&gt;FALSE,INDEX(Banco,$Y786,6),""),"")</f>
        <v>Horas</v>
      </c>
      <c r="Q786" s="134">
        <v>3</v>
      </c>
      <c r="R786" s="124">
        <f ca="1">IF(NOT(ISERROR($Y786)),IF($Y786&lt;&gt;FALSE,INDEX(Banco,$Y786,7),0),0)</f>
        <v>100</v>
      </c>
      <c r="S786" s="136" t="s">
        <v>62</v>
      </c>
      <c r="T786" s="123">
        <f ca="1">IF($J786=$G$2,ROUND(ROUND($R786,2)*IF($R$9="Preço Unitário (R$)",1,1+$AA786),2),0)</f>
        <v>125</v>
      </c>
      <c r="U786" s="126">
        <f ca="1">IF($A786="S",VTOTAL1,IF($A786=0,0,ROUND(SomaAgrup,2)))</f>
        <v>375</v>
      </c>
      <c r="V786" s="1"/>
      <c r="W786" s="39" t="str">
        <f ca="1">IF(OR($A786=0,$A786="S",$A786&gt;CFF!$A$9),"",MAX(W$11:OFFSET(W786,-1,0))+1)</f>
        <v/>
      </c>
      <c r="X786" s="4" t="str">
        <f>IF(AND($J786=$G$2,$N786&lt;&gt;"",$M786&lt;&gt;""),CONCATENATE($M786,"-",$N786))</f>
        <v>Serv. Terc.-017</v>
      </c>
      <c r="Y786" s="39">
        <f t="shared" ca="1" si="983"/>
        <v>97</v>
      </c>
      <c r="Z786" s="1"/>
      <c r="AA786" s="133">
        <f>IF($J786=$G$2,ROUND(IF(ISNUMBER(S786),S786,IF(LEFT(S786,2)="DI",HLOOKUP(S786,DADOS!$T$29:$X$30,2,FALSE),0)),4),"")</f>
        <v>0.25</v>
      </c>
      <c r="AB786" s="2"/>
    </row>
    <row r="787" spans="1:28">
      <c r="A787" t="str">
        <f t="shared" ref="A787:A798" si="996">CHOOSE(1+LOG(1+2*(J787=$C$2)+4*(J787=$D$2)+8*(J787=$E$2)+16*(J787=$F$2)+32*(J787=$G$2),2),0,1,2,3,4,"S")</f>
        <v>S</v>
      </c>
      <c r="B787">
        <f t="shared" ref="B787:B798" si="997">IF(OR(A787="S",A787=0),0,IF(ISERROR(I787),H787,SMALL(H787:I787,1)))</f>
        <v>0</v>
      </c>
      <c r="C787">
        <f t="shared" ca="1" si="984"/>
        <v>9</v>
      </c>
      <c r="D787">
        <f t="shared" ca="1" si="985"/>
        <v>11</v>
      </c>
      <c r="E787">
        <f t="shared" ca="1" si="986"/>
        <v>0</v>
      </c>
      <c r="F787">
        <f t="shared" ca="1" si="987"/>
        <v>0</v>
      </c>
      <c r="G787">
        <f t="shared" ca="1" si="988"/>
        <v>7</v>
      </c>
      <c r="H787">
        <f ca="1">IF(OR($A787="S",$A787=0),0,MATCH(0,OFFSET($B787,1,$A787,ROW($A$1504)-ROW($A787)),0))</f>
        <v>0</v>
      </c>
      <c r="I787">
        <f ca="1">IF(OR($A787="S",$A787=0),0,MATCH(OFFSET($B787,0,$A787)+1,OFFSET($B787,1,$A787,ROW($A$1504)-ROW($A787)),0))</f>
        <v>0</v>
      </c>
      <c r="J787" s="132" t="s">
        <v>29</v>
      </c>
      <c r="K787" s="121" t="str">
        <f t="shared" ref="K787:K798" ca="1" si="998">IF($A787=0,"-",CONCATENATE(C787&amp;".",IF(AND($A$5&gt;=2,$A787&gt;=2),D787&amp;".",""),IF(AND($A$5&gt;=3,$A787&gt;=3),E787&amp;".",""),IF(AND($A$5&gt;=4,$A787&gt;=4),F787&amp;".",""),IF($A787="S",G787&amp;".","")))</f>
        <v>9.11.7.</v>
      </c>
      <c r="L787" s="137" t="str">
        <f t="shared" ca="1" si="989"/>
        <v>Cotação</v>
      </c>
      <c r="M787" s="122" t="s">
        <v>80</v>
      </c>
      <c r="N787" s="139" t="s">
        <v>152</v>
      </c>
      <c r="O787" s="137" t="str">
        <f t="shared" ca="1" si="990"/>
        <v>Carro de som com gravação de vinheta</v>
      </c>
      <c r="P787" s="138" t="str">
        <f t="shared" ca="1" si="991"/>
        <v>Horas</v>
      </c>
      <c r="Q787" s="134">
        <v>2</v>
      </c>
      <c r="R787" s="124">
        <f t="shared" ca="1" si="992"/>
        <v>200</v>
      </c>
      <c r="S787" s="136" t="s">
        <v>62</v>
      </c>
      <c r="T787" s="123">
        <f t="shared" ca="1" si="993"/>
        <v>250</v>
      </c>
      <c r="U787" s="126">
        <f t="shared" ca="1" si="994"/>
        <v>500</v>
      </c>
      <c r="V787" s="1"/>
      <c r="W787" s="39" t="str">
        <f ca="1">IF(OR($A787=0,$A787="S",$A787&gt;CFF!$A$9),"",MAX(W$11:OFFSET(W787,-1,0))+1)</f>
        <v/>
      </c>
      <c r="X787" s="4" t="str">
        <f t="shared" si="995"/>
        <v>Serv. Terc.-002</v>
      </c>
      <c r="Y787" s="39">
        <f t="shared" ref="Y787:Y798" ca="1" si="999">IF(X787&lt;&gt;FALSE,MATCH(X787,OFFSET(Banco,0,0,,1),0))</f>
        <v>82</v>
      </c>
      <c r="Z787" s="1"/>
      <c r="AA787" s="133">
        <f>IF($J787=$G$2,ROUND(IF(ISNUMBER(S787),S787,IF(LEFT(S787,2)="DI",HLOOKUP(S787,DADOS!$T$29:$X$30,2,FALSE),0)),4),"")</f>
        <v>0.25</v>
      </c>
      <c r="AB787" s="2"/>
    </row>
    <row r="788" spans="1:28">
      <c r="A788" t="str">
        <f t="shared" si="996"/>
        <v>S</v>
      </c>
      <c r="B788">
        <f t="shared" si="997"/>
        <v>0</v>
      </c>
      <c r="C788">
        <f t="shared" ca="1" si="984"/>
        <v>9</v>
      </c>
      <c r="D788">
        <f t="shared" ca="1" si="985"/>
        <v>11</v>
      </c>
      <c r="E788">
        <f t="shared" ca="1" si="986"/>
        <v>0</v>
      </c>
      <c r="F788">
        <f t="shared" ca="1" si="987"/>
        <v>0</v>
      </c>
      <c r="G788">
        <f t="shared" ca="1" si="988"/>
        <v>8</v>
      </c>
      <c r="H788">
        <f ca="1">IF(OR($A788="S",$A788=0),0,MATCH(0,OFFSET($B788,1,$A788,ROW($A$1504)-ROW($A788)),0))</f>
        <v>0</v>
      </c>
      <c r="I788">
        <f ca="1">IF(OR($A788="S",$A788=0),0,MATCH(OFFSET($B788,0,$A788)+1,OFFSET($B788,1,$A788,ROW($A$1504)-ROW($A788)),0))</f>
        <v>0</v>
      </c>
      <c r="J788" s="132" t="s">
        <v>29</v>
      </c>
      <c r="K788" s="121" t="str">
        <f t="shared" ca="1" si="998"/>
        <v>9.11.8.</v>
      </c>
      <c r="L788" s="137" t="str">
        <f t="shared" ca="1" si="989"/>
        <v>Cotação</v>
      </c>
      <c r="M788" s="122" t="s">
        <v>80</v>
      </c>
      <c r="N788" s="139" t="s">
        <v>154</v>
      </c>
      <c r="O788" s="137" t="str">
        <f ca="1">IF(NOT(ISERROR($Y788)),IF($Y788&lt;&gt;FALSE,INDEX(Banco,$Y788,5),""),"")</f>
        <v>Locação de caixa térmica</v>
      </c>
      <c r="P788" s="138" t="str">
        <f t="shared" ca="1" si="991"/>
        <v>Unidade</v>
      </c>
      <c r="Q788" s="134">
        <v>1</v>
      </c>
      <c r="R788" s="124">
        <f t="shared" ca="1" si="992"/>
        <v>40</v>
      </c>
      <c r="S788" s="136" t="s">
        <v>62</v>
      </c>
      <c r="T788" s="123">
        <f t="shared" ca="1" si="993"/>
        <v>50</v>
      </c>
      <c r="U788" s="126">
        <f t="shared" ca="1" si="994"/>
        <v>50</v>
      </c>
      <c r="V788" s="1"/>
      <c r="W788" s="39" t="str">
        <f ca="1">IF(OR($A788=0,$A788="S",$A788&gt;CFF!$A$9),"",MAX(W$11:OFFSET(W788,-1,0))+1)</f>
        <v/>
      </c>
      <c r="X788" s="4" t="str">
        <f t="shared" si="995"/>
        <v>Serv. Terc.-005</v>
      </c>
      <c r="Y788" s="39">
        <f t="shared" ca="1" si="999"/>
        <v>85</v>
      </c>
      <c r="Z788" s="1"/>
      <c r="AA788" s="133">
        <f>IF($J788=$G$2,ROUND(IF(ISNUMBER(S788),S788,IF(LEFT(S788,2)="DI",HLOOKUP(S788,DADOS!$T$29:$X$30,2,FALSE),0)),4),"")</f>
        <v>0.25</v>
      </c>
      <c r="AB788" s="2"/>
    </row>
    <row r="789" spans="1:28">
      <c r="A789" t="str">
        <f t="shared" si="996"/>
        <v>S</v>
      </c>
      <c r="B789">
        <f t="shared" si="997"/>
        <v>0</v>
      </c>
      <c r="C789">
        <f t="shared" ca="1" si="984"/>
        <v>9</v>
      </c>
      <c r="D789">
        <f t="shared" ca="1" si="985"/>
        <v>11</v>
      </c>
      <c r="E789">
        <f t="shared" ca="1" si="986"/>
        <v>0</v>
      </c>
      <c r="F789">
        <f t="shared" ca="1" si="987"/>
        <v>0</v>
      </c>
      <c r="G789">
        <f t="shared" ca="1" si="988"/>
        <v>9</v>
      </c>
      <c r="H789">
        <f ca="1">IF(OR($A789="S",$A789=0),0,MATCH(0,OFFSET($B789,1,$A789,ROW($A$1504)-ROW($A789)),0))</f>
        <v>0</v>
      </c>
      <c r="I789">
        <f ca="1">IF(OR($A789="S",$A789=0),0,MATCH(OFFSET($B789,0,$A789)+1,OFFSET($B789,1,$A789,ROW($A$1504)-ROW($A789)),0))</f>
        <v>0</v>
      </c>
      <c r="J789" s="132" t="s">
        <v>29</v>
      </c>
      <c r="K789" s="121" t="str">
        <f t="shared" ca="1" si="998"/>
        <v>9.11.9.</v>
      </c>
      <c r="L789" s="137" t="str">
        <f t="shared" ca="1" si="989"/>
        <v>Cotação</v>
      </c>
      <c r="M789" s="122" t="s">
        <v>80</v>
      </c>
      <c r="N789" s="139" t="s">
        <v>157</v>
      </c>
      <c r="O789" s="137" t="str">
        <f t="shared" ref="O789:O795" ca="1" si="1000">IF(NOT(ISERROR($Y789)),IF($Y789&lt;&gt;FALSE,INDEX(Banco,$Y789,5),""),"")</f>
        <v>Locação de pula-pula com monitor</v>
      </c>
      <c r="P789" s="138" t="str">
        <f t="shared" ca="1" si="991"/>
        <v>Unidade</v>
      </c>
      <c r="Q789" s="134">
        <v>1</v>
      </c>
      <c r="R789" s="124">
        <f t="shared" ca="1" si="992"/>
        <v>220</v>
      </c>
      <c r="S789" s="136" t="s">
        <v>62</v>
      </c>
      <c r="T789" s="123">
        <f t="shared" ca="1" si="993"/>
        <v>275</v>
      </c>
      <c r="U789" s="126">
        <f t="shared" ca="1" si="994"/>
        <v>275</v>
      </c>
      <c r="V789" s="1"/>
      <c r="W789" s="39" t="str">
        <f ca="1">IF(OR($A789=0,$A789="S",$A789&gt;CFF!$A$9),"",MAX(W$11:OFFSET(W789,-1,0))+1)</f>
        <v/>
      </c>
      <c r="X789" s="4" t="str">
        <f t="shared" si="995"/>
        <v>Serv. Terc.-008</v>
      </c>
      <c r="Y789" s="39">
        <f t="shared" ca="1" si="999"/>
        <v>88</v>
      </c>
      <c r="Z789" s="1"/>
      <c r="AA789" s="133">
        <f>IF($J789=$G$2,ROUND(IF(ISNUMBER(S789),S789,IF(LEFT(S789,2)="DI",HLOOKUP(S789,DADOS!$T$29:$X$30,2,FALSE),0)),4),"")</f>
        <v>0.25</v>
      </c>
      <c r="AB789" s="2"/>
    </row>
    <row r="790" spans="1:28">
      <c r="A790" t="str">
        <f t="shared" si="996"/>
        <v>S</v>
      </c>
      <c r="B790">
        <f t="shared" si="997"/>
        <v>0</v>
      </c>
      <c r="C790">
        <f t="shared" ca="1" si="984"/>
        <v>9</v>
      </c>
      <c r="D790">
        <f t="shared" ca="1" si="985"/>
        <v>11</v>
      </c>
      <c r="E790">
        <f t="shared" ca="1" si="986"/>
        <v>0</v>
      </c>
      <c r="F790">
        <f t="shared" ca="1" si="987"/>
        <v>0</v>
      </c>
      <c r="G790">
        <f t="shared" ca="1" si="988"/>
        <v>10</v>
      </c>
      <c r="H790">
        <f ca="1">IF(OR($A790="S",$A790=0),0,MATCH(0,OFFSET($B790,1,$A790,ROW($A$1504)-ROW($A790)),0))</f>
        <v>0</v>
      </c>
      <c r="I790">
        <f ca="1">IF(OR($A790="S",$A790=0),0,MATCH(OFFSET($B790,0,$A790)+1,OFFSET($B790,1,$A790,ROW($A$1504)-ROW($A790)),0))</f>
        <v>0</v>
      </c>
      <c r="J790" s="132" t="s">
        <v>29</v>
      </c>
      <c r="K790" s="121" t="str">
        <f t="shared" ca="1" si="998"/>
        <v>9.11.10.</v>
      </c>
      <c r="L790" s="137" t="str">
        <f t="shared" ca="1" si="989"/>
        <v>Cotação</v>
      </c>
      <c r="M790" s="122" t="s">
        <v>80</v>
      </c>
      <c r="N790" s="139" t="s">
        <v>161</v>
      </c>
      <c r="O790" s="137" t="str">
        <f t="shared" ca="1" si="1000"/>
        <v>Água (garrafão de 20 litros)</v>
      </c>
      <c r="P790" s="138" t="str">
        <f t="shared" ca="1" si="991"/>
        <v>Unidade</v>
      </c>
      <c r="Q790" s="134">
        <v>1</v>
      </c>
      <c r="R790" s="124">
        <f t="shared" ca="1" si="992"/>
        <v>10</v>
      </c>
      <c r="S790" s="136" t="s">
        <v>62</v>
      </c>
      <c r="T790" s="123">
        <f t="shared" ca="1" si="993"/>
        <v>12.5</v>
      </c>
      <c r="U790" s="126">
        <f t="shared" ca="1" si="994"/>
        <v>12.5</v>
      </c>
      <c r="V790" s="1"/>
      <c r="W790" s="39" t="str">
        <f ca="1">IF(OR($A790=0,$A790="S",$A790&gt;CFF!$A$9),"",MAX(W$11:OFFSET(W790,-1,0))+1)</f>
        <v/>
      </c>
      <c r="X790" s="4" t="str">
        <f t="shared" si="995"/>
        <v>Serv. Terc.-012</v>
      </c>
      <c r="Y790" s="39">
        <f t="shared" ca="1" si="999"/>
        <v>92</v>
      </c>
      <c r="Z790" s="1"/>
      <c r="AA790" s="133">
        <f>IF($J790=$G$2,ROUND(IF(ISNUMBER(S790),S790,IF(LEFT(S790,2)="DI",HLOOKUP(S790,DADOS!$T$29:$X$30,2,FALSE),0)),4),"")</f>
        <v>0.25</v>
      </c>
      <c r="AB790" s="2"/>
    </row>
    <row r="791" spans="1:28">
      <c r="A791" t="str">
        <f t="shared" si="996"/>
        <v>S</v>
      </c>
      <c r="B791">
        <f t="shared" si="997"/>
        <v>0</v>
      </c>
      <c r="C791">
        <f t="shared" ca="1" si="984"/>
        <v>9</v>
      </c>
      <c r="D791">
        <f t="shared" ca="1" si="985"/>
        <v>11</v>
      </c>
      <c r="E791">
        <f t="shared" ca="1" si="986"/>
        <v>0</v>
      </c>
      <c r="F791">
        <f t="shared" ca="1" si="987"/>
        <v>0</v>
      </c>
      <c r="G791">
        <f t="shared" ca="1" si="988"/>
        <v>11</v>
      </c>
      <c r="H791">
        <f ca="1">IF(OR($A791="S",$A791=0),0,MATCH(0,OFFSET($B791,1,$A791,ROW($A$1504)-ROW($A791)),0))</f>
        <v>0</v>
      </c>
      <c r="I791">
        <f ca="1">IF(OR($A791="S",$A791=0),0,MATCH(OFFSET($B791,0,$A791)+1,OFFSET($B791,1,$A791,ROW($A$1504)-ROW($A791)),0))</f>
        <v>0</v>
      </c>
      <c r="J791" s="132" t="s">
        <v>29</v>
      </c>
      <c r="K791" s="121" t="str">
        <f t="shared" ca="1" si="998"/>
        <v>9.11.11.</v>
      </c>
      <c r="L791" s="137" t="str">
        <f t="shared" ca="1" si="989"/>
        <v xml:space="preserve">Cotação </v>
      </c>
      <c r="M791" s="122" t="s">
        <v>80</v>
      </c>
      <c r="N791" s="139" t="s">
        <v>160</v>
      </c>
      <c r="O791" s="137" t="str">
        <f t="shared" ca="1" si="1000"/>
        <v>Barra de gelo</v>
      </c>
      <c r="P791" s="138" t="str">
        <f t="shared" ca="1" si="991"/>
        <v>Unidade</v>
      </c>
      <c r="Q791" s="134">
        <v>2</v>
      </c>
      <c r="R791" s="124">
        <f t="shared" ca="1" si="992"/>
        <v>12</v>
      </c>
      <c r="S791" s="136" t="s">
        <v>62</v>
      </c>
      <c r="T791" s="123">
        <f t="shared" ca="1" si="993"/>
        <v>15</v>
      </c>
      <c r="U791" s="126">
        <f t="shared" ca="1" si="994"/>
        <v>30</v>
      </c>
      <c r="V791" s="1"/>
      <c r="W791" s="39" t="str">
        <f ca="1">IF(OR($A791=0,$A791="S",$A791&gt;CFF!$A$9),"",MAX(W$11:OFFSET(W791,-1,0))+1)</f>
        <v/>
      </c>
      <c r="X791" s="4" t="str">
        <f t="shared" si="995"/>
        <v>Serv. Terc.-011</v>
      </c>
      <c r="Y791" s="39">
        <f t="shared" ca="1" si="999"/>
        <v>91</v>
      </c>
      <c r="Z791" s="1"/>
      <c r="AA791" s="133">
        <f>IF($J791=$G$2,ROUND(IF(ISNUMBER(S791),S791,IF(LEFT(S791,2)="DI",HLOOKUP(S791,DADOS!$T$29:$X$30,2,FALSE),0)),4),"")</f>
        <v>0.25</v>
      </c>
      <c r="AB791" s="2"/>
    </row>
    <row r="792" spans="1:28">
      <c r="A792" t="str">
        <f t="shared" si="996"/>
        <v>S</v>
      </c>
      <c r="B792">
        <f t="shared" si="997"/>
        <v>0</v>
      </c>
      <c r="C792">
        <f t="shared" ca="1" si="984"/>
        <v>9</v>
      </c>
      <c r="D792">
        <f t="shared" ca="1" si="985"/>
        <v>11</v>
      </c>
      <c r="E792">
        <f t="shared" ca="1" si="986"/>
        <v>0</v>
      </c>
      <c r="F792">
        <f t="shared" ca="1" si="987"/>
        <v>0</v>
      </c>
      <c r="G792">
        <f t="shared" ca="1" si="988"/>
        <v>12</v>
      </c>
      <c r="H792">
        <f ca="1">IF(OR($A792="S",$A792=0),0,MATCH(0,OFFSET($B792,1,$A792,ROW($A$1504)-ROW($A792)),0))</f>
        <v>0</v>
      </c>
      <c r="I792">
        <f ca="1">IF(OR($A792="S",$A792=0),0,MATCH(OFFSET($B792,0,$A792)+1,OFFSET($B792,1,$A792,ROW($A$1504)-ROW($A792)),0))</f>
        <v>0</v>
      </c>
      <c r="J792" s="132" t="s">
        <v>29</v>
      </c>
      <c r="K792" s="121" t="str">
        <f t="shared" ca="1" si="998"/>
        <v>9.11.12.</v>
      </c>
      <c r="L792" s="137" t="str">
        <f t="shared" ca="1" si="989"/>
        <v>Cotação</v>
      </c>
      <c r="M792" s="122" t="s">
        <v>80</v>
      </c>
      <c r="N792" s="139" t="s">
        <v>150</v>
      </c>
      <c r="O792" s="137" t="str">
        <f t="shared" ca="1" si="1000"/>
        <v>Sucos</v>
      </c>
      <c r="P792" s="138" t="str">
        <f t="shared" ca="1" si="991"/>
        <v>Unidade</v>
      </c>
      <c r="Q792" s="134">
        <v>6</v>
      </c>
      <c r="R792" s="124">
        <f t="shared" ca="1" si="992"/>
        <v>6.4</v>
      </c>
      <c r="S792" s="136" t="s">
        <v>62</v>
      </c>
      <c r="T792" s="123">
        <f t="shared" ca="1" si="993"/>
        <v>8</v>
      </c>
      <c r="U792" s="126">
        <f t="shared" ca="1" si="994"/>
        <v>48</v>
      </c>
      <c r="V792" s="1"/>
      <c r="W792" s="39" t="str">
        <f ca="1">IF(OR($A792=0,$A792="S",$A792&gt;CFF!$A$9),"",MAX(W$11:OFFSET(W792,-1,0))+1)</f>
        <v/>
      </c>
      <c r="X792" s="4" t="str">
        <f t="shared" si="995"/>
        <v>Serv. Terc.-013</v>
      </c>
      <c r="Y792" s="39">
        <f t="shared" ca="1" si="999"/>
        <v>93</v>
      </c>
      <c r="Z792" s="1"/>
      <c r="AA792" s="133">
        <f>IF($J792=$G$2,ROUND(IF(ISNUMBER(S792),S792,IF(LEFT(S792,2)="DI",HLOOKUP(S792,DADOS!$T$29:$X$30,2,FALSE),0)),4),"")</f>
        <v>0.25</v>
      </c>
      <c r="AB792" s="2"/>
    </row>
    <row r="793" spans="1:28">
      <c r="A793" t="str">
        <f>CHOOSE(1+LOG(1+2*(J793=$C$2)+4*(J793=$D$2)+8*(J793=$E$2)+16*(J793=$F$2)+32*(J793=$G$2),2),0,1,2,3,4,"S")</f>
        <v>S</v>
      </c>
      <c r="B793">
        <f>IF(OR(A793="S",A793=0),0,IF(ISERROR(I793),H793,SMALL(H793:I793,1)))</f>
        <v>0</v>
      </c>
      <c r="C793">
        <f ca="1">IF($A793=1,OFFSET(C793,-1,0)+1,OFFSET(C793,-1,0))</f>
        <v>9</v>
      </c>
      <c r="D793">
        <f ca="1">IF($A793=1,0,IF($A793=2,OFFSET(D793,-1,0)+1,OFFSET(D793,-1,0)))</f>
        <v>11</v>
      </c>
      <c r="E793">
        <f ca="1">IF(AND($A793&lt;=2,$A793&lt;&gt;0),0,IF($A793=3,OFFSET(E793,-1,0)+1,OFFSET(E793,-1,0)))</f>
        <v>0</v>
      </c>
      <c r="F793">
        <f ca="1">IF(AND($A793&lt;=3,$A793&lt;&gt;0),0,IF($A793=4,OFFSET(F793,-1,0)+1,OFFSET(F793,-1,0)))</f>
        <v>0</v>
      </c>
      <c r="G793">
        <f ca="1">IF(AND($A793&lt;=4,$A793&lt;&gt;0),0,IF($A793="S",OFFSET(G793,-1,0)+1,OFFSET(G793,-1,0)))</f>
        <v>13</v>
      </c>
      <c r="H793">
        <f ca="1">IF(OR($A793="S",$A793=0),0,MATCH(0,OFFSET($B793,1,$A793,ROW($A$1504)-ROW($A793)),0))</f>
        <v>0</v>
      </c>
      <c r="I793">
        <f ca="1">IF(OR($A793="S",$A793=0),0,MATCH(OFFSET($B793,0,$A793)+1,OFFSET($B793,1,$A793,ROW($A$1504)-ROW($A793)),0))</f>
        <v>0</v>
      </c>
      <c r="J793" s="132" t="s">
        <v>29</v>
      </c>
      <c r="K793" s="121" t="str">
        <f ca="1">IF($A793=0,"-",CONCATENATE(C793&amp;".",IF(AND($A$5&gt;=2,$A793&gt;=2),D793&amp;".",""),IF(AND($A$5&gt;=3,$A793&gt;=3),E793&amp;".",""),IF(AND($A$5&gt;=4,$A793&gt;=4),F793&amp;".",""),IF($A793="S",G793&amp;".","")))</f>
        <v>9.11.13.</v>
      </c>
      <c r="L793" s="137" t="str">
        <f ca="1">IF(NOT(ISERROR($Y793)),IF($Y793&lt;&gt;FALSE,INDEX(Banco,$Y793,4),""),"")</f>
        <v>Cotação</v>
      </c>
      <c r="M793" s="122" t="s">
        <v>80</v>
      </c>
      <c r="N793" s="139" t="s">
        <v>171</v>
      </c>
      <c r="O793" s="137" t="str">
        <f ca="1">IF(NOT(ISERROR($Y793)),IF($Y793&lt;&gt;FALSE,INDEX(Banco,$Y793,5),""),"")</f>
        <v xml:space="preserve">Refrigerantes (02 litros) </v>
      </c>
      <c r="P793" s="138" t="str">
        <f ca="1">IF(NOT(ISERROR($Y793)),IF($Y793&lt;&gt;FALSE,INDEX(Banco,$Y793,6),""),"")</f>
        <v>Unidade</v>
      </c>
      <c r="Q793" s="134">
        <v>10</v>
      </c>
      <c r="R793" s="124">
        <f ca="1">IF(NOT(ISERROR($Y793)),IF($Y793&lt;&gt;FALSE,INDEX(Banco,$Y793,7),0),0)</f>
        <v>6</v>
      </c>
      <c r="S793" s="136" t="s">
        <v>62</v>
      </c>
      <c r="T793" s="123">
        <f ca="1">IF($J793=$G$2,ROUND(ROUND($R793,2)*IF($R$9="Preço Unitário (R$)",1,1+$AA793),2),0)</f>
        <v>7.5</v>
      </c>
      <c r="U793" s="126">
        <f ca="1">IF($A793="S",VTOTAL1,IF($A793=0,0,ROUND(SomaAgrup,2)))</f>
        <v>75</v>
      </c>
      <c r="V793" s="1"/>
      <c r="W793" s="39" t="str">
        <f ca="1">IF(OR($A793=0,$A793="S",$A793&gt;CFF!$A$9),"",MAX(W$11:OFFSET(W793,-1,0))+1)</f>
        <v/>
      </c>
      <c r="X793" s="4" t="str">
        <f>IF(AND($J793=$G$2,$N793&lt;&gt;"",$M793&lt;&gt;""),CONCATENATE($M793,"-",$N793))</f>
        <v>Serv. Terc.-027</v>
      </c>
      <c r="Y793" s="39">
        <f ca="1">IF(X793&lt;&gt;FALSE,MATCH(X793,OFFSET(Banco,0,0,,1),0))</f>
        <v>107</v>
      </c>
      <c r="Z793" s="1"/>
      <c r="AA793" s="133">
        <f>IF($J793=$G$2,ROUND(IF(ISNUMBER(S793),S793,IF(LEFT(S793,2)="DI",HLOOKUP(S793,DADOS!$T$29:$X$30,2,FALSE),0)),4),"")</f>
        <v>0.25</v>
      </c>
      <c r="AB793" s="2"/>
    </row>
    <row r="794" spans="1:28">
      <c r="A794" t="str">
        <f t="shared" si="996"/>
        <v>S</v>
      </c>
      <c r="B794">
        <f t="shared" si="997"/>
        <v>0</v>
      </c>
      <c r="C794">
        <f t="shared" ca="1" si="984"/>
        <v>9</v>
      </c>
      <c r="D794">
        <f t="shared" ca="1" si="985"/>
        <v>11</v>
      </c>
      <c r="E794">
        <f t="shared" ca="1" si="986"/>
        <v>0</v>
      </c>
      <c r="F794">
        <f t="shared" ca="1" si="987"/>
        <v>0</v>
      </c>
      <c r="G794">
        <f t="shared" ca="1" si="988"/>
        <v>14</v>
      </c>
      <c r="H794">
        <f ca="1">IF(OR($A794="S",$A794=0),0,MATCH(0,OFFSET($B794,1,$A794,ROW($A$1504)-ROW($A794)),0))</f>
        <v>0</v>
      </c>
      <c r="I794">
        <f ca="1">IF(OR($A794="S",$A794=0),0,MATCH(OFFSET($B794,0,$A794)+1,OFFSET($B794,1,$A794,ROW($A$1504)-ROW($A794)),0))</f>
        <v>0</v>
      </c>
      <c r="J794" s="132" t="s">
        <v>29</v>
      </c>
      <c r="K794" s="121" t="str">
        <f t="shared" ca="1" si="998"/>
        <v>9.11.14.</v>
      </c>
      <c r="L794" s="137" t="str">
        <f t="shared" ca="1" si="989"/>
        <v xml:space="preserve">Cotação </v>
      </c>
      <c r="M794" s="122" t="s">
        <v>80</v>
      </c>
      <c r="N794" s="139" t="s">
        <v>159</v>
      </c>
      <c r="O794" s="137" t="str">
        <f t="shared" ca="1" si="1000"/>
        <v>Brindes ( descrição nos orçamentos e PTS)</v>
      </c>
      <c r="P794" s="138" t="str">
        <f t="shared" ca="1" si="991"/>
        <v>Unidade</v>
      </c>
      <c r="Q794" s="134">
        <v>4</v>
      </c>
      <c r="R794" s="124">
        <f t="shared" ca="1" si="992"/>
        <v>120</v>
      </c>
      <c r="S794" s="136" t="s">
        <v>62</v>
      </c>
      <c r="T794" s="123">
        <f t="shared" ca="1" si="993"/>
        <v>150</v>
      </c>
      <c r="U794" s="126">
        <f t="shared" ca="1" si="994"/>
        <v>600</v>
      </c>
      <c r="V794" s="1"/>
      <c r="W794" s="39" t="str">
        <f ca="1">IF(OR($A794=0,$A794="S",$A794&gt;CFF!$A$9),"",MAX(W$11:OFFSET(W794,-1,0))+1)</f>
        <v/>
      </c>
      <c r="X794" s="4" t="str">
        <f t="shared" si="995"/>
        <v>Serv. Terc.-010</v>
      </c>
      <c r="Y794" s="39">
        <f t="shared" ca="1" si="999"/>
        <v>90</v>
      </c>
      <c r="Z794" s="1"/>
      <c r="AA794" s="133">
        <f>IF($J794=$G$2,ROUND(IF(ISNUMBER(S794),S794,IF(LEFT(S794,2)="DI",HLOOKUP(S794,DADOS!$T$29:$X$30,2,FALSE),0)),4),"")</f>
        <v>0.25</v>
      </c>
      <c r="AB794" s="2"/>
    </row>
    <row r="795" spans="1:28">
      <c r="A795" t="str">
        <f t="shared" si="996"/>
        <v>S</v>
      </c>
      <c r="B795">
        <f t="shared" si="997"/>
        <v>0</v>
      </c>
      <c r="C795">
        <f t="shared" ca="1" si="984"/>
        <v>9</v>
      </c>
      <c r="D795">
        <f t="shared" ca="1" si="985"/>
        <v>11</v>
      </c>
      <c r="E795">
        <f t="shared" ca="1" si="986"/>
        <v>0</v>
      </c>
      <c r="F795">
        <f t="shared" ca="1" si="987"/>
        <v>0</v>
      </c>
      <c r="G795">
        <f t="shared" ca="1" si="988"/>
        <v>15</v>
      </c>
      <c r="H795">
        <f ca="1">IF(OR($A795="S",$A795=0),0,MATCH(0,OFFSET($B795,1,$A795,ROW($A$1504)-ROW($A795)),0))</f>
        <v>0</v>
      </c>
      <c r="I795">
        <f ca="1">IF(OR($A795="S",$A795=0),0,MATCH(OFFSET($B795,0,$A795)+1,OFFSET($B795,1,$A795,ROW($A$1504)-ROW($A795)),0))</f>
        <v>0</v>
      </c>
      <c r="J795" s="132" t="s">
        <v>29</v>
      </c>
      <c r="K795" s="121" t="str">
        <f t="shared" ca="1" si="998"/>
        <v>9.11.15.</v>
      </c>
      <c r="L795" s="137" t="str">
        <f t="shared" ca="1" si="989"/>
        <v>Cotação</v>
      </c>
      <c r="M795" s="122" t="s">
        <v>80</v>
      </c>
      <c r="N795" s="139" t="s">
        <v>162</v>
      </c>
      <c r="O795" s="137" t="str">
        <f t="shared" ca="1" si="1000"/>
        <v>Coffee break (salgados)</v>
      </c>
      <c r="P795" s="138" t="str">
        <f t="shared" ca="1" si="991"/>
        <v>Centro</v>
      </c>
      <c r="Q795" s="134">
        <v>8</v>
      </c>
      <c r="R795" s="124">
        <f t="shared" ca="1" si="992"/>
        <v>65</v>
      </c>
      <c r="S795" s="136" t="s">
        <v>62</v>
      </c>
      <c r="T795" s="123">
        <f t="shared" ca="1" si="993"/>
        <v>81.25</v>
      </c>
      <c r="U795" s="126">
        <f t="shared" ca="1" si="994"/>
        <v>650</v>
      </c>
      <c r="V795" s="1"/>
      <c r="W795" s="39" t="str">
        <f ca="1">IF(OR($A795=0,$A795="S",$A795&gt;CFF!$A$9),"",MAX(W$11:OFFSET(W795,-1,0))+1)</f>
        <v/>
      </c>
      <c r="X795" s="4" t="str">
        <f t="shared" si="995"/>
        <v>Serv. Terc.-015</v>
      </c>
      <c r="Y795" s="39">
        <f t="shared" ca="1" si="999"/>
        <v>95</v>
      </c>
      <c r="Z795" s="1"/>
      <c r="AA795" s="133">
        <f>IF($J795=$G$2,ROUND(IF(ISNUMBER(S795),S795,IF(LEFT(S795,2)="DI",HLOOKUP(S795,DADOS!$T$29:$X$30,2,FALSE),0)),4),"")</f>
        <v>0.25</v>
      </c>
      <c r="AB795" s="2"/>
    </row>
    <row r="796" spans="1:28">
      <c r="A796" t="str">
        <f t="shared" si="996"/>
        <v>S</v>
      </c>
      <c r="B796">
        <f t="shared" si="997"/>
        <v>0</v>
      </c>
      <c r="C796">
        <f t="shared" ref="C796:C819" ca="1" si="1001">IF($A796=1,OFFSET(C796,-1,0)+1,OFFSET(C796,-1,0))</f>
        <v>9</v>
      </c>
      <c r="D796">
        <f t="shared" ref="D796:D819" ca="1" si="1002">IF($A796=1,0,IF($A796=2,OFFSET(D796,-1,0)+1,OFFSET(D796,-1,0)))</f>
        <v>11</v>
      </c>
      <c r="E796">
        <f t="shared" ref="E796:E819" ca="1" si="1003">IF(AND($A796&lt;=2,$A796&lt;&gt;0),0,IF($A796=3,OFFSET(E796,-1,0)+1,OFFSET(E796,-1,0)))</f>
        <v>0</v>
      </c>
      <c r="F796">
        <f t="shared" ref="F796:F819" ca="1" si="1004">IF(AND($A796&lt;=3,$A796&lt;&gt;0),0,IF($A796=4,OFFSET(F796,-1,0)+1,OFFSET(F796,-1,0)))</f>
        <v>0</v>
      </c>
      <c r="G796">
        <f t="shared" ref="G796:G819" ca="1" si="1005">IF(AND($A796&lt;=4,$A796&lt;&gt;0),0,IF($A796="S",OFFSET(G796,-1,0)+1,OFFSET(G796,-1,0)))</f>
        <v>16</v>
      </c>
      <c r="H796">
        <f ca="1">IF(OR($A796="S",$A796=0),0,MATCH(0,OFFSET($B796,1,$A796,ROW($A$1504)-ROW($A796)),0))</f>
        <v>0</v>
      </c>
      <c r="I796">
        <f ca="1">IF(OR($A796="S",$A796=0),0,MATCH(OFFSET($B796,0,$A796)+1,OFFSET($B796,1,$A796,ROW($A$1504)-ROW($A796)),0))</f>
        <v>0</v>
      </c>
      <c r="J796" s="132" t="s">
        <v>29</v>
      </c>
      <c r="K796" s="121" t="str">
        <f t="shared" ca="1" si="998"/>
        <v>9.11.16.</v>
      </c>
      <c r="L796" s="137" t="str">
        <f t="shared" ref="L796:L819" ca="1" si="1006">IF(NOT(ISERROR($Y796)),IF($Y796&lt;&gt;FALSE,INDEX(Banco,$Y796,4),""),"")</f>
        <v>Cotação</v>
      </c>
      <c r="M796" s="122" t="s">
        <v>79</v>
      </c>
      <c r="N796" s="139" t="s">
        <v>163</v>
      </c>
      <c r="O796" s="137" t="str">
        <f ca="1">IF(NOT(ISERROR($Y796)),IF($Y796&lt;&gt;FALSE,INDEX(Banco,$Y796,5),""),"")</f>
        <v>Guloseimas (balas e pirulito)</v>
      </c>
      <c r="P796" s="138" t="str">
        <f t="shared" ref="P796:P819" ca="1" si="1007">IF(NOT(ISERROR($Y796)),IF($Y796&lt;&gt;FALSE,INDEX(Banco,$Y796,6),""),"")</f>
        <v>Pacote</v>
      </c>
      <c r="Q796" s="134">
        <v>4</v>
      </c>
      <c r="R796" s="124">
        <f t="shared" ref="R796:R819" ca="1" si="1008">IF(NOT(ISERROR($Y796)),IF($Y796&lt;&gt;FALSE,INDEX(Banco,$Y796,7),0),0)</f>
        <v>12</v>
      </c>
      <c r="S796" s="136" t="s">
        <v>62</v>
      </c>
      <c r="T796" s="123">
        <f t="shared" ref="T796:T819" ca="1" si="1009">IF($J796=$G$2,ROUND(ROUND($R796,2)*IF($R$9="Preço Unitário (R$)",1,1+$AA796),2),0)</f>
        <v>15</v>
      </c>
      <c r="U796" s="126">
        <f t="shared" ref="U796:U819" ca="1" si="1010">IF($A796="S",VTOTAL1,IF($A796=0,0,ROUND(SomaAgrup,2)))</f>
        <v>60</v>
      </c>
      <c r="V796" s="1"/>
      <c r="W796" s="39" t="str">
        <f ca="1">IF(OR($A796=0,$A796="S",$A796&gt;CFF!$A$9),"",MAX(W$11:OFFSET(W796,-1,0))+1)</f>
        <v/>
      </c>
      <c r="X796" s="4" t="str">
        <f t="shared" ref="X796:X819" si="1011">IF(AND($J796=$G$2,$N796&lt;&gt;"",$M796&lt;&gt;""),CONCATENATE($M796,"-",$N796))</f>
        <v>Rec. Materiais-020</v>
      </c>
      <c r="Y796" s="39">
        <f t="shared" ca="1" si="999"/>
        <v>29</v>
      </c>
      <c r="Z796" s="1"/>
      <c r="AA796" s="133">
        <f>IF($J796=$G$2,ROUND(IF(ISNUMBER(S796),S796,IF(LEFT(S796,2)="DI",HLOOKUP(S796,DADOS!$T$29:$X$30,2,FALSE),0)),4),"")</f>
        <v>0.25</v>
      </c>
      <c r="AB796" s="2"/>
    </row>
    <row r="797" spans="1:28">
      <c r="A797" t="str">
        <f>CHOOSE(1+LOG(1+2*(J797=$C$2)+4*(J797=$D$2)+8*(J797=$E$2)+16*(J797=$F$2)+32*(J797=$G$2),2),0,1,2,3,4,"S")</f>
        <v>S</v>
      </c>
      <c r="B797">
        <f>IF(OR(A797="S",A797=0),0,IF(ISERROR(I797),H797,SMALL(H797:I797,1)))</f>
        <v>0</v>
      </c>
      <c r="C797">
        <f ca="1">IF($A797=1,OFFSET(C797,-1,0)+1,OFFSET(C797,-1,0))</f>
        <v>9</v>
      </c>
      <c r="D797">
        <f ca="1">IF($A797=1,0,IF($A797=2,OFFSET(D797,-1,0)+1,OFFSET(D797,-1,0)))</f>
        <v>11</v>
      </c>
      <c r="E797">
        <f ca="1">IF(AND($A797&lt;=2,$A797&lt;&gt;0),0,IF($A797=3,OFFSET(E797,-1,0)+1,OFFSET(E797,-1,0)))</f>
        <v>0</v>
      </c>
      <c r="F797">
        <f ca="1">IF(AND($A797&lt;=3,$A797&lt;&gt;0),0,IF($A797=4,OFFSET(F797,-1,0)+1,OFFSET(F797,-1,0)))</f>
        <v>0</v>
      </c>
      <c r="G797">
        <f ca="1">IF(AND($A797&lt;=4,$A797&lt;&gt;0),0,IF($A797="S",OFFSET(G797,-1,0)+1,OFFSET(G797,-1,0)))</f>
        <v>17</v>
      </c>
      <c r="H797">
        <f ca="1">IF(OR($A797="S",$A797=0),0,MATCH(0,OFFSET($B797,1,$A797,ROW($A$1504)-ROW($A797)),0))</f>
        <v>0</v>
      </c>
      <c r="I797">
        <f ca="1">IF(OR($A797="S",$A797=0),0,MATCH(OFFSET($B797,0,$A797)+1,OFFSET($B797,1,$A797,ROW($A$1504)-ROW($A797)),0))</f>
        <v>0</v>
      </c>
      <c r="J797" s="132" t="s">
        <v>29</v>
      </c>
      <c r="K797" s="121" t="str">
        <f ca="1">IF($A797=0,"-",CONCATENATE(C797&amp;".",IF(AND($A$5&gt;=2,$A797&gt;=2),D797&amp;".",""),IF(AND($A$5&gt;=3,$A797&gt;=3),E797&amp;".",""),IF(AND($A$5&gt;=4,$A797&gt;=4),F797&amp;".",""),IF($A797="S",G797&amp;".","")))</f>
        <v>9.11.17.</v>
      </c>
      <c r="L797" s="137" t="str">
        <f ca="1">IF(NOT(ISERROR($Y797)),IF($Y797&lt;&gt;FALSE,INDEX(Banco,$Y797,4),""),"")</f>
        <v>CRBio</v>
      </c>
      <c r="M797" s="122" t="s">
        <v>80</v>
      </c>
      <c r="N797" s="139" t="s">
        <v>226</v>
      </c>
      <c r="O797" s="137" t="str">
        <f ca="1">IF(NOT(ISERROR($Y797)),IF($Y797&lt;&gt;FALSE,INDEX(Banco,$Y797,5),""),"")</f>
        <v>Biólogo (Instrutor)</v>
      </c>
      <c r="P797" s="138" t="str">
        <f ca="1">IF(NOT(ISERROR($Y797)),IF($Y797&lt;&gt;FALSE,INDEX(Banco,$Y797,6),""),"")</f>
        <v>Horas</v>
      </c>
      <c r="Q797" s="134">
        <v>4</v>
      </c>
      <c r="R797" s="124">
        <f ca="1">IF(NOT(ISERROR($Y797)),IF($Y797&lt;&gt;FALSE,INDEX(Banco,$Y797,7),0),0)</f>
        <v>100.72</v>
      </c>
      <c r="S797" s="136" t="s">
        <v>62</v>
      </c>
      <c r="T797" s="123">
        <f ca="1">IF($J797=$G$2,ROUND(ROUND($R797,2)*IF($R$9="Preço Unitário (R$)",1,1+$AA797),2),0)</f>
        <v>125.9</v>
      </c>
      <c r="U797" s="126">
        <f ca="1">IF($A797="S",VTOTAL1,IF($A797=0,0,ROUND(SomaAgrup,2)))</f>
        <v>503.6</v>
      </c>
      <c r="V797" s="1"/>
      <c r="W797" s="39" t="str">
        <f ca="1">IF(OR($A797=0,$A797="S",$A797&gt;CFF!$A$9),"",MAX(W$11:OFFSET(W797,-1,0))+1)</f>
        <v/>
      </c>
      <c r="X797" s="4" t="str">
        <f>IF(AND($J797=$G$2,$N797&lt;&gt;"",$M797&lt;&gt;""),CONCATENATE($M797,"-",$N797))</f>
        <v>Serv. Terc.-068</v>
      </c>
      <c r="Y797" s="39">
        <f ca="1">IF(X797&lt;&gt;FALSE,MATCH(X797,OFFSET(Banco,0,0,,1),0))</f>
        <v>148</v>
      </c>
      <c r="Z797" s="1"/>
      <c r="AA797" s="133">
        <f>IF($J797=$G$2,ROUND(IF(ISNUMBER(S797),S797,IF(LEFT(S797,2)="DI",HLOOKUP(S797,DADOS!$T$29:$X$30,2,FALSE),0)),4),"")</f>
        <v>0.25</v>
      </c>
      <c r="AB797" s="2"/>
    </row>
    <row r="798" spans="1:28">
      <c r="A798" t="str">
        <f t="shared" si="996"/>
        <v>S</v>
      </c>
      <c r="B798">
        <f t="shared" si="997"/>
        <v>0</v>
      </c>
      <c r="C798">
        <f t="shared" ca="1" si="1001"/>
        <v>9</v>
      </c>
      <c r="D798">
        <f t="shared" ca="1" si="1002"/>
        <v>11</v>
      </c>
      <c r="E798">
        <f t="shared" ca="1" si="1003"/>
        <v>0</v>
      </c>
      <c r="F798">
        <f t="shared" ca="1" si="1004"/>
        <v>0</v>
      </c>
      <c r="G798">
        <f t="shared" ca="1" si="1005"/>
        <v>18</v>
      </c>
      <c r="H798">
        <f ca="1">IF(OR($A798="S",$A798=0),0,MATCH(0,OFFSET($B798,1,$A798,ROW($A$1504)-ROW($A798)),0))</f>
        <v>0</v>
      </c>
      <c r="I798">
        <f ca="1">IF(OR($A798="S",$A798=0),0,MATCH(OFFSET($B798,0,$A798)+1,OFFSET($B798,1,$A798,ROW($A$1504)-ROW($A798)),0))</f>
        <v>0</v>
      </c>
      <c r="J798" s="132" t="s">
        <v>29</v>
      </c>
      <c r="K798" s="121" t="str">
        <f t="shared" ca="1" si="998"/>
        <v>9.11.18.</v>
      </c>
      <c r="L798" s="137" t="str">
        <f t="shared" ca="1" si="1006"/>
        <v>Cotação</v>
      </c>
      <c r="M798" s="122" t="s">
        <v>79</v>
      </c>
      <c r="N798" s="139" t="s">
        <v>165</v>
      </c>
      <c r="O798" s="137" t="str">
        <f ca="1">IF(NOT(ISERROR($Y798)),IF($Y798&lt;&gt;FALSE,INDEX(Banco,$Y798,5),""),"")</f>
        <v>Papel de presente</v>
      </c>
      <c r="P798" s="138" t="str">
        <f t="shared" ca="1" si="1007"/>
        <v>Folhas</v>
      </c>
      <c r="Q798" s="134">
        <v>8</v>
      </c>
      <c r="R798" s="124">
        <f t="shared" ca="1" si="1008"/>
        <v>1.5</v>
      </c>
      <c r="S798" s="136" t="s">
        <v>62</v>
      </c>
      <c r="T798" s="123">
        <f t="shared" ca="1" si="1009"/>
        <v>1.88</v>
      </c>
      <c r="U798" s="126">
        <f t="shared" ca="1" si="1010"/>
        <v>15.04</v>
      </c>
      <c r="V798" s="1"/>
      <c r="W798" s="39" t="str">
        <f ca="1">IF(OR($A798=0,$A798="S",$A798&gt;CFF!$A$9),"",MAX(W$11:OFFSET(W798,-1,0))+1)</f>
        <v/>
      </c>
      <c r="X798" s="4" t="str">
        <f t="shared" si="1011"/>
        <v>Rec. Materiais-021</v>
      </c>
      <c r="Y798" s="39">
        <f t="shared" ca="1" si="999"/>
        <v>30</v>
      </c>
      <c r="Z798" s="1"/>
      <c r="AA798" s="133">
        <f>IF($J798=$G$2,ROUND(IF(ISNUMBER(S798),S798,IF(LEFT(S798,2)="DI",HLOOKUP(S798,DADOS!$T$29:$X$30,2,FALSE),0)),4),"")</f>
        <v>0.25</v>
      </c>
      <c r="AB798" s="2"/>
    </row>
    <row r="799" spans="1:28">
      <c r="A799">
        <f t="shared" ref="A799:A804" si="1012">CHOOSE(1+LOG(1+2*(J799=$C$2)+4*(J799=$D$2)+8*(J799=$E$2)+16*(J799=$F$2)+32*(J799=$G$2),2),0,1,2,3,4,"S")</f>
        <v>1</v>
      </c>
      <c r="B799">
        <f t="shared" ref="B799:B804" ca="1" si="1013">IF(OR(A799="S",A799=0),0,IF(ISERROR(I799),H799,SMALL(H799:I799,1)))</f>
        <v>145</v>
      </c>
      <c r="C799">
        <f ca="1">IF($A799=1,OFFSET(C799,-1,0)+1,OFFSET(C799,-1,0))</f>
        <v>10</v>
      </c>
      <c r="D799">
        <f ca="1">IF($A799=1,0,IF($A799=2,OFFSET(D799,-1,0)+1,OFFSET(D799,-1,0)))</f>
        <v>0</v>
      </c>
      <c r="E799">
        <f ca="1">IF(AND($A799&lt;=2,$A799&lt;&gt;0),0,IF($A799=3,OFFSET(E799,-1,0)+1,OFFSET(E799,-1,0)))</f>
        <v>0</v>
      </c>
      <c r="F799">
        <f ca="1">IF(AND($A799&lt;=3,$A799&lt;&gt;0),0,IF($A799=4,OFFSET(F799,-1,0)+1,OFFSET(F799,-1,0)))</f>
        <v>0</v>
      </c>
      <c r="G799">
        <f ca="1">IF(AND($A799&lt;=4,$A799&lt;&gt;0),0,IF($A799="S",OFFSET(G799,-1,0)+1,OFFSET(G799,-1,0)))</f>
        <v>0</v>
      </c>
      <c r="H799">
        <f ca="1">IF(OR($A799="S",$A799=0),0,MATCH(0,OFFSET($B799,1,$A799,ROW($A$1504)-ROW($A799)),0))</f>
        <v>705</v>
      </c>
      <c r="I799">
        <f ca="1">IF(OR($A799="S",$A799=0),0,MATCH(OFFSET($B799,0,$A799)+1,OFFSET($B799,1,$A799,ROW($A$1504)-ROW($A799)),0))</f>
        <v>145</v>
      </c>
      <c r="J799" s="132" t="s">
        <v>67</v>
      </c>
      <c r="K799" s="121" t="str">
        <f t="shared" ref="K799:K804" ca="1" si="1014">IF($A799=0,"-",CONCATENATE(C799&amp;".",IF(AND($A$5&gt;=2,$A799&gt;=2),D799&amp;".",""),IF(AND($A$5&gt;=3,$A799&gt;=3),E799&amp;".",""),IF(AND($A$5&gt;=4,$A799&gt;=4),F799&amp;".",""),IF($A799="S",G799&amp;".","")))</f>
        <v>10.</v>
      </c>
      <c r="L799" s="137" t="str">
        <f ca="1">IF(NOT(ISERROR($Y799)),IF($Y799&lt;&gt;FALSE,INDEX(Banco,$Y799,4),""),"")</f>
        <v/>
      </c>
      <c r="M799" s="122"/>
      <c r="N799" s="139"/>
      <c r="O799" s="137" t="s">
        <v>338</v>
      </c>
      <c r="P799" s="138" t="str">
        <f ca="1">IF(NOT(ISERROR($Y799)),IF($Y799&lt;&gt;FALSE,INDEX(Banco,$Y799,6),""),"")</f>
        <v/>
      </c>
      <c r="Q799" s="134"/>
      <c r="R799" s="124">
        <f ca="1">IF(NOT(ISERROR($Y799)),IF($Y799&lt;&gt;FALSE,INDEX(Banco,$Y799,7),0),0)</f>
        <v>0</v>
      </c>
      <c r="S799" s="136" t="s">
        <v>62</v>
      </c>
      <c r="T799" s="123">
        <f>IF($J799=$G$2,ROUND(ROUND($R799,2)*IF($R$9="Preço Unitário (R$)",1,1+$AA799),2),0)</f>
        <v>0</v>
      </c>
      <c r="U799" s="126">
        <f ca="1">IF($A799="S",VTOTAL1,IF($A799=0,0,ROUND(SomaAgrup,2)))</f>
        <v>61773.08</v>
      </c>
      <c r="V799" s="1"/>
      <c r="W799" s="39">
        <f ca="1">IF(OR($A799=0,$A799="S",$A799&gt;CFF!$A$9),"",MAX(W$11:OFFSET(W799,-1,0))+1)</f>
        <v>73</v>
      </c>
      <c r="X799" s="4" t="b">
        <f>IF(AND($J799=$G$2,$N799&lt;&gt;"",$M799&lt;&gt;""),CONCATENATE($M799,"-",$N799))</f>
        <v>0</v>
      </c>
      <c r="Y799" s="39" t="b">
        <f t="shared" ref="Y799:Y804" ca="1" si="1015">IF(X799&lt;&gt;FALSE,MATCH(X799,OFFSET(Banco,0,0,,1),0))</f>
        <v>0</v>
      </c>
      <c r="Z799" s="1"/>
      <c r="AA799" s="133" t="str">
        <f>IF($J799=$G$2,ROUND(IF(ISNUMBER(S799),S799,IF(LEFT(S799,2)="DI",HLOOKUP(S799,DADOS!$T$29:$X$30,2,FALSE),0)),4),"")</f>
        <v/>
      </c>
      <c r="AB799" s="2"/>
    </row>
    <row r="800" spans="1:28">
      <c r="A800">
        <f>CHOOSE(1+LOG(1+2*(J800=$C$2)+4*(J800=$D$2)+8*(J800=$E$2)+16*(J800=$F$2)+32*(J800=$G$2),2),0,1,2,3,4,"S")</f>
        <v>2</v>
      </c>
      <c r="B800">
        <f ca="1">IF(OR(A800="S",A800=0),0,IF(ISERROR(I800),H800,SMALL(H800:I800,1)))</f>
        <v>28</v>
      </c>
      <c r="C800">
        <f ca="1">IF($A800=1,OFFSET(C800,-1,0)+1,OFFSET(C800,-1,0))</f>
        <v>10</v>
      </c>
      <c r="D800">
        <f ca="1">IF($A800=1,0,IF($A800=2,OFFSET(D800,-1,0)+1,OFFSET(D800,-1,0)))</f>
        <v>1</v>
      </c>
      <c r="E800">
        <f ca="1">IF(AND($A800&lt;=2,$A800&lt;&gt;0),0,IF($A800=3,OFFSET(E800,-1,0)+1,OFFSET(E800,-1,0)))</f>
        <v>0</v>
      </c>
      <c r="F800">
        <f ca="1">IF(AND($A800&lt;=3,$A800&lt;&gt;0),0,IF($A800=4,OFFSET(F800,-1,0)+1,OFFSET(F800,-1,0)))</f>
        <v>0</v>
      </c>
      <c r="G800">
        <f ca="1">IF(AND($A800&lt;=4,$A800&lt;&gt;0),0,IF($A800="S",OFFSET(G800,-1,0)+1,OFFSET(G800,-1,0)))</f>
        <v>0</v>
      </c>
      <c r="H800">
        <f ca="1">IF(OR($A800="S",$A800=0),0,MATCH(0,OFFSET($B800,1,$A800,ROW($A$1504)-ROW($A800)),0))</f>
        <v>144</v>
      </c>
      <c r="I800">
        <f ca="1">IF(OR($A800="S",$A800=0),0,MATCH(OFFSET($B800,0,$A800)+1,OFFSET($B800,1,$A800,ROW($A$1504)-ROW($A800)),0))</f>
        <v>28</v>
      </c>
      <c r="J800" s="132" t="s">
        <v>68</v>
      </c>
      <c r="K800" s="121" t="str">
        <f ca="1">IF($A800=0,"-",CONCATENATE(C800&amp;".",IF(AND($A$5&gt;=2,$A800&gt;=2),D800&amp;".",""),IF(AND($A$5&gt;=3,$A800&gt;=3),E800&amp;".",""),IF(AND($A$5&gt;=4,$A800&gt;=4),F800&amp;".",""),IF($A800="S",G800&amp;".","")))</f>
        <v>10.1.</v>
      </c>
      <c r="L800" s="137" t="str">
        <f ca="1">IF(NOT(ISERROR($Y800)),IF($Y800&lt;&gt;FALSE,INDEX(Banco,$Y800,4),""),"")</f>
        <v/>
      </c>
      <c r="M800" s="122"/>
      <c r="N800" s="139"/>
      <c r="O800" s="137" t="s">
        <v>411</v>
      </c>
      <c r="P800" s="138" t="str">
        <f ca="1">IF(NOT(ISERROR($Y800)),IF($Y800&lt;&gt;FALSE,INDEX(Banco,$Y800,6),""),"")</f>
        <v/>
      </c>
      <c r="Q800" s="134"/>
      <c r="R800" s="124">
        <f ca="1">IF(NOT(ISERROR($Y800)),IF($Y800&lt;&gt;FALSE,INDEX(Banco,$Y800,7),0),0)</f>
        <v>0</v>
      </c>
      <c r="S800" s="136" t="s">
        <v>62</v>
      </c>
      <c r="T800" s="123">
        <f>IF($J800=$G$2,ROUND(ROUND($R800,2)*IF($R$9="Preço Unitário (R$)",1,1+$AA800),2),0)</f>
        <v>0</v>
      </c>
      <c r="U800" s="126">
        <f ca="1">IF($A800="S",VTOTAL1,IF($A800=0,0,ROUND(SomaAgrup,2)))</f>
        <v>14631.57</v>
      </c>
      <c r="V800" s="1"/>
      <c r="W800" s="39">
        <f ca="1">IF(OR($A800=0,$A800="S",$A800&gt;CFF!$A$9),"",MAX(W$11:OFFSET(W800,-1,0))+1)</f>
        <v>74</v>
      </c>
      <c r="X800" s="4" t="b">
        <f>IF(AND($J800=$G$2,$N800&lt;&gt;"",$M800&lt;&gt;""),CONCATENATE($M800,"-",$N800))</f>
        <v>0</v>
      </c>
      <c r="Y800" s="39" t="b">
        <f ca="1">IF(X800&lt;&gt;FALSE,MATCH(X800,OFFSET(Banco,0,0,,1),0))</f>
        <v>0</v>
      </c>
      <c r="Z800" s="1"/>
      <c r="AA800" s="133" t="str">
        <f>IF($J800=$G$2,ROUND(IF(ISNUMBER(S800),S800,IF(LEFT(S800,2)="DI",HLOOKUP(S800,DADOS!$T$29:$X$30,2,FALSE),0)),4),"")</f>
        <v/>
      </c>
      <c r="AB800" s="2"/>
    </row>
    <row r="801" spans="1:28">
      <c r="A801" t="str">
        <f t="shared" si="1012"/>
        <v>S</v>
      </c>
      <c r="B801">
        <f t="shared" si="1013"/>
        <v>0</v>
      </c>
      <c r="C801">
        <f t="shared" ca="1" si="1001"/>
        <v>10</v>
      </c>
      <c r="D801">
        <f t="shared" ca="1" si="1002"/>
        <v>1</v>
      </c>
      <c r="E801">
        <f t="shared" ca="1" si="1003"/>
        <v>0</v>
      </c>
      <c r="F801">
        <f t="shared" ca="1" si="1004"/>
        <v>0</v>
      </c>
      <c r="G801">
        <f t="shared" ca="1" si="1005"/>
        <v>1</v>
      </c>
      <c r="H801">
        <f ca="1">IF(OR($A801="S",$A801=0),0,MATCH(0,OFFSET($B801,1,$A801,ROW($A$1504)-ROW($A801)),0))</f>
        <v>0</v>
      </c>
      <c r="I801">
        <f ca="1">IF(OR($A801="S",$A801=0),0,MATCH(OFFSET($B801,0,$A801)+1,OFFSET($B801,1,$A801,ROW($A$1504)-ROW($A801)),0))</f>
        <v>0</v>
      </c>
      <c r="J801" s="132" t="s">
        <v>29</v>
      </c>
      <c r="K801" s="121" t="str">
        <f t="shared" ca="1" si="1014"/>
        <v>10.1.1.</v>
      </c>
      <c r="L801" s="137" t="str">
        <f t="shared" ca="1" si="1006"/>
        <v>CRESS</v>
      </c>
      <c r="M801" s="122" t="s">
        <v>78</v>
      </c>
      <c r="N801" s="139" t="s">
        <v>149</v>
      </c>
      <c r="O801" s="137" t="str">
        <f ca="1">IF(NOT(ISERROR($Y801)),IF($Y801&lt;&gt;FALSE,INDEX(Banco,$Y801,5),""),"")</f>
        <v>Responsável Técnica</v>
      </c>
      <c r="P801" s="138" t="str">
        <f t="shared" ca="1" si="1007"/>
        <v>Horas</v>
      </c>
      <c r="Q801" s="134">
        <v>14</v>
      </c>
      <c r="R801" s="124">
        <f t="shared" ca="1" si="1008"/>
        <v>150.28</v>
      </c>
      <c r="S801" s="136" t="s">
        <v>62</v>
      </c>
      <c r="T801" s="123">
        <f t="shared" ca="1" si="1009"/>
        <v>187.85</v>
      </c>
      <c r="U801" s="126">
        <f t="shared" ca="1" si="1010"/>
        <v>2629.9</v>
      </c>
      <c r="V801" s="1"/>
      <c r="W801" s="39" t="str">
        <f ca="1">IF(OR($A801=0,$A801="S",$A801&gt;CFF!$A$9),"",MAX(W$11:OFFSET(W801,-1,0))+1)</f>
        <v/>
      </c>
      <c r="X801" s="4" t="str">
        <f t="shared" si="1011"/>
        <v>Rec. Humanos-001</v>
      </c>
      <c r="Y801" s="39">
        <f t="shared" ca="1" si="1015"/>
        <v>3</v>
      </c>
      <c r="Z801" s="1"/>
      <c r="AA801" s="133">
        <f>IF($J801=$G$2,ROUND(IF(ISNUMBER(S801),S801,IF(LEFT(S801,2)="DI",HLOOKUP(S801,DADOS!$T$29:$X$30,2,FALSE),0)),4),"")</f>
        <v>0.25</v>
      </c>
      <c r="AB801" s="2"/>
    </row>
    <row r="802" spans="1:28">
      <c r="A802" t="str">
        <f t="shared" si="1012"/>
        <v>S</v>
      </c>
      <c r="B802">
        <f t="shared" si="1013"/>
        <v>0</v>
      </c>
      <c r="C802">
        <f t="shared" ca="1" si="1001"/>
        <v>10</v>
      </c>
      <c r="D802">
        <f t="shared" ca="1" si="1002"/>
        <v>1</v>
      </c>
      <c r="E802">
        <f t="shared" ca="1" si="1003"/>
        <v>0</v>
      </c>
      <c r="F802">
        <f t="shared" ca="1" si="1004"/>
        <v>0</v>
      </c>
      <c r="G802">
        <f t="shared" ca="1" si="1005"/>
        <v>2</v>
      </c>
      <c r="H802">
        <f ca="1">IF(OR($A802="S",$A802=0),0,MATCH(0,OFFSET($B802,1,$A802,ROW($A$1504)-ROW($A802)),0))</f>
        <v>0</v>
      </c>
      <c r="I802">
        <f ca="1">IF(OR($A802="S",$A802=0),0,MATCH(OFFSET($B802,0,$A802)+1,OFFSET($B802,1,$A802,ROW($A$1504)-ROW($A802)),0))</f>
        <v>0</v>
      </c>
      <c r="J802" s="132" t="s">
        <v>29</v>
      </c>
      <c r="K802" s="121" t="str">
        <f t="shared" ca="1" si="1014"/>
        <v>10.1.2.</v>
      </c>
      <c r="L802" s="137" t="str">
        <f t="shared" ca="1" si="1006"/>
        <v>CRESS</v>
      </c>
      <c r="M802" s="122" t="s">
        <v>78</v>
      </c>
      <c r="N802" s="139" t="s">
        <v>152</v>
      </c>
      <c r="O802" s="137" t="str">
        <f ca="1">IF(NOT(ISERROR($Y802)),IF($Y802&lt;&gt;FALSE,INDEX(Banco,$Y802,5),""),"")</f>
        <v>Assistente Social</v>
      </c>
      <c r="P802" s="138" t="str">
        <f t="shared" ca="1" si="1007"/>
        <v>Horas</v>
      </c>
      <c r="Q802" s="134">
        <v>10</v>
      </c>
      <c r="R802" s="124">
        <f t="shared" ca="1" si="1008"/>
        <v>133.81</v>
      </c>
      <c r="S802" s="136" t="s">
        <v>62</v>
      </c>
      <c r="T802" s="123">
        <f t="shared" ca="1" si="1009"/>
        <v>167.26</v>
      </c>
      <c r="U802" s="126">
        <f t="shared" ca="1" si="1010"/>
        <v>1672.6</v>
      </c>
      <c r="V802" s="1"/>
      <c r="W802" s="39" t="str">
        <f ca="1">IF(OR($A802=0,$A802="S",$A802&gt;CFF!$A$9),"",MAX(W$11:OFFSET(W802,-1,0))+1)</f>
        <v/>
      </c>
      <c r="X802" s="4" t="str">
        <f t="shared" si="1011"/>
        <v>Rec. Humanos-002</v>
      </c>
      <c r="Y802" s="39">
        <f t="shared" ca="1" si="1015"/>
        <v>4</v>
      </c>
      <c r="Z802" s="1"/>
      <c r="AA802" s="133">
        <f>IF($J802=$G$2,ROUND(IF(ISNUMBER(S802),S802,IF(LEFT(S802,2)="DI",HLOOKUP(S802,DADOS!$T$29:$X$30,2,FALSE),0)),4),"")</f>
        <v>0.25</v>
      </c>
      <c r="AB802" s="2"/>
    </row>
    <row r="803" spans="1:28">
      <c r="A803" t="str">
        <f t="shared" si="1012"/>
        <v>S</v>
      </c>
      <c r="B803">
        <f t="shared" si="1013"/>
        <v>0</v>
      </c>
      <c r="C803">
        <f t="shared" ca="1" si="1001"/>
        <v>10</v>
      </c>
      <c r="D803">
        <f t="shared" ca="1" si="1002"/>
        <v>1</v>
      </c>
      <c r="E803">
        <f t="shared" ca="1" si="1003"/>
        <v>0</v>
      </c>
      <c r="F803">
        <f t="shared" ca="1" si="1004"/>
        <v>0</v>
      </c>
      <c r="G803">
        <f t="shared" ca="1" si="1005"/>
        <v>3</v>
      </c>
      <c r="H803">
        <f ca="1">IF(OR($A803="S",$A803=0),0,MATCH(0,OFFSET($B803,1,$A803,ROW($A$1504)-ROW($A803)),0))</f>
        <v>0</v>
      </c>
      <c r="I803">
        <f ca="1">IF(OR($A803="S",$A803=0),0,MATCH(OFFSET($B803,0,$A803)+1,OFFSET($B803,1,$A803,ROW($A$1504)-ROW($A803)),0))</f>
        <v>0</v>
      </c>
      <c r="J803" s="132" t="s">
        <v>29</v>
      </c>
      <c r="K803" s="121" t="str">
        <f t="shared" ca="1" si="1014"/>
        <v>10.1.3.</v>
      </c>
      <c r="L803" s="137" t="str">
        <f t="shared" ca="1" si="1006"/>
        <v>Cotação</v>
      </c>
      <c r="M803" s="122" t="s">
        <v>78</v>
      </c>
      <c r="N803" s="139" t="s">
        <v>151</v>
      </c>
      <c r="O803" s="137" t="str">
        <f ca="1">IF(NOT(ISERROR($Y803)),IF($Y803&lt;&gt;FALSE,INDEX(Banco,$Y803,5),""),"")</f>
        <v xml:space="preserve">Administrador (Técnico de Apoio) </v>
      </c>
      <c r="P803" s="138" t="str">
        <f t="shared" ca="1" si="1007"/>
        <v>Horas</v>
      </c>
      <c r="Q803" s="134">
        <v>4</v>
      </c>
      <c r="R803" s="124">
        <f t="shared" ca="1" si="1008"/>
        <v>103.65</v>
      </c>
      <c r="S803" s="136" t="s">
        <v>62</v>
      </c>
      <c r="T803" s="123">
        <f t="shared" ca="1" si="1009"/>
        <v>129.56</v>
      </c>
      <c r="U803" s="126">
        <f t="shared" ca="1" si="1010"/>
        <v>518.24</v>
      </c>
      <c r="V803" s="1"/>
      <c r="W803" s="39" t="str">
        <f ca="1">IF(OR($A803=0,$A803="S",$A803&gt;CFF!$A$9),"",MAX(W$11:OFFSET(W803,-1,0))+1)</f>
        <v/>
      </c>
      <c r="X803" s="4" t="str">
        <f t="shared" si="1011"/>
        <v>Rec. Humanos-003</v>
      </c>
      <c r="Y803" s="39">
        <f t="shared" ca="1" si="1015"/>
        <v>5</v>
      </c>
      <c r="Z803" s="1"/>
      <c r="AA803" s="133">
        <f>IF($J803=$G$2,ROUND(IF(ISNUMBER(S803),S803,IF(LEFT(S803,2)="DI",HLOOKUP(S803,DADOS!$T$29:$X$30,2,FALSE),0)),4),"")</f>
        <v>0.25</v>
      </c>
      <c r="AB803" s="2"/>
    </row>
    <row r="804" spans="1:28">
      <c r="A804" t="str">
        <f t="shared" si="1012"/>
        <v>S</v>
      </c>
      <c r="B804">
        <f t="shared" si="1013"/>
        <v>0</v>
      </c>
      <c r="C804">
        <f t="shared" ca="1" si="1001"/>
        <v>10</v>
      </c>
      <c r="D804">
        <f t="shared" ca="1" si="1002"/>
        <v>1</v>
      </c>
      <c r="E804">
        <f t="shared" ca="1" si="1003"/>
        <v>0</v>
      </c>
      <c r="F804">
        <f t="shared" ca="1" si="1004"/>
        <v>0</v>
      </c>
      <c r="G804">
        <f t="shared" ca="1" si="1005"/>
        <v>4</v>
      </c>
      <c r="H804">
        <f ca="1">IF(OR($A804="S",$A804=0),0,MATCH(0,OFFSET($B804,1,$A804,ROW($A$1504)-ROW($A804)),0))</f>
        <v>0</v>
      </c>
      <c r="I804">
        <f ca="1">IF(OR($A804="S",$A804=0),0,MATCH(OFFSET($B804,0,$A804)+1,OFFSET($B804,1,$A804,ROW($A$1504)-ROW($A804)),0))</f>
        <v>0</v>
      </c>
      <c r="J804" s="132" t="s">
        <v>29</v>
      </c>
      <c r="K804" s="121" t="str">
        <f t="shared" ca="1" si="1014"/>
        <v>10.1.4.</v>
      </c>
      <c r="L804" s="137" t="str">
        <f t="shared" ca="1" si="1006"/>
        <v>SINE</v>
      </c>
      <c r="M804" s="122" t="s">
        <v>78</v>
      </c>
      <c r="N804" s="139" t="s">
        <v>153</v>
      </c>
      <c r="O804" s="137" t="str">
        <f ca="1">IF(NOT(ISERROR($Y804)),IF($Y804&lt;&gt;FALSE,INDEX(Banco,$Y804,5),""),"")</f>
        <v>Estagiários</v>
      </c>
      <c r="P804" s="138" t="str">
        <f t="shared" ca="1" si="1007"/>
        <v>Horas</v>
      </c>
      <c r="Q804" s="134">
        <v>28</v>
      </c>
      <c r="R804" s="124">
        <f t="shared" ca="1" si="1008"/>
        <v>9.7899999999999991</v>
      </c>
      <c r="S804" s="136" t="s">
        <v>62</v>
      </c>
      <c r="T804" s="123">
        <f t="shared" ca="1" si="1009"/>
        <v>12.24</v>
      </c>
      <c r="U804" s="126">
        <f t="shared" ca="1" si="1010"/>
        <v>342.72</v>
      </c>
      <c r="V804" s="1"/>
      <c r="W804" s="39" t="str">
        <f ca="1">IF(OR($A804=0,$A804="S",$A804&gt;CFF!$A$9),"",MAX(W$11:OFFSET(W804,-1,0))+1)</f>
        <v/>
      </c>
      <c r="X804" s="4" t="str">
        <f t="shared" si="1011"/>
        <v>Rec. Humanos-004</v>
      </c>
      <c r="Y804" s="39">
        <f t="shared" ca="1" si="1015"/>
        <v>6</v>
      </c>
      <c r="Z804" s="1"/>
      <c r="AA804" s="133">
        <f>IF($J804=$G$2,ROUND(IF(ISNUMBER(S804),S804,IF(LEFT(S804,2)="DI",HLOOKUP(S804,DADOS!$T$29:$X$30,2,FALSE),0)),4),"")</f>
        <v>0.25</v>
      </c>
      <c r="AB804" s="2"/>
    </row>
    <row r="805" spans="1:28">
      <c r="A805" t="str">
        <f t="shared" ref="A805:A816" si="1016">CHOOSE(1+LOG(1+2*(J805=$C$2)+4*(J805=$D$2)+8*(J805=$E$2)+16*(J805=$F$2)+32*(J805=$G$2),2),0,1,2,3,4,"S")</f>
        <v>S</v>
      </c>
      <c r="B805">
        <f t="shared" ref="B805:B816" si="1017">IF(OR(A805="S",A805=0),0,IF(ISERROR(I805),H805,SMALL(H805:I805,1)))</f>
        <v>0</v>
      </c>
      <c r="C805">
        <f t="shared" ca="1" si="1001"/>
        <v>10</v>
      </c>
      <c r="D805">
        <f t="shared" ca="1" si="1002"/>
        <v>1</v>
      </c>
      <c r="E805">
        <f t="shared" ca="1" si="1003"/>
        <v>0</v>
      </c>
      <c r="F805">
        <f t="shared" ca="1" si="1004"/>
        <v>0</v>
      </c>
      <c r="G805">
        <f t="shared" ca="1" si="1005"/>
        <v>5</v>
      </c>
      <c r="H805">
        <f ca="1">IF(OR($A805="S",$A805=0),0,MATCH(0,OFFSET($B805,1,$A805,ROW($A$1504)-ROW($A805)),0))</f>
        <v>0</v>
      </c>
      <c r="I805">
        <f ca="1">IF(OR($A805="S",$A805=0),0,MATCH(OFFSET($B805,0,$A805)+1,OFFSET($B805,1,$A805,ROW($A$1504)-ROW($A805)),0))</f>
        <v>0</v>
      </c>
      <c r="J805" s="132" t="s">
        <v>29</v>
      </c>
      <c r="K805" s="121" t="str">
        <f t="shared" ref="K805:K816" ca="1" si="1018">IF($A805=0,"-",CONCATENATE(C805&amp;".",IF(AND($A$5&gt;=2,$A805&gt;=2),D805&amp;".",""),IF(AND($A$5&gt;=3,$A805&gt;=3),E805&amp;".",""),IF(AND($A$5&gt;=4,$A805&gt;=4),F805&amp;".",""),IF($A805="S",G805&amp;".","")))</f>
        <v>10.1.5.</v>
      </c>
      <c r="L805" s="137" t="str">
        <f t="shared" ca="1" si="1006"/>
        <v>Cotação</v>
      </c>
      <c r="M805" s="122" t="s">
        <v>80</v>
      </c>
      <c r="N805" s="139" t="s">
        <v>149</v>
      </c>
      <c r="O805" s="137" t="str">
        <f t="shared" ref="O805:O815" ca="1" si="1019">IF(NOT(ISERROR($Y805)),IF($Y805&lt;&gt;FALSE,INDEX(Banco,$Y805,5),""),"")</f>
        <v>Fotocópias</v>
      </c>
      <c r="P805" s="138" t="str">
        <f t="shared" ca="1" si="1007"/>
        <v>Unidade</v>
      </c>
      <c r="Q805" s="134">
        <v>300</v>
      </c>
      <c r="R805" s="124">
        <f t="shared" ca="1" si="1008"/>
        <v>0.3</v>
      </c>
      <c r="S805" s="136" t="s">
        <v>62</v>
      </c>
      <c r="T805" s="123">
        <f t="shared" ca="1" si="1009"/>
        <v>0.38</v>
      </c>
      <c r="U805" s="126">
        <f t="shared" ca="1" si="1010"/>
        <v>114</v>
      </c>
      <c r="V805" s="1"/>
      <c r="W805" s="39" t="str">
        <f ca="1">IF(OR($A805=0,$A805="S",$A805&gt;CFF!$A$9),"",MAX(W$11:OFFSET(W805,-1,0))+1)</f>
        <v/>
      </c>
      <c r="X805" s="4" t="str">
        <f t="shared" si="1011"/>
        <v>Serv. Terc.-001</v>
      </c>
      <c r="Y805" s="39">
        <f t="shared" ref="Y805:Y816" ca="1" si="1020">IF(X805&lt;&gt;FALSE,MATCH(X805,OFFSET(Banco,0,0,,1),0))</f>
        <v>81</v>
      </c>
      <c r="Z805" s="1"/>
      <c r="AA805" s="133">
        <f>IF($J805=$G$2,ROUND(IF(ISNUMBER(S805),S805,IF(LEFT(S805,2)="DI",HLOOKUP(S805,DADOS!$T$29:$X$30,2,FALSE),0)),4),"")</f>
        <v>0.25</v>
      </c>
      <c r="AB805" s="2"/>
    </row>
    <row r="806" spans="1:28">
      <c r="A806" t="str">
        <f>CHOOSE(1+LOG(1+2*(J806=$C$2)+4*(J806=$D$2)+8*(J806=$E$2)+16*(J806=$F$2)+32*(J806=$G$2),2),0,1,2,3,4,"S")</f>
        <v>S</v>
      </c>
      <c r="B806">
        <f>IF(OR(A806="S",A806=0),0,IF(ISERROR(I806),H806,SMALL(H806:I806,1)))</f>
        <v>0</v>
      </c>
      <c r="C806">
        <f t="shared" ca="1" si="1001"/>
        <v>10</v>
      </c>
      <c r="D806">
        <f t="shared" ca="1" si="1002"/>
        <v>1</v>
      </c>
      <c r="E806">
        <f t="shared" ca="1" si="1003"/>
        <v>0</v>
      </c>
      <c r="F806">
        <f t="shared" ca="1" si="1004"/>
        <v>0</v>
      </c>
      <c r="G806">
        <f t="shared" ca="1" si="1005"/>
        <v>6</v>
      </c>
      <c r="H806">
        <f ca="1">IF(OR($A806="S",$A806=0),0,MATCH(0,OFFSET($B806,1,$A806,ROW($A$1504)-ROW($A806)),0))</f>
        <v>0</v>
      </c>
      <c r="I806">
        <f ca="1">IF(OR($A806="S",$A806=0),0,MATCH(OFFSET($B806,0,$A806)+1,OFFSET($B806,1,$A806,ROW($A$1504)-ROW($A806)),0))</f>
        <v>0</v>
      </c>
      <c r="J806" s="132" t="s">
        <v>29</v>
      </c>
      <c r="K806" s="121" t="str">
        <f ca="1">IF($A806=0,"-",CONCATENATE(C806&amp;".",IF(AND($A$5&gt;=2,$A806&gt;=2),D806&amp;".",""),IF(AND($A$5&gt;=3,$A806&gt;=3),E806&amp;".",""),IF(AND($A$5&gt;=4,$A806&gt;=4),F806&amp;".",""),IF($A806="S",G806&amp;".","")))</f>
        <v>10.1.6.</v>
      </c>
      <c r="L806" s="137" t="str">
        <f t="shared" ca="1" si="1006"/>
        <v>Cotação</v>
      </c>
      <c r="M806" s="122" t="s">
        <v>80</v>
      </c>
      <c r="N806" s="139" t="s">
        <v>256</v>
      </c>
      <c r="O806" s="137" t="str">
        <f ca="1">IF(NOT(ISERROR($Y806)),IF($Y806&lt;&gt;FALSE,INDEX(Banco,$Y806,5),""),"")</f>
        <v>Instrutor/Monitor (Educação Fisíca)</v>
      </c>
      <c r="P806" s="138" t="str">
        <f t="shared" ca="1" si="1007"/>
        <v>Horas</v>
      </c>
      <c r="Q806" s="134">
        <v>3</v>
      </c>
      <c r="R806" s="124">
        <f t="shared" ca="1" si="1008"/>
        <v>100</v>
      </c>
      <c r="S806" s="136" t="s">
        <v>62</v>
      </c>
      <c r="T806" s="123">
        <f t="shared" ca="1" si="1009"/>
        <v>125</v>
      </c>
      <c r="U806" s="126">
        <f t="shared" ca="1" si="1010"/>
        <v>375</v>
      </c>
      <c r="V806" s="1"/>
      <c r="W806" s="39" t="str">
        <f ca="1">IF(OR($A806=0,$A806="S",$A806&gt;CFF!$A$9),"",MAX(W$11:OFFSET(W806,-1,0))+1)</f>
        <v/>
      </c>
      <c r="X806" s="4" t="str">
        <f t="shared" si="1011"/>
        <v>Serv. Terc.-017</v>
      </c>
      <c r="Y806" s="39">
        <f ca="1">IF(X806&lt;&gt;FALSE,MATCH(X806,OFFSET(Banco,0,0,,1),0))</f>
        <v>97</v>
      </c>
      <c r="Z806" s="1"/>
      <c r="AA806" s="133">
        <f>IF($J806=$G$2,ROUND(IF(ISNUMBER(S806),S806,IF(LEFT(S806,2)="DI",HLOOKUP(S806,DADOS!$T$29:$X$30,2,FALSE),0)),4),"")</f>
        <v>0.25</v>
      </c>
      <c r="AB806" s="2"/>
    </row>
    <row r="807" spans="1:28">
      <c r="A807" t="str">
        <f t="shared" si="1016"/>
        <v>S</v>
      </c>
      <c r="B807">
        <f t="shared" si="1017"/>
        <v>0</v>
      </c>
      <c r="C807">
        <f t="shared" ca="1" si="1001"/>
        <v>10</v>
      </c>
      <c r="D807">
        <f t="shared" ca="1" si="1002"/>
        <v>1</v>
      </c>
      <c r="E807">
        <f t="shared" ca="1" si="1003"/>
        <v>0</v>
      </c>
      <c r="F807">
        <f t="shared" ca="1" si="1004"/>
        <v>0</v>
      </c>
      <c r="G807">
        <f t="shared" ca="1" si="1005"/>
        <v>7</v>
      </c>
      <c r="H807">
        <f ca="1">IF(OR($A807="S",$A807=0),0,MATCH(0,OFFSET($B807,1,$A807,ROW($A$1504)-ROW($A807)),0))</f>
        <v>0</v>
      </c>
      <c r="I807">
        <f ca="1">IF(OR($A807="S",$A807=0),0,MATCH(OFFSET($B807,0,$A807)+1,OFFSET($B807,1,$A807,ROW($A$1504)-ROW($A807)),0))</f>
        <v>0</v>
      </c>
      <c r="J807" s="132" t="s">
        <v>29</v>
      </c>
      <c r="K807" s="121" t="str">
        <f t="shared" ca="1" si="1018"/>
        <v>10.1.7.</v>
      </c>
      <c r="L807" s="137" t="str">
        <f t="shared" ca="1" si="1006"/>
        <v>Cotação</v>
      </c>
      <c r="M807" s="122" t="s">
        <v>80</v>
      </c>
      <c r="N807" s="139" t="s">
        <v>152</v>
      </c>
      <c r="O807" s="137" t="str">
        <f t="shared" ca="1" si="1019"/>
        <v>Carro de som com gravação de vinheta</v>
      </c>
      <c r="P807" s="138" t="str">
        <f t="shared" ca="1" si="1007"/>
        <v>Horas</v>
      </c>
      <c r="Q807" s="134">
        <v>3</v>
      </c>
      <c r="R807" s="124">
        <f t="shared" ca="1" si="1008"/>
        <v>200</v>
      </c>
      <c r="S807" s="136" t="s">
        <v>62</v>
      </c>
      <c r="T807" s="123">
        <f t="shared" ca="1" si="1009"/>
        <v>250</v>
      </c>
      <c r="U807" s="126">
        <f t="shared" ca="1" si="1010"/>
        <v>750</v>
      </c>
      <c r="V807" s="1"/>
      <c r="W807" s="39" t="str">
        <f ca="1">IF(OR($A807=0,$A807="S",$A807&gt;CFF!$A$9),"",MAX(W$11:OFFSET(W807,-1,0))+1)</f>
        <v/>
      </c>
      <c r="X807" s="4" t="str">
        <f t="shared" si="1011"/>
        <v>Serv. Terc.-002</v>
      </c>
      <c r="Y807" s="39">
        <f t="shared" ca="1" si="1020"/>
        <v>82</v>
      </c>
      <c r="Z807" s="1"/>
      <c r="AA807" s="133">
        <f>IF($J807=$G$2,ROUND(IF(ISNUMBER(S807),S807,IF(LEFT(S807,2)="DI",HLOOKUP(S807,DADOS!$T$29:$X$30,2,FALSE),0)),4),"")</f>
        <v>0.25</v>
      </c>
      <c r="AB807" s="2"/>
    </row>
    <row r="808" spans="1:28">
      <c r="A808" t="str">
        <f t="shared" si="1016"/>
        <v>S</v>
      </c>
      <c r="B808">
        <f t="shared" si="1017"/>
        <v>0</v>
      </c>
      <c r="C808">
        <f t="shared" ca="1" si="1001"/>
        <v>10</v>
      </c>
      <c r="D808">
        <f t="shared" ca="1" si="1002"/>
        <v>1</v>
      </c>
      <c r="E808">
        <f t="shared" ca="1" si="1003"/>
        <v>0</v>
      </c>
      <c r="F808">
        <f t="shared" ca="1" si="1004"/>
        <v>0</v>
      </c>
      <c r="G808">
        <f t="shared" ca="1" si="1005"/>
        <v>8</v>
      </c>
      <c r="H808">
        <f ca="1">IF(OR($A808="S",$A808=0),0,MATCH(0,OFFSET($B808,1,$A808,ROW($A$1504)-ROW($A808)),0))</f>
        <v>0</v>
      </c>
      <c r="I808">
        <f ca="1">IF(OR($A808="S",$A808=0),0,MATCH(OFFSET($B808,0,$A808)+1,OFFSET($B808,1,$A808,ROW($A$1504)-ROW($A808)),0))</f>
        <v>0</v>
      </c>
      <c r="J808" s="132" t="s">
        <v>29</v>
      </c>
      <c r="K808" s="121" t="str">
        <f t="shared" ca="1" si="1018"/>
        <v>10.1.8.</v>
      </c>
      <c r="L808" s="137" t="str">
        <f t="shared" ca="1" si="1006"/>
        <v>Cotação</v>
      </c>
      <c r="M808" s="122" t="s">
        <v>80</v>
      </c>
      <c r="N808" s="139" t="s">
        <v>151</v>
      </c>
      <c r="O808" s="137" t="str">
        <f t="shared" ca="1" si="1019"/>
        <v>Locação de mesas</v>
      </c>
      <c r="P808" s="138" t="str">
        <f t="shared" ca="1" si="1007"/>
        <v>Unidade</v>
      </c>
      <c r="Q808" s="134">
        <v>20</v>
      </c>
      <c r="R808" s="124">
        <f t="shared" ca="1" si="1008"/>
        <v>3</v>
      </c>
      <c r="S808" s="136" t="s">
        <v>62</v>
      </c>
      <c r="T808" s="123">
        <f t="shared" ca="1" si="1009"/>
        <v>3.75</v>
      </c>
      <c r="U808" s="126">
        <f t="shared" ca="1" si="1010"/>
        <v>75</v>
      </c>
      <c r="V808" s="1"/>
      <c r="W808" s="39" t="str">
        <f ca="1">IF(OR($A808=0,$A808="S",$A808&gt;CFF!$A$9),"",MAX(W$11:OFFSET(W808,-1,0))+1)</f>
        <v/>
      </c>
      <c r="X808" s="4" t="str">
        <f t="shared" si="1011"/>
        <v>Serv. Terc.-003</v>
      </c>
      <c r="Y808" s="39">
        <f t="shared" ca="1" si="1020"/>
        <v>83</v>
      </c>
      <c r="Z808" s="1"/>
      <c r="AA808" s="133">
        <f>IF($J808=$G$2,ROUND(IF(ISNUMBER(S808),S808,IF(LEFT(S808,2)="DI",HLOOKUP(S808,DADOS!$T$29:$X$30,2,FALSE),0)),4),"")</f>
        <v>0.25</v>
      </c>
      <c r="AB808" s="2"/>
    </row>
    <row r="809" spans="1:28">
      <c r="A809" t="str">
        <f t="shared" si="1016"/>
        <v>S</v>
      </c>
      <c r="B809">
        <f t="shared" si="1017"/>
        <v>0</v>
      </c>
      <c r="C809">
        <f t="shared" ca="1" si="1001"/>
        <v>10</v>
      </c>
      <c r="D809">
        <f t="shared" ca="1" si="1002"/>
        <v>1</v>
      </c>
      <c r="E809">
        <f t="shared" ca="1" si="1003"/>
        <v>0</v>
      </c>
      <c r="F809">
        <f t="shared" ca="1" si="1004"/>
        <v>0</v>
      </c>
      <c r="G809">
        <f t="shared" ca="1" si="1005"/>
        <v>9</v>
      </c>
      <c r="H809">
        <f ca="1">IF(OR($A809="S",$A809=0),0,MATCH(0,OFFSET($B809,1,$A809,ROW($A$1504)-ROW($A809)),0))</f>
        <v>0</v>
      </c>
      <c r="I809">
        <f ca="1">IF(OR($A809="S",$A809=0),0,MATCH(OFFSET($B809,0,$A809)+1,OFFSET($B809,1,$A809,ROW($A$1504)-ROW($A809)),0))</f>
        <v>0</v>
      </c>
      <c r="J809" s="132" t="s">
        <v>29</v>
      </c>
      <c r="K809" s="121" t="str">
        <f t="shared" ca="1" si="1018"/>
        <v>10.1.9.</v>
      </c>
      <c r="L809" s="137" t="str">
        <f t="shared" ca="1" si="1006"/>
        <v>Cotação</v>
      </c>
      <c r="M809" s="122" t="s">
        <v>80</v>
      </c>
      <c r="N809" s="139" t="s">
        <v>153</v>
      </c>
      <c r="O809" s="137" t="str">
        <f t="shared" ca="1" si="1019"/>
        <v>Locação de cadeiras</v>
      </c>
      <c r="P809" s="138" t="str">
        <f t="shared" ca="1" si="1007"/>
        <v>Unidade</v>
      </c>
      <c r="Q809" s="134">
        <v>400</v>
      </c>
      <c r="R809" s="124">
        <f t="shared" ca="1" si="1008"/>
        <v>2</v>
      </c>
      <c r="S809" s="136" t="s">
        <v>62</v>
      </c>
      <c r="T809" s="123">
        <f t="shared" ca="1" si="1009"/>
        <v>2.5</v>
      </c>
      <c r="U809" s="126">
        <f t="shared" ca="1" si="1010"/>
        <v>1000</v>
      </c>
      <c r="V809" s="1"/>
      <c r="W809" s="39" t="str">
        <f ca="1">IF(OR($A809=0,$A809="S",$A809&gt;CFF!$A$9),"",MAX(W$11:OFFSET(W809,-1,0))+1)</f>
        <v/>
      </c>
      <c r="X809" s="4" t="str">
        <f t="shared" si="1011"/>
        <v>Serv. Terc.-004</v>
      </c>
      <c r="Y809" s="39">
        <f t="shared" ca="1" si="1020"/>
        <v>84</v>
      </c>
      <c r="Z809" s="1"/>
      <c r="AA809" s="133">
        <f>IF($J809=$G$2,ROUND(IF(ISNUMBER(S809),S809,IF(LEFT(S809,2)="DI",HLOOKUP(S809,DADOS!$T$29:$X$30,2,FALSE),0)),4),"")</f>
        <v>0.25</v>
      </c>
      <c r="AB809" s="2"/>
    </row>
    <row r="810" spans="1:28">
      <c r="A810" t="str">
        <f t="shared" si="1016"/>
        <v>S</v>
      </c>
      <c r="B810">
        <f t="shared" si="1017"/>
        <v>0</v>
      </c>
      <c r="C810">
        <f t="shared" ca="1" si="1001"/>
        <v>10</v>
      </c>
      <c r="D810">
        <f t="shared" ca="1" si="1002"/>
        <v>1</v>
      </c>
      <c r="E810">
        <f t="shared" ca="1" si="1003"/>
        <v>0</v>
      </c>
      <c r="F810">
        <f t="shared" ca="1" si="1004"/>
        <v>0</v>
      </c>
      <c r="G810">
        <f t="shared" ca="1" si="1005"/>
        <v>10</v>
      </c>
      <c r="H810">
        <f ca="1">IF(OR($A810="S",$A810=0),0,MATCH(0,OFFSET($B810,1,$A810,ROW($A$1504)-ROW($A810)),0))</f>
        <v>0</v>
      </c>
      <c r="I810">
        <f ca="1">IF(OR($A810="S",$A810=0),0,MATCH(OFFSET($B810,0,$A810)+1,OFFSET($B810,1,$A810,ROW($A$1504)-ROW($A810)),0))</f>
        <v>0</v>
      </c>
      <c r="J810" s="132" t="s">
        <v>29</v>
      </c>
      <c r="K810" s="121" t="str">
        <f t="shared" ca="1" si="1018"/>
        <v>10.1.10.</v>
      </c>
      <c r="L810" s="137" t="str">
        <f t="shared" ca="1" si="1006"/>
        <v>Cotação</v>
      </c>
      <c r="M810" s="122" t="s">
        <v>80</v>
      </c>
      <c r="N810" s="139" t="s">
        <v>154</v>
      </c>
      <c r="O810" s="137" t="str">
        <f t="shared" ca="1" si="1019"/>
        <v>Locação de caixa térmica</v>
      </c>
      <c r="P810" s="138" t="str">
        <f t="shared" ca="1" si="1007"/>
        <v>Unidade</v>
      </c>
      <c r="Q810" s="134">
        <v>2</v>
      </c>
      <c r="R810" s="124">
        <f t="shared" ca="1" si="1008"/>
        <v>40</v>
      </c>
      <c r="S810" s="136" t="s">
        <v>62</v>
      </c>
      <c r="T810" s="123">
        <f t="shared" ca="1" si="1009"/>
        <v>50</v>
      </c>
      <c r="U810" s="126">
        <f t="shared" ca="1" si="1010"/>
        <v>100</v>
      </c>
      <c r="V810" s="1"/>
      <c r="W810" s="39" t="str">
        <f ca="1">IF(OR($A810=0,$A810="S",$A810&gt;CFF!$A$9),"",MAX(W$11:OFFSET(W810,-1,0))+1)</f>
        <v/>
      </c>
      <c r="X810" s="4" t="str">
        <f t="shared" si="1011"/>
        <v>Serv. Terc.-005</v>
      </c>
      <c r="Y810" s="39">
        <f t="shared" ca="1" si="1020"/>
        <v>85</v>
      </c>
      <c r="Z810" s="1"/>
      <c r="AA810" s="133">
        <f>IF($J810=$G$2,ROUND(IF(ISNUMBER(S810),S810,IF(LEFT(S810,2)="DI",HLOOKUP(S810,DADOS!$T$29:$X$30,2,FALSE),0)),4),"")</f>
        <v>0.25</v>
      </c>
      <c r="AB810" s="2"/>
    </row>
    <row r="811" spans="1:28">
      <c r="A811" t="str">
        <f t="shared" si="1016"/>
        <v>S</v>
      </c>
      <c r="B811">
        <f t="shared" si="1017"/>
        <v>0</v>
      </c>
      <c r="C811">
        <f t="shared" ca="1" si="1001"/>
        <v>10</v>
      </c>
      <c r="D811">
        <f t="shared" ca="1" si="1002"/>
        <v>1</v>
      </c>
      <c r="E811">
        <f t="shared" ca="1" si="1003"/>
        <v>0</v>
      </c>
      <c r="F811">
        <f t="shared" ca="1" si="1004"/>
        <v>0</v>
      </c>
      <c r="G811">
        <f t="shared" ca="1" si="1005"/>
        <v>11</v>
      </c>
      <c r="H811">
        <f ca="1">IF(OR($A811="S",$A811=0),0,MATCH(0,OFFSET($B811,1,$A811,ROW($A$1504)-ROW($A811)),0))</f>
        <v>0</v>
      </c>
      <c r="I811">
        <f ca="1">IF(OR($A811="S",$A811=0),0,MATCH(OFFSET($B811,0,$A811)+1,OFFSET($B811,1,$A811,ROW($A$1504)-ROW($A811)),0))</f>
        <v>0</v>
      </c>
      <c r="J811" s="132" t="s">
        <v>29</v>
      </c>
      <c r="K811" s="121" t="str">
        <f t="shared" ca="1" si="1018"/>
        <v>10.1.11.</v>
      </c>
      <c r="L811" s="137" t="str">
        <f t="shared" ca="1" si="1006"/>
        <v>Cotação</v>
      </c>
      <c r="M811" s="122" t="s">
        <v>80</v>
      </c>
      <c r="N811" s="139" t="s">
        <v>155</v>
      </c>
      <c r="O811" s="137" t="str">
        <f t="shared" ca="1" si="1019"/>
        <v>Locação de tendas</v>
      </c>
      <c r="P811" s="138" t="str">
        <f t="shared" ca="1" si="1007"/>
        <v>Unidade</v>
      </c>
      <c r="Q811" s="134">
        <v>3</v>
      </c>
      <c r="R811" s="124">
        <f t="shared" ca="1" si="1008"/>
        <v>250</v>
      </c>
      <c r="S811" s="136" t="s">
        <v>62</v>
      </c>
      <c r="T811" s="123">
        <f t="shared" ca="1" si="1009"/>
        <v>312.5</v>
      </c>
      <c r="U811" s="126">
        <f t="shared" ca="1" si="1010"/>
        <v>937.5</v>
      </c>
      <c r="V811" s="1"/>
      <c r="W811" s="39" t="str">
        <f ca="1">IF(OR($A811=0,$A811="S",$A811&gt;CFF!$A$9),"",MAX(W$11:OFFSET(W811,-1,0))+1)</f>
        <v/>
      </c>
      <c r="X811" s="4" t="str">
        <f t="shared" si="1011"/>
        <v>Serv. Terc.-006</v>
      </c>
      <c r="Y811" s="39">
        <f t="shared" ca="1" si="1020"/>
        <v>86</v>
      </c>
      <c r="Z811" s="1"/>
      <c r="AA811" s="133">
        <f>IF($J811=$G$2,ROUND(IF(ISNUMBER(S811),S811,IF(LEFT(S811,2)="DI",HLOOKUP(S811,DADOS!$T$29:$X$30,2,FALSE),0)),4),"")</f>
        <v>0.25</v>
      </c>
      <c r="AB811" s="2"/>
    </row>
    <row r="812" spans="1:28">
      <c r="A812" t="str">
        <f t="shared" si="1016"/>
        <v>S</v>
      </c>
      <c r="B812">
        <f t="shared" si="1017"/>
        <v>0</v>
      </c>
      <c r="C812">
        <f t="shared" ca="1" si="1001"/>
        <v>10</v>
      </c>
      <c r="D812">
        <f t="shared" ca="1" si="1002"/>
        <v>1</v>
      </c>
      <c r="E812">
        <f t="shared" ca="1" si="1003"/>
        <v>0</v>
      </c>
      <c r="F812">
        <f t="shared" ca="1" si="1004"/>
        <v>0</v>
      </c>
      <c r="G812">
        <f t="shared" ca="1" si="1005"/>
        <v>12</v>
      </c>
      <c r="H812">
        <f ca="1">IF(OR($A812="S",$A812=0),0,MATCH(0,OFFSET($B812,1,$A812,ROW($A$1504)-ROW($A812)),0))</f>
        <v>0</v>
      </c>
      <c r="I812">
        <f ca="1">IF(OR($A812="S",$A812=0),0,MATCH(OFFSET($B812,0,$A812)+1,OFFSET($B812,1,$A812,ROW($A$1504)-ROW($A812)),0))</f>
        <v>0</v>
      </c>
      <c r="J812" s="132" t="s">
        <v>29</v>
      </c>
      <c r="K812" s="121" t="str">
        <f t="shared" ca="1" si="1018"/>
        <v>10.1.12.</v>
      </c>
      <c r="L812" s="137" t="str">
        <f t="shared" ca="1" si="1006"/>
        <v>Cotação</v>
      </c>
      <c r="M812" s="122" t="s">
        <v>80</v>
      </c>
      <c r="N812" s="139" t="s">
        <v>157</v>
      </c>
      <c r="O812" s="137" t="str">
        <f t="shared" ca="1" si="1019"/>
        <v>Locação de pula-pula com monitor</v>
      </c>
      <c r="P812" s="138" t="str">
        <f t="shared" ca="1" si="1007"/>
        <v>Unidade</v>
      </c>
      <c r="Q812" s="134">
        <v>2</v>
      </c>
      <c r="R812" s="124">
        <f t="shared" ca="1" si="1008"/>
        <v>220</v>
      </c>
      <c r="S812" s="136" t="s">
        <v>62</v>
      </c>
      <c r="T812" s="123">
        <f t="shared" ca="1" si="1009"/>
        <v>275</v>
      </c>
      <c r="U812" s="126">
        <f t="shared" ca="1" si="1010"/>
        <v>550</v>
      </c>
      <c r="V812" s="1"/>
      <c r="W812" s="39" t="str">
        <f ca="1">IF(OR($A812=0,$A812="S",$A812&gt;CFF!$A$9),"",MAX(W$11:OFFSET(W812,-1,0))+1)</f>
        <v/>
      </c>
      <c r="X812" s="4" t="str">
        <f t="shared" si="1011"/>
        <v>Serv. Terc.-008</v>
      </c>
      <c r="Y812" s="39">
        <f t="shared" ca="1" si="1020"/>
        <v>88</v>
      </c>
      <c r="Z812" s="1"/>
      <c r="AA812" s="133">
        <f>IF($J812=$G$2,ROUND(IF(ISNUMBER(S812),S812,IF(LEFT(S812,2)="DI",HLOOKUP(S812,DADOS!$T$29:$X$30,2,FALSE),0)),4),"")</f>
        <v>0.25</v>
      </c>
      <c r="AB812" s="2"/>
    </row>
    <row r="813" spans="1:28">
      <c r="A813" t="str">
        <f t="shared" si="1016"/>
        <v>S</v>
      </c>
      <c r="B813">
        <f t="shared" si="1017"/>
        <v>0</v>
      </c>
      <c r="C813">
        <f t="shared" ca="1" si="1001"/>
        <v>10</v>
      </c>
      <c r="D813">
        <f t="shared" ca="1" si="1002"/>
        <v>1</v>
      </c>
      <c r="E813">
        <f t="shared" ca="1" si="1003"/>
        <v>0</v>
      </c>
      <c r="F813">
        <f t="shared" ca="1" si="1004"/>
        <v>0</v>
      </c>
      <c r="G813">
        <f t="shared" ca="1" si="1005"/>
        <v>13</v>
      </c>
      <c r="H813">
        <f ca="1">IF(OR($A813="S",$A813=0),0,MATCH(0,OFFSET($B813,1,$A813,ROW($A$1504)-ROW($A813)),0))</f>
        <v>0</v>
      </c>
      <c r="I813">
        <f ca="1">IF(OR($A813="S",$A813=0),0,MATCH(OFFSET($B813,0,$A813)+1,OFFSET($B813,1,$A813,ROW($A$1504)-ROW($A813)),0))</f>
        <v>0</v>
      </c>
      <c r="J813" s="132" t="s">
        <v>29</v>
      </c>
      <c r="K813" s="121" t="str">
        <f t="shared" ca="1" si="1018"/>
        <v>10.1.13.</v>
      </c>
      <c r="L813" s="137" t="str">
        <f t="shared" ca="1" si="1006"/>
        <v>Cotação</v>
      </c>
      <c r="M813" s="122" t="s">
        <v>80</v>
      </c>
      <c r="N813" s="139" t="s">
        <v>161</v>
      </c>
      <c r="O813" s="137" t="str">
        <f ca="1">IF(NOT(ISERROR($Y813)),IF($Y813&lt;&gt;FALSE,INDEX(Banco,$Y813,5),""),"")</f>
        <v>Água (garrafão de 20 litros)</v>
      </c>
      <c r="P813" s="138" t="str">
        <f t="shared" ca="1" si="1007"/>
        <v>Unidade</v>
      </c>
      <c r="Q813" s="134">
        <v>2</v>
      </c>
      <c r="R813" s="124">
        <f t="shared" ca="1" si="1008"/>
        <v>10</v>
      </c>
      <c r="S813" s="136" t="s">
        <v>62</v>
      </c>
      <c r="T813" s="123">
        <f t="shared" ca="1" si="1009"/>
        <v>12.5</v>
      </c>
      <c r="U813" s="126">
        <f t="shared" ca="1" si="1010"/>
        <v>25</v>
      </c>
      <c r="V813" s="1"/>
      <c r="W813" s="39" t="str">
        <f ca="1">IF(OR($A813=0,$A813="S",$A813&gt;CFF!$A$9),"",MAX(W$11:OFFSET(W813,-1,0))+1)</f>
        <v/>
      </c>
      <c r="X813" s="4" t="str">
        <f t="shared" si="1011"/>
        <v>Serv. Terc.-012</v>
      </c>
      <c r="Y813" s="39">
        <f t="shared" ca="1" si="1020"/>
        <v>92</v>
      </c>
      <c r="Z813" s="1"/>
      <c r="AA813" s="133">
        <f>IF($J813=$G$2,ROUND(IF(ISNUMBER(S813),S813,IF(LEFT(S813,2)="DI",HLOOKUP(S813,DADOS!$T$29:$X$30,2,FALSE),0)),4),"")</f>
        <v>0.25</v>
      </c>
      <c r="AB813" s="2"/>
    </row>
    <row r="814" spans="1:28">
      <c r="A814" t="str">
        <f t="shared" si="1016"/>
        <v>S</v>
      </c>
      <c r="B814">
        <f t="shared" si="1017"/>
        <v>0</v>
      </c>
      <c r="C814">
        <f t="shared" ca="1" si="1001"/>
        <v>10</v>
      </c>
      <c r="D814">
        <f t="shared" ca="1" si="1002"/>
        <v>1</v>
      </c>
      <c r="E814">
        <f t="shared" ca="1" si="1003"/>
        <v>0</v>
      </c>
      <c r="F814">
        <f t="shared" ca="1" si="1004"/>
        <v>0</v>
      </c>
      <c r="G814">
        <f t="shared" ca="1" si="1005"/>
        <v>14</v>
      </c>
      <c r="H814">
        <f ca="1">IF(OR($A814="S",$A814=0),0,MATCH(0,OFFSET($B814,1,$A814,ROW($A$1504)-ROW($A814)),0))</f>
        <v>0</v>
      </c>
      <c r="I814">
        <f ca="1">IF(OR($A814="S",$A814=0),0,MATCH(OFFSET($B814,0,$A814)+1,OFFSET($B814,1,$A814,ROW($A$1504)-ROW($A814)),0))</f>
        <v>0</v>
      </c>
      <c r="J814" s="132" t="s">
        <v>29</v>
      </c>
      <c r="K814" s="121" t="str">
        <f t="shared" ca="1" si="1018"/>
        <v>10.1.14.</v>
      </c>
      <c r="L814" s="137" t="str">
        <f t="shared" ca="1" si="1006"/>
        <v xml:space="preserve">Cotação </v>
      </c>
      <c r="M814" s="122" t="s">
        <v>80</v>
      </c>
      <c r="N814" s="139" t="s">
        <v>160</v>
      </c>
      <c r="O814" s="137" t="str">
        <f ca="1">IF(NOT(ISERROR($Y814)),IF($Y814&lt;&gt;FALSE,INDEX(Banco,$Y814,5),""),"")</f>
        <v>Barra de gelo</v>
      </c>
      <c r="P814" s="138" t="str">
        <f t="shared" ca="1" si="1007"/>
        <v>Unidade</v>
      </c>
      <c r="Q814" s="134">
        <v>4</v>
      </c>
      <c r="R814" s="124">
        <f t="shared" ca="1" si="1008"/>
        <v>12</v>
      </c>
      <c r="S814" s="136" t="s">
        <v>62</v>
      </c>
      <c r="T814" s="123">
        <f t="shared" ca="1" si="1009"/>
        <v>15</v>
      </c>
      <c r="U814" s="126">
        <f t="shared" ca="1" si="1010"/>
        <v>60</v>
      </c>
      <c r="V814" s="1"/>
      <c r="W814" s="39" t="str">
        <f ca="1">IF(OR($A814=0,$A814="S",$A814&gt;CFF!$A$9),"",MAX(W$11:OFFSET(W814,-1,0))+1)</f>
        <v/>
      </c>
      <c r="X814" s="4" t="str">
        <f t="shared" si="1011"/>
        <v>Serv. Terc.-011</v>
      </c>
      <c r="Y814" s="39">
        <f t="shared" ca="1" si="1020"/>
        <v>91</v>
      </c>
      <c r="Z814" s="1"/>
      <c r="AA814" s="133">
        <f>IF($J814=$G$2,ROUND(IF(ISNUMBER(S814),S814,IF(LEFT(S814,2)="DI",HLOOKUP(S814,DADOS!$T$29:$X$30,2,FALSE),0)),4),"")</f>
        <v>0.25</v>
      </c>
      <c r="AB814" s="2"/>
    </row>
    <row r="815" spans="1:28">
      <c r="A815" t="str">
        <f t="shared" si="1016"/>
        <v>S</v>
      </c>
      <c r="B815">
        <f t="shared" si="1017"/>
        <v>0</v>
      </c>
      <c r="C815">
        <f t="shared" ca="1" si="1001"/>
        <v>10</v>
      </c>
      <c r="D815">
        <f t="shared" ca="1" si="1002"/>
        <v>1</v>
      </c>
      <c r="E815">
        <f t="shared" ca="1" si="1003"/>
        <v>0</v>
      </c>
      <c r="F815">
        <f t="shared" ca="1" si="1004"/>
        <v>0</v>
      </c>
      <c r="G815">
        <f t="shared" ca="1" si="1005"/>
        <v>15</v>
      </c>
      <c r="H815">
        <f ca="1">IF(OR($A815="S",$A815=0),0,MATCH(0,OFFSET($B815,1,$A815,ROW($A$1504)-ROW($A815)),0))</f>
        <v>0</v>
      </c>
      <c r="I815">
        <f ca="1">IF(OR($A815="S",$A815=0),0,MATCH(OFFSET($B815,0,$A815)+1,OFFSET($B815,1,$A815,ROW($A$1504)-ROW($A815)),0))</f>
        <v>0</v>
      </c>
      <c r="J815" s="132" t="s">
        <v>29</v>
      </c>
      <c r="K815" s="121" t="str">
        <f t="shared" ca="1" si="1018"/>
        <v>10.1.15.</v>
      </c>
      <c r="L815" s="137" t="str">
        <f t="shared" ca="1" si="1006"/>
        <v>Cotação</v>
      </c>
      <c r="M815" s="122" t="s">
        <v>80</v>
      </c>
      <c r="N815" s="139" t="s">
        <v>171</v>
      </c>
      <c r="O815" s="137" t="str">
        <f t="shared" ca="1" si="1019"/>
        <v xml:space="preserve">Refrigerantes (02 litros) </v>
      </c>
      <c r="P815" s="138" t="str">
        <f t="shared" ca="1" si="1007"/>
        <v>Unidade</v>
      </c>
      <c r="Q815" s="134">
        <v>20</v>
      </c>
      <c r="R815" s="124">
        <f t="shared" ca="1" si="1008"/>
        <v>6</v>
      </c>
      <c r="S815" s="136" t="s">
        <v>62</v>
      </c>
      <c r="T815" s="123">
        <f t="shared" ca="1" si="1009"/>
        <v>7.5</v>
      </c>
      <c r="U815" s="126">
        <f t="shared" ca="1" si="1010"/>
        <v>150</v>
      </c>
      <c r="V815" s="1"/>
      <c r="W815" s="39" t="str">
        <f ca="1">IF(OR($A815=0,$A815="S",$A815&gt;CFF!$A$9),"",MAX(W$11:OFFSET(W815,-1,0))+1)</f>
        <v/>
      </c>
      <c r="X815" s="4" t="str">
        <f t="shared" si="1011"/>
        <v>Serv. Terc.-027</v>
      </c>
      <c r="Y815" s="39">
        <f t="shared" ca="1" si="1020"/>
        <v>107</v>
      </c>
      <c r="Z815" s="1"/>
      <c r="AA815" s="133">
        <f>IF($J815=$G$2,ROUND(IF(ISNUMBER(S815),S815,IF(LEFT(S815,2)="DI",HLOOKUP(S815,DADOS!$T$29:$X$30,2,FALSE),0)),4),"")</f>
        <v>0.25</v>
      </c>
      <c r="AB815" s="2"/>
    </row>
    <row r="816" spans="1:28">
      <c r="A816" t="str">
        <f t="shared" si="1016"/>
        <v>S</v>
      </c>
      <c r="B816">
        <f t="shared" si="1017"/>
        <v>0</v>
      </c>
      <c r="C816">
        <f t="shared" ca="1" si="1001"/>
        <v>10</v>
      </c>
      <c r="D816">
        <f t="shared" ca="1" si="1002"/>
        <v>1</v>
      </c>
      <c r="E816">
        <f t="shared" ca="1" si="1003"/>
        <v>0</v>
      </c>
      <c r="F816">
        <f t="shared" ca="1" si="1004"/>
        <v>0</v>
      </c>
      <c r="G816">
        <f t="shared" ca="1" si="1005"/>
        <v>16</v>
      </c>
      <c r="H816">
        <f ca="1">IF(OR($A816="S",$A816=0),0,MATCH(0,OFFSET($B816,1,$A816,ROW($A$1504)-ROW($A816)),0))</f>
        <v>0</v>
      </c>
      <c r="I816">
        <f ca="1">IF(OR($A816="S",$A816=0),0,MATCH(OFFSET($B816,0,$A816)+1,OFFSET($B816,1,$A816,ROW($A$1504)-ROW($A816)),0))</f>
        <v>0</v>
      </c>
      <c r="J816" s="132" t="s">
        <v>29</v>
      </c>
      <c r="K816" s="121" t="str">
        <f t="shared" ca="1" si="1018"/>
        <v>10.1.16.</v>
      </c>
      <c r="L816" s="137" t="str">
        <f t="shared" ca="1" si="1006"/>
        <v>Cotação</v>
      </c>
      <c r="M816" s="122" t="s">
        <v>79</v>
      </c>
      <c r="N816" s="139" t="s">
        <v>163</v>
      </c>
      <c r="O816" s="137" t="str">
        <f ca="1">IF(NOT(ISERROR($Y816)),IF($Y816&lt;&gt;FALSE,INDEX(Banco,$Y816,5),""),"")</f>
        <v>Guloseimas (balas e pirulito)</v>
      </c>
      <c r="P816" s="138" t="str">
        <f t="shared" ca="1" si="1007"/>
        <v>Pacote</v>
      </c>
      <c r="Q816" s="134">
        <v>6</v>
      </c>
      <c r="R816" s="124">
        <f t="shared" ca="1" si="1008"/>
        <v>12</v>
      </c>
      <c r="S816" s="136" t="s">
        <v>62</v>
      </c>
      <c r="T816" s="123">
        <f t="shared" ca="1" si="1009"/>
        <v>15</v>
      </c>
      <c r="U816" s="126">
        <f t="shared" ca="1" si="1010"/>
        <v>90</v>
      </c>
      <c r="V816" s="1"/>
      <c r="W816" s="39" t="str">
        <f ca="1">IF(OR($A816=0,$A816="S",$A816&gt;CFF!$A$9),"",MAX(W$11:OFFSET(W816,-1,0))+1)</f>
        <v/>
      </c>
      <c r="X816" s="4" t="str">
        <f t="shared" si="1011"/>
        <v>Rec. Materiais-020</v>
      </c>
      <c r="Y816" s="39">
        <f t="shared" ca="1" si="1020"/>
        <v>29</v>
      </c>
      <c r="Z816" s="1"/>
      <c r="AA816" s="133">
        <f>IF($J816=$G$2,ROUND(IF(ISNUMBER(S816),S816,IF(LEFT(S816,2)="DI",HLOOKUP(S816,DADOS!$T$29:$X$30,2,FALSE),0)),4),"")</f>
        <v>0.25</v>
      </c>
      <c r="AB816" s="2"/>
    </row>
    <row r="817" spans="1:28">
      <c r="A817" t="str">
        <f>CHOOSE(1+LOG(1+2*(J817=$C$2)+4*(J817=$D$2)+8*(J817=$E$2)+16*(J817=$F$2)+32*(J817=$G$2),2),0,1,2,3,4,"S")</f>
        <v>S</v>
      </c>
      <c r="B817">
        <f>IF(OR(A817="S",A817=0),0,IF(ISERROR(I817),H817,SMALL(H817:I817,1)))</f>
        <v>0</v>
      </c>
      <c r="C817">
        <f t="shared" ca="1" si="1001"/>
        <v>10</v>
      </c>
      <c r="D817">
        <f t="shared" ca="1" si="1002"/>
        <v>1</v>
      </c>
      <c r="E817">
        <f t="shared" ca="1" si="1003"/>
        <v>0</v>
      </c>
      <c r="F817">
        <f t="shared" ca="1" si="1004"/>
        <v>0</v>
      </c>
      <c r="G817">
        <f t="shared" ca="1" si="1005"/>
        <v>17</v>
      </c>
      <c r="H817">
        <f ca="1">IF(OR($A817="S",$A817=0),0,MATCH(0,OFFSET($B817,1,$A817,ROW($A$1504)-ROW($A817)),0))</f>
        <v>0</v>
      </c>
      <c r="I817">
        <f ca="1">IF(OR($A817="S",$A817=0),0,MATCH(OFFSET($B817,0,$A817)+1,OFFSET($B817,1,$A817,ROW($A$1504)-ROW($A817)),0))</f>
        <v>0</v>
      </c>
      <c r="J817" s="132" t="s">
        <v>29</v>
      </c>
      <c r="K817" s="121" t="str">
        <f ca="1">IF($A817=0,"-",CONCATENATE(C817&amp;".",IF(AND($A$5&gt;=2,$A817&gt;=2),D817&amp;".",""),IF(AND($A$5&gt;=3,$A817&gt;=3),E817&amp;".",""),IF(AND($A$5&gt;=4,$A817&gt;=4),F817&amp;".",""),IF($A817="S",G817&amp;".","")))</f>
        <v>10.1.17.</v>
      </c>
      <c r="L817" s="137" t="str">
        <f t="shared" ca="1" si="1006"/>
        <v>Cotação</v>
      </c>
      <c r="M817" s="122" t="s">
        <v>80</v>
      </c>
      <c r="N817" s="139" t="s">
        <v>256</v>
      </c>
      <c r="O817" s="137" t="str">
        <f ca="1">IF(NOT(ISERROR($Y817)),IF($Y817&lt;&gt;FALSE,INDEX(Banco,$Y817,5),""),"")</f>
        <v>Instrutor/Monitor (Educação Fisíca)</v>
      </c>
      <c r="P817" s="138" t="str">
        <f t="shared" ca="1" si="1007"/>
        <v>Horas</v>
      </c>
      <c r="Q817" s="134">
        <v>6</v>
      </c>
      <c r="R817" s="124">
        <f t="shared" ca="1" si="1008"/>
        <v>100</v>
      </c>
      <c r="S817" s="136" t="s">
        <v>62</v>
      </c>
      <c r="T817" s="123">
        <f t="shared" ca="1" si="1009"/>
        <v>125</v>
      </c>
      <c r="U817" s="126">
        <f t="shared" ca="1" si="1010"/>
        <v>750</v>
      </c>
      <c r="V817" s="1"/>
      <c r="W817" s="39" t="str">
        <f ca="1">IF(OR($A817=0,$A817="S",$A817&gt;CFF!$A$9),"",MAX(W$11:OFFSET(W817,-1,0))+1)</f>
        <v/>
      </c>
      <c r="X817" s="4" t="str">
        <f t="shared" si="1011"/>
        <v>Serv. Terc.-017</v>
      </c>
      <c r="Y817" s="39">
        <f ca="1">IF(X817&lt;&gt;FALSE,MATCH(X817,OFFSET(Banco,0,0,,1),0))</f>
        <v>97</v>
      </c>
      <c r="Z817" s="1"/>
      <c r="AA817" s="133">
        <f>IF($J817=$G$2,ROUND(IF(ISNUMBER(S817),S817,IF(LEFT(S817,2)="DI",HLOOKUP(S817,DADOS!$T$29:$X$30,2,FALSE),0)),4),"")</f>
        <v>0.25</v>
      </c>
      <c r="AB817" s="2"/>
    </row>
    <row r="818" spans="1:28">
      <c r="A818" t="str">
        <f>CHOOSE(1+LOG(1+2*(J818=$C$2)+4*(J818=$D$2)+8*(J818=$E$2)+16*(J818=$F$2)+32*(J818=$G$2),2),0,1,2,3,4,"S")</f>
        <v>S</v>
      </c>
      <c r="B818">
        <f>IF(OR(A818="S",A818=0),0,IF(ISERROR(I818),H818,SMALL(H818:I818,1)))</f>
        <v>0</v>
      </c>
      <c r="C818">
        <f t="shared" ca="1" si="1001"/>
        <v>10</v>
      </c>
      <c r="D818">
        <f t="shared" ca="1" si="1002"/>
        <v>1</v>
      </c>
      <c r="E818">
        <f t="shared" ca="1" si="1003"/>
        <v>0</v>
      </c>
      <c r="F818">
        <f t="shared" ca="1" si="1004"/>
        <v>0</v>
      </c>
      <c r="G818">
        <f t="shared" ca="1" si="1005"/>
        <v>18</v>
      </c>
      <c r="H818">
        <f ca="1">IF(OR($A818="S",$A818=0),0,MATCH(0,OFFSET($B818,1,$A818,ROW($A$1504)-ROW($A818)),0))</f>
        <v>0</v>
      </c>
      <c r="I818">
        <f ca="1">IF(OR($A818="S",$A818=0),0,MATCH(OFFSET($B818,0,$A818)+1,OFFSET($B818,1,$A818,ROW($A$1504)-ROW($A818)),0))</f>
        <v>0</v>
      </c>
      <c r="J818" s="132" t="s">
        <v>29</v>
      </c>
      <c r="K818" s="121" t="str">
        <f ca="1">IF($A818=0,"-",CONCATENATE(C818&amp;".",IF(AND($A$5&gt;=2,$A818&gt;=2),D818&amp;".",""),IF(AND($A$5&gt;=3,$A818&gt;=3),E818&amp;".",""),IF(AND($A$5&gt;=4,$A818&gt;=4),F818&amp;".",""),IF($A818="S",G818&amp;".","")))</f>
        <v>10.1.18.</v>
      </c>
      <c r="L818" s="137" t="str">
        <f t="shared" ca="1" si="1006"/>
        <v>COREN</v>
      </c>
      <c r="M818" s="122" t="s">
        <v>80</v>
      </c>
      <c r="N818" s="139" t="s">
        <v>261</v>
      </c>
      <c r="O818" s="137" t="str">
        <f ca="1">IF(NOT(ISERROR($Y818)),IF($Y818&lt;&gt;FALSE,INDEX(Banco,$Y818,5),""),"")</f>
        <v>Técnica de Enfermagem (Instrutor)</v>
      </c>
      <c r="P818" s="138" t="str">
        <f t="shared" ca="1" si="1007"/>
        <v>Horas</v>
      </c>
      <c r="Q818" s="134">
        <v>6</v>
      </c>
      <c r="R818" s="124">
        <f t="shared" ca="1" si="1008"/>
        <v>92.65</v>
      </c>
      <c r="S818" s="136" t="s">
        <v>62</v>
      </c>
      <c r="T818" s="123">
        <f t="shared" ca="1" si="1009"/>
        <v>115.81</v>
      </c>
      <c r="U818" s="126">
        <f t="shared" ca="1" si="1010"/>
        <v>694.86</v>
      </c>
      <c r="V818" s="1"/>
      <c r="W818" s="39" t="str">
        <f ca="1">IF(OR($A818=0,$A818="S",$A818&gt;CFF!$A$9),"",MAX(W$11:OFFSET(W818,-1,0))+1)</f>
        <v/>
      </c>
      <c r="X818" s="4" t="str">
        <f t="shared" si="1011"/>
        <v>Serv. Terc.-086</v>
      </c>
      <c r="Y818" s="39">
        <f ca="1">IF(X818&lt;&gt;FALSE,MATCH(X818,OFFSET(Banco,0,0,,1),0))</f>
        <v>166</v>
      </c>
      <c r="Z818" s="1"/>
      <c r="AA818" s="133">
        <f>IF($J818=$G$2,ROUND(IF(ISNUMBER(S818),S818,IF(LEFT(S818,2)="DI",HLOOKUP(S818,DADOS!$T$29:$X$30,2,FALSE),0)),4),"")</f>
        <v>0.25</v>
      </c>
      <c r="AB818" s="2"/>
    </row>
    <row r="819" spans="1:28">
      <c r="A819" t="str">
        <f>CHOOSE(1+LOG(1+2*(J819=$C$2)+4*(J819=$D$2)+8*(J819=$E$2)+16*(J819=$F$2)+32*(J819=$G$2),2),0,1,2,3,4,"S")</f>
        <v>S</v>
      </c>
      <c r="B819">
        <f>IF(OR(A819="S",A819=0),0,IF(ISERROR(I819),H819,SMALL(H819:I819,1)))</f>
        <v>0</v>
      </c>
      <c r="C819">
        <f t="shared" ca="1" si="1001"/>
        <v>10</v>
      </c>
      <c r="D819">
        <f t="shared" ca="1" si="1002"/>
        <v>1</v>
      </c>
      <c r="E819">
        <f t="shared" ca="1" si="1003"/>
        <v>0</v>
      </c>
      <c r="F819">
        <f t="shared" ca="1" si="1004"/>
        <v>0</v>
      </c>
      <c r="G819">
        <f t="shared" ca="1" si="1005"/>
        <v>19</v>
      </c>
      <c r="H819">
        <f ca="1">IF(OR($A819="S",$A819=0),0,MATCH(0,OFFSET($B819,1,$A819,ROW($A$1504)-ROW($A819)),0))</f>
        <v>0</v>
      </c>
      <c r="I819">
        <f ca="1">IF(OR($A819="S",$A819=0),0,MATCH(OFFSET($B819,0,$A819)+1,OFFSET($B819,1,$A819,ROW($A$1504)-ROW($A819)),0))</f>
        <v>0</v>
      </c>
      <c r="J819" s="132" t="s">
        <v>29</v>
      </c>
      <c r="K819" s="121" t="str">
        <f ca="1">IF($A819=0,"-",CONCATENATE(C819&amp;".",IF(AND($A$5&gt;=2,$A819&gt;=2),D819&amp;".",""),IF(AND($A$5&gt;=3,$A819&gt;=3),E819&amp;".",""),IF(AND($A$5&gt;=4,$A819&gt;=4),F819&amp;".",""),IF($A819="S",G819&amp;".","")))</f>
        <v>10.1.19.</v>
      </c>
      <c r="L819" s="137" t="str">
        <f t="shared" ca="1" si="1006"/>
        <v>Cotação</v>
      </c>
      <c r="M819" s="122" t="s">
        <v>80</v>
      </c>
      <c r="N819" s="139" t="s">
        <v>229</v>
      </c>
      <c r="O819" s="137" t="str">
        <f ca="1">IF(NOT(ISERROR($Y819)),IF($Y819&lt;&gt;FALSE,INDEX(Banco,$Y819,5),""),"")</f>
        <v>Arco decorativo de balão (com 200 unidades)</v>
      </c>
      <c r="P819" s="138" t="str">
        <f t="shared" ca="1" si="1007"/>
        <v>Unidade</v>
      </c>
      <c r="Q819" s="134">
        <v>2</v>
      </c>
      <c r="R819" s="124">
        <f t="shared" ca="1" si="1008"/>
        <v>250</v>
      </c>
      <c r="S819" s="136" t="s">
        <v>62</v>
      </c>
      <c r="T819" s="123">
        <f t="shared" ca="1" si="1009"/>
        <v>312.5</v>
      </c>
      <c r="U819" s="126">
        <f t="shared" ca="1" si="1010"/>
        <v>625</v>
      </c>
      <c r="V819" s="1"/>
      <c r="W819" s="39" t="str">
        <f ca="1">IF(OR($A819=0,$A819="S",$A819&gt;CFF!$A$9),"",MAX(W$11:OFFSET(W819,-1,0))+1)</f>
        <v/>
      </c>
      <c r="X819" s="4" t="str">
        <f t="shared" si="1011"/>
        <v>Serv. Terc.-074</v>
      </c>
      <c r="Y819" s="39">
        <f ca="1">IF(X819&lt;&gt;FALSE,MATCH(X819,OFFSET(Banco,0,0,,1),0))</f>
        <v>154</v>
      </c>
      <c r="Z819" s="1"/>
      <c r="AA819" s="133">
        <f>IF($J819=$G$2,ROUND(IF(ISNUMBER(S819),S819,IF(LEFT(S819,2)="DI",HLOOKUP(S819,DADOS!$T$29:$X$30,2,FALSE),0)),4),"")</f>
        <v>0.25</v>
      </c>
      <c r="AB819" s="2"/>
    </row>
    <row r="820" spans="1:28">
      <c r="A820" t="str">
        <f t="shared" ref="A820:A827" si="1021">CHOOSE(1+LOG(1+2*(J820=$C$2)+4*(J820=$D$2)+8*(J820=$E$2)+16*(J820=$F$2)+32*(J820=$G$2),2),0,1,2,3,4,"S")</f>
        <v>S</v>
      </c>
      <c r="B820">
        <f t="shared" ref="B820:B827" si="1022">IF(OR(A820="S",A820=0),0,IF(ISERROR(I820),H820,SMALL(H820:I820,1)))</f>
        <v>0</v>
      </c>
      <c r="C820">
        <f t="shared" ref="C820:C827" ca="1" si="1023">IF($A820=1,OFFSET(C820,-1,0)+1,OFFSET(C820,-1,0))</f>
        <v>10</v>
      </c>
      <c r="D820">
        <f t="shared" ref="D820:D827" ca="1" si="1024">IF($A820=1,0,IF($A820=2,OFFSET(D820,-1,0)+1,OFFSET(D820,-1,0)))</f>
        <v>1</v>
      </c>
      <c r="E820">
        <f t="shared" ref="E820:E827" ca="1" si="1025">IF(AND($A820&lt;=2,$A820&lt;&gt;0),0,IF($A820=3,OFFSET(E820,-1,0)+1,OFFSET(E820,-1,0)))</f>
        <v>0</v>
      </c>
      <c r="F820">
        <f t="shared" ref="F820:F827" ca="1" si="1026">IF(AND($A820&lt;=3,$A820&lt;&gt;0),0,IF($A820=4,OFFSET(F820,-1,0)+1,OFFSET(F820,-1,0)))</f>
        <v>0</v>
      </c>
      <c r="G820">
        <f t="shared" ref="G820:G827" ca="1" si="1027">IF(AND($A820&lt;=4,$A820&lt;&gt;0),0,IF($A820="S",OFFSET(G820,-1,0)+1,OFFSET(G820,-1,0)))</f>
        <v>20</v>
      </c>
      <c r="H820">
        <f ca="1">IF(OR($A820="S",$A820=0),0,MATCH(0,OFFSET($B820,1,$A820,ROW($A$1504)-ROW($A820)),0))</f>
        <v>0</v>
      </c>
      <c r="I820">
        <f ca="1">IF(OR($A820="S",$A820=0),0,MATCH(OFFSET($B820,0,$A820)+1,OFFSET($B820,1,$A820,ROW($A$1504)-ROW($A820)),0))</f>
        <v>0</v>
      </c>
      <c r="J820" s="132" t="s">
        <v>29</v>
      </c>
      <c r="K820" s="121" t="str">
        <f t="shared" ref="K820:K827" ca="1" si="1028">IF($A820=0,"-",CONCATENATE(C820&amp;".",IF(AND($A$5&gt;=2,$A820&gt;=2),D820&amp;".",""),IF(AND($A$5&gt;=3,$A820&gt;=3),E820&amp;".",""),IF(AND($A$5&gt;=4,$A820&gt;=4),F820&amp;".",""),IF($A820="S",G820&amp;".","")))</f>
        <v>10.1.20.</v>
      </c>
      <c r="L820" s="137" t="str">
        <f t="shared" ref="L820:L827" ca="1" si="1029">IF(NOT(ISERROR($Y820)),IF($Y820&lt;&gt;FALSE,INDEX(Banco,$Y820,4),""),"")</f>
        <v>Cotação</v>
      </c>
      <c r="M820" s="122" t="s">
        <v>80</v>
      </c>
      <c r="N820" s="139" t="s">
        <v>217</v>
      </c>
      <c r="O820" s="137" t="str">
        <f t="shared" ref="O820:O827" ca="1" si="1030">IF(NOT(ISERROR($Y820)),IF($Y820&lt;&gt;FALSE,INDEX(Banco,$Y820,5),""),"")</f>
        <v>Locação de carrinho de picolé</v>
      </c>
      <c r="P820" s="138" t="str">
        <f t="shared" ref="P820:P827" ca="1" si="1031">IF(NOT(ISERROR($Y820)),IF($Y820&lt;&gt;FALSE,INDEX(Banco,$Y820,6),""),"")</f>
        <v>Unidade</v>
      </c>
      <c r="Q820" s="134">
        <v>2</v>
      </c>
      <c r="R820" s="124">
        <f t="shared" ref="R820:R827" ca="1" si="1032">IF(NOT(ISERROR($Y820)),IF($Y820&lt;&gt;FALSE,INDEX(Banco,$Y820,7),0),0)</f>
        <v>186</v>
      </c>
      <c r="S820" s="136" t="s">
        <v>62</v>
      </c>
      <c r="T820" s="123">
        <f t="shared" ref="T820:T827" ca="1" si="1033">IF($J820=$G$2,ROUND(ROUND($R820,2)*IF($R$9="Preço Unitário (R$)",1,1+$AA820),2),0)</f>
        <v>232.5</v>
      </c>
      <c r="U820" s="126">
        <f t="shared" ref="U820:U827" ca="1" si="1034">IF($A820="S",VTOTAL1,IF($A820=0,0,ROUND(SomaAgrup,2)))</f>
        <v>465</v>
      </c>
      <c r="V820" s="1"/>
      <c r="W820" s="39" t="str">
        <f ca="1">IF(OR($A820=0,$A820="S",$A820&gt;CFF!$A$9),"",MAX(W$11:OFFSET(W820,-1,0))+1)</f>
        <v/>
      </c>
      <c r="X820" s="4" t="str">
        <f t="shared" ref="X820:X827" si="1035">IF(AND($J820=$G$2,$N820&lt;&gt;"",$M820&lt;&gt;""),CONCATENATE($M820,"-",$N820))</f>
        <v>Serv. Terc.-036</v>
      </c>
      <c r="Y820" s="39">
        <f t="shared" ref="Y820:Y827" ca="1" si="1036">IF(X820&lt;&gt;FALSE,MATCH(X820,OFFSET(Banco,0,0,,1),0))</f>
        <v>116</v>
      </c>
      <c r="Z820" s="1"/>
      <c r="AA820" s="133">
        <f>IF($J820=$G$2,ROUND(IF(ISNUMBER(S820),S820,IF(LEFT(S820,2)="DI",HLOOKUP(S820,DADOS!$T$29:$X$30,2,FALSE),0)),4),"")</f>
        <v>0.25</v>
      </c>
      <c r="AB820" s="2"/>
    </row>
    <row r="821" spans="1:28">
      <c r="A821" t="str">
        <f t="shared" si="1021"/>
        <v>S</v>
      </c>
      <c r="B821">
        <f t="shared" si="1022"/>
        <v>0</v>
      </c>
      <c r="C821">
        <f t="shared" ca="1" si="1023"/>
        <v>10</v>
      </c>
      <c r="D821">
        <f t="shared" ca="1" si="1024"/>
        <v>1</v>
      </c>
      <c r="E821">
        <f t="shared" ca="1" si="1025"/>
        <v>0</v>
      </c>
      <c r="F821">
        <f t="shared" ca="1" si="1026"/>
        <v>0</v>
      </c>
      <c r="G821">
        <f t="shared" ca="1" si="1027"/>
        <v>21</v>
      </c>
      <c r="H821">
        <f ca="1">IF(OR($A821="S",$A821=0),0,MATCH(0,OFFSET($B821,1,$A821,ROW($A$1504)-ROW($A821)),0))</f>
        <v>0</v>
      </c>
      <c r="I821">
        <f ca="1">IF(OR($A821="S",$A821=0),0,MATCH(OFFSET($B821,0,$A821)+1,OFFSET($B821,1,$A821,ROW($A$1504)-ROW($A821)),0))</f>
        <v>0</v>
      </c>
      <c r="J821" s="132" t="s">
        <v>29</v>
      </c>
      <c r="K821" s="121" t="str">
        <f t="shared" ca="1" si="1028"/>
        <v>10.1.21.</v>
      </c>
      <c r="L821" s="137" t="str">
        <f t="shared" ca="1" si="1029"/>
        <v>Cotação</v>
      </c>
      <c r="M821" s="122" t="s">
        <v>80</v>
      </c>
      <c r="N821" s="139" t="s">
        <v>218</v>
      </c>
      <c r="O821" s="137" t="str">
        <f t="shared" ca="1" si="1030"/>
        <v>Locação carrinho de pipoca</v>
      </c>
      <c r="P821" s="138" t="str">
        <f t="shared" ca="1" si="1031"/>
        <v>Unidade</v>
      </c>
      <c r="Q821" s="134">
        <v>2</v>
      </c>
      <c r="R821" s="124">
        <f t="shared" ca="1" si="1032"/>
        <v>190</v>
      </c>
      <c r="S821" s="136" t="s">
        <v>62</v>
      </c>
      <c r="T821" s="123">
        <f t="shared" ca="1" si="1033"/>
        <v>237.5</v>
      </c>
      <c r="U821" s="126">
        <f t="shared" ca="1" si="1034"/>
        <v>475</v>
      </c>
      <c r="V821" s="1"/>
      <c r="W821" s="39" t="str">
        <f ca="1">IF(OR($A821=0,$A821="S",$A821&gt;CFF!$A$9),"",MAX(W$11:OFFSET(W821,-1,0))+1)</f>
        <v/>
      </c>
      <c r="X821" s="4" t="str">
        <f t="shared" si="1035"/>
        <v>Serv. Terc.-037</v>
      </c>
      <c r="Y821" s="39">
        <f t="shared" ca="1" si="1036"/>
        <v>117</v>
      </c>
      <c r="Z821" s="1"/>
      <c r="AA821" s="133">
        <f>IF($J821=$G$2,ROUND(IF(ISNUMBER(S821),S821,IF(LEFT(S821,2)="DI",HLOOKUP(S821,DADOS!$T$29:$X$30,2,FALSE),0)),4),"")</f>
        <v>0.25</v>
      </c>
      <c r="AB821" s="2"/>
    </row>
    <row r="822" spans="1:28">
      <c r="A822" t="str">
        <f t="shared" si="1021"/>
        <v>S</v>
      </c>
      <c r="B822">
        <f t="shared" si="1022"/>
        <v>0</v>
      </c>
      <c r="C822">
        <f t="shared" ca="1" si="1023"/>
        <v>10</v>
      </c>
      <c r="D822">
        <f t="shared" ca="1" si="1024"/>
        <v>1</v>
      </c>
      <c r="E822">
        <f t="shared" ca="1" si="1025"/>
        <v>0</v>
      </c>
      <c r="F822">
        <f t="shared" ca="1" si="1026"/>
        <v>0</v>
      </c>
      <c r="G822">
        <f t="shared" ca="1" si="1027"/>
        <v>22</v>
      </c>
      <c r="H822">
        <f ca="1">IF(OR($A822="S",$A822=0),0,MATCH(0,OFFSET($B822,1,$A822,ROW($A$1504)-ROW($A822)),0))</f>
        <v>0</v>
      </c>
      <c r="I822">
        <f ca="1">IF(OR($A822="S",$A822=0),0,MATCH(OFFSET($B822,0,$A822)+1,OFFSET($B822,1,$A822,ROW($A$1504)-ROW($A822)),0))</f>
        <v>0</v>
      </c>
      <c r="J822" s="132" t="s">
        <v>29</v>
      </c>
      <c r="K822" s="121" t="str">
        <f t="shared" ca="1" si="1028"/>
        <v>10.1.22.</v>
      </c>
      <c r="L822" s="137" t="str">
        <f t="shared" ca="1" si="1029"/>
        <v>Cotação</v>
      </c>
      <c r="M822" s="122" t="s">
        <v>80</v>
      </c>
      <c r="N822" s="139" t="s">
        <v>219</v>
      </c>
      <c r="O822" s="137" t="str">
        <f t="shared" ca="1" si="1030"/>
        <v>Locação carrinho de algodão doce</v>
      </c>
      <c r="P822" s="138" t="str">
        <f t="shared" ca="1" si="1031"/>
        <v>Unidade</v>
      </c>
      <c r="Q822" s="134">
        <v>2</v>
      </c>
      <c r="R822" s="124">
        <f t="shared" ca="1" si="1032"/>
        <v>200</v>
      </c>
      <c r="S822" s="136" t="s">
        <v>62</v>
      </c>
      <c r="T822" s="123">
        <f t="shared" ca="1" si="1033"/>
        <v>250</v>
      </c>
      <c r="U822" s="126">
        <f t="shared" ca="1" si="1034"/>
        <v>500</v>
      </c>
      <c r="V822" s="1"/>
      <c r="W822" s="39" t="str">
        <f ca="1">IF(OR($A822=0,$A822="S",$A822&gt;CFF!$A$9),"",MAX(W$11:OFFSET(W822,-1,0))+1)</f>
        <v/>
      </c>
      <c r="X822" s="4" t="str">
        <f t="shared" si="1035"/>
        <v>Serv. Terc.-038</v>
      </c>
      <c r="Y822" s="39">
        <f t="shared" ca="1" si="1036"/>
        <v>118</v>
      </c>
      <c r="Z822" s="1"/>
      <c r="AA822" s="133">
        <f>IF($J822=$G$2,ROUND(IF(ISNUMBER(S822),S822,IF(LEFT(S822,2)="DI",HLOOKUP(S822,DADOS!$T$29:$X$30,2,FALSE),0)),4),"")</f>
        <v>0.25</v>
      </c>
      <c r="AB822" s="2"/>
    </row>
    <row r="823" spans="1:28">
      <c r="A823" t="str">
        <f t="shared" si="1021"/>
        <v>S</v>
      </c>
      <c r="B823">
        <f t="shared" si="1022"/>
        <v>0</v>
      </c>
      <c r="C823">
        <f t="shared" ca="1" si="1023"/>
        <v>10</v>
      </c>
      <c r="D823">
        <f t="shared" ca="1" si="1024"/>
        <v>1</v>
      </c>
      <c r="E823">
        <f t="shared" ca="1" si="1025"/>
        <v>0</v>
      </c>
      <c r="F823">
        <f t="shared" ca="1" si="1026"/>
        <v>0</v>
      </c>
      <c r="G823">
        <f t="shared" ca="1" si="1027"/>
        <v>23</v>
      </c>
      <c r="H823">
        <f ca="1">IF(OR($A823="S",$A823=0),0,MATCH(0,OFFSET($B823,1,$A823,ROW($A$1504)-ROW($A823)),0))</f>
        <v>0</v>
      </c>
      <c r="I823">
        <f ca="1">IF(OR($A823="S",$A823=0),0,MATCH(OFFSET($B823,0,$A823)+1,OFFSET($B823,1,$A823,ROW($A$1504)-ROW($A823)),0))</f>
        <v>0</v>
      </c>
      <c r="J823" s="132" t="s">
        <v>29</v>
      </c>
      <c r="K823" s="121" t="str">
        <f t="shared" ca="1" si="1028"/>
        <v>10.1.23.</v>
      </c>
      <c r="L823" s="137" t="str">
        <f t="shared" ca="1" si="1029"/>
        <v>Cotação</v>
      </c>
      <c r="M823" s="122" t="s">
        <v>80</v>
      </c>
      <c r="N823" s="139" t="s">
        <v>220</v>
      </c>
      <c r="O823" s="137" t="str">
        <f t="shared" ca="1" si="1030"/>
        <v>Locação carrinho de cachorro quente</v>
      </c>
      <c r="P823" s="138" t="str">
        <f t="shared" ca="1" si="1031"/>
        <v>Unidade</v>
      </c>
      <c r="Q823" s="134">
        <v>2</v>
      </c>
      <c r="R823" s="124">
        <f t="shared" ca="1" si="1032"/>
        <v>250</v>
      </c>
      <c r="S823" s="136" t="s">
        <v>62</v>
      </c>
      <c r="T823" s="123">
        <f t="shared" ca="1" si="1033"/>
        <v>312.5</v>
      </c>
      <c r="U823" s="126">
        <f t="shared" ca="1" si="1034"/>
        <v>625</v>
      </c>
      <c r="V823" s="1"/>
      <c r="W823" s="39" t="str">
        <f ca="1">IF(OR($A823=0,$A823="S",$A823&gt;CFF!$A$9),"",MAX(W$11:OFFSET(W823,-1,0))+1)</f>
        <v/>
      </c>
      <c r="X823" s="4" t="str">
        <f t="shared" si="1035"/>
        <v>Serv. Terc.-039</v>
      </c>
      <c r="Y823" s="39">
        <f t="shared" ca="1" si="1036"/>
        <v>119</v>
      </c>
      <c r="Z823" s="1"/>
      <c r="AA823" s="133">
        <f>IF($J823=$G$2,ROUND(IF(ISNUMBER(S823),S823,IF(LEFT(S823,2)="DI",HLOOKUP(S823,DADOS!$T$29:$X$30,2,FALSE),0)),4),"")</f>
        <v>0.25</v>
      </c>
      <c r="AB823" s="2"/>
    </row>
    <row r="824" spans="1:28">
      <c r="A824" t="str">
        <f t="shared" si="1021"/>
        <v>S</v>
      </c>
      <c r="B824">
        <f t="shared" si="1022"/>
        <v>0</v>
      </c>
      <c r="C824">
        <f t="shared" ca="1" si="1023"/>
        <v>10</v>
      </c>
      <c r="D824">
        <f t="shared" ca="1" si="1024"/>
        <v>1</v>
      </c>
      <c r="E824">
        <f t="shared" ca="1" si="1025"/>
        <v>0</v>
      </c>
      <c r="F824">
        <f t="shared" ca="1" si="1026"/>
        <v>0</v>
      </c>
      <c r="G824">
        <f t="shared" ca="1" si="1027"/>
        <v>24</v>
      </c>
      <c r="H824">
        <f ca="1">IF(OR($A824="S",$A824=0),0,MATCH(0,OFFSET($B824,1,$A824,ROW($A$1504)-ROW($A824)),0))</f>
        <v>0</v>
      </c>
      <c r="I824">
        <f ca="1">IF(OR($A824="S",$A824=0),0,MATCH(OFFSET($B824,0,$A824)+1,OFFSET($B824,1,$A824,ROW($A$1504)-ROW($A824)),0))</f>
        <v>0</v>
      </c>
      <c r="J824" s="132" t="s">
        <v>29</v>
      </c>
      <c r="K824" s="121" t="str">
        <f t="shared" ca="1" si="1028"/>
        <v>10.1.24.</v>
      </c>
      <c r="L824" s="137" t="str">
        <f t="shared" ca="1" si="1029"/>
        <v>Cotação</v>
      </c>
      <c r="M824" s="122" t="s">
        <v>79</v>
      </c>
      <c r="N824" s="139" t="s">
        <v>170</v>
      </c>
      <c r="O824" s="137" t="str">
        <f t="shared" ca="1" si="1030"/>
        <v>Saco de lixo (100 litros)</v>
      </c>
      <c r="P824" s="138" t="str">
        <f t="shared" ca="1" si="1031"/>
        <v>Pacote</v>
      </c>
      <c r="Q824" s="134">
        <v>4</v>
      </c>
      <c r="R824" s="124">
        <f t="shared" ca="1" si="1032"/>
        <v>15</v>
      </c>
      <c r="S824" s="136" t="s">
        <v>62</v>
      </c>
      <c r="T824" s="123">
        <f t="shared" ca="1" si="1033"/>
        <v>18.75</v>
      </c>
      <c r="U824" s="126">
        <f t="shared" ca="1" si="1034"/>
        <v>75</v>
      </c>
      <c r="V824" s="1"/>
      <c r="W824" s="39" t="str">
        <f ca="1">IF(OR($A824=0,$A824="S",$A824&gt;CFF!$A$9),"",MAX(W$11:OFFSET(W824,-1,0))+1)</f>
        <v/>
      </c>
      <c r="X824" s="4" t="str">
        <f t="shared" si="1035"/>
        <v>Rec. Materiais-026</v>
      </c>
      <c r="Y824" s="39">
        <f t="shared" ca="1" si="1036"/>
        <v>35</v>
      </c>
      <c r="Z824" s="1"/>
      <c r="AA824" s="133">
        <f>IF($J824=$G$2,ROUND(IF(ISNUMBER(S824),S824,IF(LEFT(S824,2)="DI",HLOOKUP(S824,DADOS!$T$29:$X$30,2,FALSE),0)),4),"")</f>
        <v>0.25</v>
      </c>
      <c r="AB824" s="2"/>
    </row>
    <row r="825" spans="1:28">
      <c r="A825" t="str">
        <f>CHOOSE(1+LOG(1+2*(J825=$C$2)+4*(J825=$D$2)+8*(J825=$E$2)+16*(J825=$F$2)+32*(J825=$G$2),2),0,1,2,3,4,"S")</f>
        <v>S</v>
      </c>
      <c r="B825">
        <f>IF(OR(A825="S",A825=0),0,IF(ISERROR(I825),H825,SMALL(H825:I825,1)))</f>
        <v>0</v>
      </c>
      <c r="C825">
        <f ca="1">IF($A825=1,OFFSET(C825,-1,0)+1,OFFSET(C825,-1,0))</f>
        <v>10</v>
      </c>
      <c r="D825">
        <f ca="1">IF($A825=1,0,IF($A825=2,OFFSET(D825,-1,0)+1,OFFSET(D825,-1,0)))</f>
        <v>1</v>
      </c>
      <c r="E825">
        <f ca="1">IF(AND($A825&lt;=2,$A825&lt;&gt;0),0,IF($A825=3,OFFSET(E825,-1,0)+1,OFFSET(E825,-1,0)))</f>
        <v>0</v>
      </c>
      <c r="F825">
        <f ca="1">IF(AND($A825&lt;=3,$A825&lt;&gt;0),0,IF($A825=4,OFFSET(F825,-1,0)+1,OFFSET(F825,-1,0)))</f>
        <v>0</v>
      </c>
      <c r="G825">
        <f ca="1">IF(AND($A825&lt;=4,$A825&lt;&gt;0),0,IF($A825="S",OFFSET(G825,-1,0)+1,OFFSET(G825,-1,0)))</f>
        <v>25</v>
      </c>
      <c r="H825">
        <f ca="1">IF(OR($A825="S",$A825=0),0,MATCH(0,OFFSET($B825,1,$A825,ROW($A$1504)-ROW($A825)),0))</f>
        <v>0</v>
      </c>
      <c r="I825">
        <f ca="1">IF(OR($A825="S",$A825=0),0,MATCH(OFFSET($B825,0,$A825)+1,OFFSET($B825,1,$A825,ROW($A$1504)-ROW($A825)),0))</f>
        <v>0</v>
      </c>
      <c r="J825" s="132" t="s">
        <v>29</v>
      </c>
      <c r="K825" s="121" t="str">
        <f ca="1">IF($A825=0,"-",CONCATENATE(C825&amp;".",IF(AND($A$5&gt;=2,$A825&gt;=2),D825&amp;".",""),IF(AND($A$5&gt;=3,$A825&gt;=3),E825&amp;".",""),IF(AND($A$5&gt;=4,$A825&gt;=4),F825&amp;".",""),IF($A825="S",G825&amp;".","")))</f>
        <v>10.1.25.</v>
      </c>
      <c r="L825" s="137" t="str">
        <f ca="1">IF(NOT(ISERROR($Y825)),IF($Y825&lt;&gt;FALSE,INDEX(Banco,$Y825,4),""),"")</f>
        <v>Cotação</v>
      </c>
      <c r="M825" s="122" t="s">
        <v>79</v>
      </c>
      <c r="N825" s="139" t="s">
        <v>152</v>
      </c>
      <c r="O825" s="137" t="str">
        <f ca="1">IF(NOT(ISERROR($Y825)),IF($Y825&lt;&gt;FALSE,INDEX(Banco,$Y825,5),""),"")</f>
        <v>Toner para impressora</v>
      </c>
      <c r="P825" s="138" t="str">
        <f ca="1">IF(NOT(ISERROR($Y825)),IF($Y825&lt;&gt;FALSE,INDEX(Banco,$Y825,6),""),"")</f>
        <v>Unidade</v>
      </c>
      <c r="Q825" s="134">
        <v>4</v>
      </c>
      <c r="R825" s="124">
        <f ca="1">IF(NOT(ISERROR($Y825)),IF($Y825&lt;&gt;FALSE,INDEX(Banco,$Y825,7),0),0)</f>
        <v>180</v>
      </c>
      <c r="S825" s="136" t="s">
        <v>62</v>
      </c>
      <c r="T825" s="123">
        <f ca="1">IF($J825=$G$2,ROUND(ROUND($R825,2)*IF($R$9="Preço Unitário (R$)",1,1+$AA825),2),0)</f>
        <v>225</v>
      </c>
      <c r="U825" s="126">
        <f ca="1">IF($A825="S",VTOTAL1,IF($A825=0,0,ROUND(SomaAgrup,2)))</f>
        <v>900</v>
      </c>
      <c r="V825" s="1"/>
      <c r="W825" s="39" t="str">
        <f ca="1">IF(OR($A825=0,$A825="S",$A825&gt;CFF!$A$9),"",MAX(W$11:OFFSET(W825,-1,0))+1)</f>
        <v/>
      </c>
      <c r="X825" s="4" t="str">
        <f>IF(AND($J825=$G$2,$N825&lt;&gt;"",$M825&lt;&gt;""),CONCATENATE($M825,"-",$N825))</f>
        <v>Rec. Materiais-002</v>
      </c>
      <c r="Y825" s="39">
        <f ca="1">IF(X825&lt;&gt;FALSE,MATCH(X825,OFFSET(Banco,0,0,,1),0))</f>
        <v>11</v>
      </c>
      <c r="Z825" s="1"/>
      <c r="AA825" s="133">
        <f>IF($J825=$G$2,ROUND(IF(ISNUMBER(S825),S825,IF(LEFT(S825,2)="DI",HLOOKUP(S825,DADOS!$T$29:$X$30,2,FALSE),0)),4),"")</f>
        <v>0.25</v>
      </c>
      <c r="AB825" s="2"/>
    </row>
    <row r="826" spans="1:28">
      <c r="A826" t="str">
        <f>CHOOSE(1+LOG(1+2*(J826=$C$2)+4*(J826=$D$2)+8*(J826=$E$2)+16*(J826=$F$2)+32*(J826=$G$2),2),0,1,2,3,4,"S")</f>
        <v>S</v>
      </c>
      <c r="B826">
        <f>IF(OR(A826="S",A826=0),0,IF(ISERROR(I826),H826,SMALL(H826:I826,1)))</f>
        <v>0</v>
      </c>
      <c r="C826">
        <f ca="1">IF($A826=1,OFFSET(C826,-1,0)+1,OFFSET(C826,-1,0))</f>
        <v>10</v>
      </c>
      <c r="D826">
        <f ca="1">IF($A826=1,0,IF($A826=2,OFFSET(D826,-1,0)+1,OFFSET(D826,-1,0)))</f>
        <v>1</v>
      </c>
      <c r="E826">
        <f ca="1">IF(AND($A826&lt;=2,$A826&lt;&gt;0),0,IF($A826=3,OFFSET(E826,-1,0)+1,OFFSET(E826,-1,0)))</f>
        <v>0</v>
      </c>
      <c r="F826">
        <f ca="1">IF(AND($A826&lt;=3,$A826&lt;&gt;0),0,IF($A826=4,OFFSET(F826,-1,0)+1,OFFSET(F826,-1,0)))</f>
        <v>0</v>
      </c>
      <c r="G826">
        <f ca="1">IF(AND($A826&lt;=4,$A826&lt;&gt;0),0,IF($A826="S",OFFSET(G826,-1,0)+1,OFFSET(G826,-1,0)))</f>
        <v>26</v>
      </c>
      <c r="H826">
        <f ca="1">IF(OR($A826="S",$A826=0),0,MATCH(0,OFFSET($B826,1,$A826,ROW($A$1504)-ROW($A826)),0))</f>
        <v>0</v>
      </c>
      <c r="I826">
        <f ca="1">IF(OR($A826="S",$A826=0),0,MATCH(OFFSET($B826,0,$A826)+1,OFFSET($B826,1,$A826,ROW($A$1504)-ROW($A826)),0))</f>
        <v>0</v>
      </c>
      <c r="J826" s="132" t="s">
        <v>29</v>
      </c>
      <c r="K826" s="121" t="str">
        <f ca="1">IF($A826=0,"-",CONCATENATE(C826&amp;".",IF(AND($A$5&gt;=2,$A826&gt;=2),D826&amp;".",""),IF(AND($A$5&gt;=3,$A826&gt;=3),E826&amp;".",""),IF(AND($A$5&gt;=4,$A826&gt;=4),F826&amp;".",""),IF($A826="S",G826&amp;".","")))</f>
        <v>10.1.26.</v>
      </c>
      <c r="L826" s="137" t="str">
        <f ca="1">IF(NOT(ISERROR($Y826)),IF($Y826&lt;&gt;FALSE,INDEX(Banco,$Y826,4),""),"")</f>
        <v>Cotação</v>
      </c>
      <c r="M826" s="122" t="s">
        <v>79</v>
      </c>
      <c r="N826" s="139" t="s">
        <v>149</v>
      </c>
      <c r="O826" s="137" t="str">
        <f ca="1">IF(NOT(ISERROR($Y826)),IF($Y826&lt;&gt;FALSE,INDEX(Banco,$Y826,5),""),"")</f>
        <v>Papel A4</v>
      </c>
      <c r="P826" s="138" t="str">
        <f ca="1">IF(NOT(ISERROR($Y826)),IF($Y826&lt;&gt;FALSE,INDEX(Banco,$Y826,6),""),"")</f>
        <v>Resma</v>
      </c>
      <c r="Q826" s="134">
        <v>1</v>
      </c>
      <c r="R826" s="124">
        <f ca="1">IF(NOT(ISERROR($Y826)),IF($Y826&lt;&gt;FALSE,INDEX(Banco,$Y826,7),0),0)</f>
        <v>28</v>
      </c>
      <c r="S826" s="136" t="s">
        <v>62</v>
      </c>
      <c r="T826" s="123">
        <f ca="1">IF($J826=$G$2,ROUND(ROUND($R826,2)*IF($R$9="Preço Unitário (R$)",1,1+$AA826),2),0)</f>
        <v>35</v>
      </c>
      <c r="U826" s="126">
        <f ca="1">IF($A826="S",VTOTAL1,IF($A826=0,0,ROUND(SomaAgrup,2)))</f>
        <v>35</v>
      </c>
      <c r="V826" s="1"/>
      <c r="W826" s="39" t="str">
        <f ca="1">IF(OR($A826=0,$A826="S",$A826&gt;CFF!$A$9),"",MAX(W$11:OFFSET(W826,-1,0))+1)</f>
        <v/>
      </c>
      <c r="X826" s="4" t="str">
        <f>IF(AND($J826=$G$2,$N826&lt;&gt;"",$M826&lt;&gt;""),CONCATENATE($M826,"-",$N826))</f>
        <v>Rec. Materiais-001</v>
      </c>
      <c r="Y826" s="39">
        <f ca="1">IF(X826&lt;&gt;FALSE,MATCH(X826,OFFSET(Banco,0,0,,1),0))</f>
        <v>10</v>
      </c>
      <c r="Z826" s="1"/>
      <c r="AA826" s="133">
        <f>IF($J826=$G$2,ROUND(IF(ISNUMBER(S826),S826,IF(LEFT(S826,2)="DI",HLOOKUP(S826,DADOS!$T$29:$X$30,2,FALSE),0)),4),"")</f>
        <v>0.25</v>
      </c>
      <c r="AB826" s="2"/>
    </row>
    <row r="827" spans="1:28">
      <c r="A827" t="str">
        <f t="shared" si="1021"/>
        <v>S</v>
      </c>
      <c r="B827">
        <f t="shared" si="1022"/>
        <v>0</v>
      </c>
      <c r="C827">
        <f t="shared" ca="1" si="1023"/>
        <v>10</v>
      </c>
      <c r="D827">
        <f t="shared" ca="1" si="1024"/>
        <v>1</v>
      </c>
      <c r="E827">
        <f t="shared" ca="1" si="1025"/>
        <v>0</v>
      </c>
      <c r="F827">
        <f t="shared" ca="1" si="1026"/>
        <v>0</v>
      </c>
      <c r="G827">
        <f t="shared" ca="1" si="1027"/>
        <v>27</v>
      </c>
      <c r="H827">
        <f ca="1">IF(OR($A827="S",$A827=0),0,MATCH(0,OFFSET($B827,1,$A827,ROW($A$1504)-ROW($A827)),0))</f>
        <v>0</v>
      </c>
      <c r="I827">
        <f ca="1">IF(OR($A827="S",$A827=0),0,MATCH(OFFSET($B827,0,$A827)+1,OFFSET($B827,1,$A827,ROW($A$1504)-ROW($A827)),0))</f>
        <v>0</v>
      </c>
      <c r="J827" s="132" t="s">
        <v>29</v>
      </c>
      <c r="K827" s="121" t="str">
        <f t="shared" ca="1" si="1028"/>
        <v>10.1.27.</v>
      </c>
      <c r="L827" s="137" t="str">
        <f t="shared" ca="1" si="1029"/>
        <v>Cotação</v>
      </c>
      <c r="M827" s="122" t="s">
        <v>79</v>
      </c>
      <c r="N827" s="139" t="s">
        <v>164</v>
      </c>
      <c r="O827" s="137" t="str">
        <f t="shared" ca="1" si="1030"/>
        <v>Copos descartáveis (2500 unidades)</v>
      </c>
      <c r="P827" s="138" t="str">
        <f t="shared" ca="1" si="1031"/>
        <v>Caixa</v>
      </c>
      <c r="Q827" s="134">
        <v>1</v>
      </c>
      <c r="R827" s="124">
        <f t="shared" ca="1" si="1032"/>
        <v>77.400000000000006</v>
      </c>
      <c r="S827" s="136" t="s">
        <v>62</v>
      </c>
      <c r="T827" s="123">
        <f t="shared" ca="1" si="1033"/>
        <v>96.75</v>
      </c>
      <c r="U827" s="126">
        <f t="shared" ca="1" si="1034"/>
        <v>96.75</v>
      </c>
      <c r="V827" s="1"/>
      <c r="W827" s="39" t="str">
        <f ca="1">IF(OR($A827=0,$A827="S",$A827&gt;CFF!$A$9),"",MAX(W$11:OFFSET(W827,-1,0))+1)</f>
        <v/>
      </c>
      <c r="X827" s="4" t="str">
        <f t="shared" si="1035"/>
        <v>Rec. Materiais-019</v>
      </c>
      <c r="Y827" s="39">
        <f t="shared" ca="1" si="1036"/>
        <v>28</v>
      </c>
      <c r="Z827" s="1"/>
      <c r="AA827" s="133">
        <f>IF($J827=$G$2,ROUND(IF(ISNUMBER(S827),S827,IF(LEFT(S827,2)="DI",HLOOKUP(S827,DADOS!$T$29:$X$30,2,FALSE),0)),4),"")</f>
        <v>0.25</v>
      </c>
      <c r="AB827" s="2"/>
    </row>
    <row r="828" spans="1:28">
      <c r="A828">
        <f>CHOOSE(1+LOG(1+2*(J828=$C$2)+4*(J828=$D$2)+8*(J828=$E$2)+16*(J828=$F$2)+32*(J828=$G$2),2),0,1,2,3,4,"S")</f>
        <v>2</v>
      </c>
      <c r="B828">
        <f ca="1">IF(OR(A828="S",A828=0),0,IF(ISERROR(I828),H828,SMALL(H828:I828,1)))</f>
        <v>3</v>
      </c>
      <c r="C828">
        <f ca="1">IF($A828=1,OFFSET(C828,-1,0)+1,OFFSET(C828,-1,0))</f>
        <v>10</v>
      </c>
      <c r="D828">
        <f ca="1">IF($A828=1,0,IF($A828=2,OFFSET(D828,-1,0)+1,OFFSET(D828,-1,0)))</f>
        <v>2</v>
      </c>
      <c r="E828">
        <f ca="1">IF(AND($A828&lt;=2,$A828&lt;&gt;0),0,IF($A828=3,OFFSET(E828,-1,0)+1,OFFSET(E828,-1,0)))</f>
        <v>0</v>
      </c>
      <c r="F828">
        <f ca="1">IF(AND($A828&lt;=3,$A828&lt;&gt;0),0,IF($A828=4,OFFSET(F828,-1,0)+1,OFFSET(F828,-1,0)))</f>
        <v>0</v>
      </c>
      <c r="G828">
        <f ca="1">IF(AND($A828&lt;=4,$A828&lt;&gt;0),0,IF($A828="S",OFFSET(G828,-1,0)+1,OFFSET(G828,-1,0)))</f>
        <v>0</v>
      </c>
      <c r="H828">
        <f ca="1">IF(OR($A828="S",$A828=0),0,MATCH(0,OFFSET($B828,1,$A828,ROW($A$1504)-ROW($A828)),0))</f>
        <v>116</v>
      </c>
      <c r="I828">
        <f ca="1">IF(OR($A828="S",$A828=0),0,MATCH(OFFSET($B828,0,$A828)+1,OFFSET($B828,1,$A828,ROW($A$1504)-ROW($A828)),0))</f>
        <v>3</v>
      </c>
      <c r="J828" s="132" t="s">
        <v>68</v>
      </c>
      <c r="K828" s="121" t="str">
        <f ca="1">IF($A828=0,"-",CONCATENATE(C828&amp;".",IF(AND($A$5&gt;=2,$A828&gt;=2),D828&amp;".",""),IF(AND($A$5&gt;=3,$A828&gt;=3),E828&amp;".",""),IF(AND($A$5&gt;=4,$A828&gt;=4),F828&amp;".",""),IF($A828="S",G828&amp;".","")))</f>
        <v>10.2.</v>
      </c>
      <c r="L828" s="137" t="str">
        <f ca="1">IF(NOT(ISERROR($Y828)),IF($Y828&lt;&gt;FALSE,INDEX(Banco,$Y828,4),""),"")</f>
        <v/>
      </c>
      <c r="M828" s="122"/>
      <c r="N828" s="139"/>
      <c r="O828" s="137" t="s">
        <v>412</v>
      </c>
      <c r="P828" s="138" t="str">
        <f ca="1">IF(NOT(ISERROR($Y828)),IF($Y828&lt;&gt;FALSE,INDEX(Banco,$Y828,6),""),"")</f>
        <v/>
      </c>
      <c r="Q828" s="134"/>
      <c r="R828" s="124">
        <f ca="1">IF(NOT(ISERROR($Y828)),IF($Y828&lt;&gt;FALSE,INDEX(Banco,$Y828,7),0),0)</f>
        <v>0</v>
      </c>
      <c r="S828" s="136" t="s">
        <v>62</v>
      </c>
      <c r="T828" s="123">
        <f>IF($J828=$G$2,ROUND(ROUND($R828,2)*IF($R$9="Preço Unitário (R$)",1,1+$AA828),2),0)</f>
        <v>0</v>
      </c>
      <c r="U828" s="126">
        <f ca="1">IF($A828="S",VTOTAL1,IF($A828=0,0,ROUND(SomaAgrup,2)))</f>
        <v>3427.56</v>
      </c>
      <c r="V828" s="1"/>
      <c r="W828" s="39">
        <f ca="1">IF(OR($A828=0,$A828="S",$A828&gt;CFF!$A$9),"",MAX(W$11:OFFSET(W828,-1,0))+1)</f>
        <v>75</v>
      </c>
      <c r="X828" s="4" t="b">
        <f>IF(AND($J828=$G$2,$N828&lt;&gt;"",$M828&lt;&gt;""),CONCATENATE($M828,"-",$N828))</f>
        <v>0</v>
      </c>
      <c r="Y828" s="39" t="b">
        <f ca="1">IF(X828&lt;&gt;FALSE,MATCH(X828,OFFSET(Banco,0,0,,1),0))</f>
        <v>0</v>
      </c>
      <c r="Z828" s="1"/>
      <c r="AA828" s="133" t="str">
        <f>IF($J828=$G$2,ROUND(IF(ISNUMBER(S828),S828,IF(LEFT(S828,2)="DI",HLOOKUP(S828,DADOS!$T$29:$X$30,2,FALSE),0)),4),"")</f>
        <v/>
      </c>
      <c r="AB828" s="2"/>
    </row>
    <row r="829" spans="1:28">
      <c r="A829" t="str">
        <f t="shared" ref="A829:A835" si="1037">CHOOSE(1+LOG(1+2*(J829=$C$2)+4*(J829=$D$2)+8*(J829=$E$2)+16*(J829=$F$2)+32*(J829=$G$2),2),0,1,2,3,4,"S")</f>
        <v>S</v>
      </c>
      <c r="B829">
        <f t="shared" ref="B829:B835" si="1038">IF(OR(A829="S",A829=0),0,IF(ISERROR(I829),H829,SMALL(H829:I829,1)))</f>
        <v>0</v>
      </c>
      <c r="C829">
        <f t="shared" ref="C829:C830" ca="1" si="1039">IF($A829=1,OFFSET(C829,-1,0)+1,OFFSET(C829,-1,0))</f>
        <v>10</v>
      </c>
      <c r="D829">
        <f t="shared" ref="D829:D830" ca="1" si="1040">IF($A829=1,0,IF($A829=2,OFFSET(D829,-1,0)+1,OFFSET(D829,-1,0)))</f>
        <v>2</v>
      </c>
      <c r="E829">
        <f t="shared" ref="E829:E830" ca="1" si="1041">IF(AND($A829&lt;=2,$A829&lt;&gt;0),0,IF($A829=3,OFFSET(E829,-1,0)+1,OFFSET(E829,-1,0)))</f>
        <v>0</v>
      </c>
      <c r="F829">
        <f t="shared" ref="F829:F830" ca="1" si="1042">IF(AND($A829&lt;=3,$A829&lt;&gt;0),0,IF($A829=4,OFFSET(F829,-1,0)+1,OFFSET(F829,-1,0)))</f>
        <v>0</v>
      </c>
      <c r="G829">
        <f t="shared" ref="G829:G830" ca="1" si="1043">IF(AND($A829&lt;=4,$A829&lt;&gt;0),0,IF($A829="S",OFFSET(G829,-1,0)+1,OFFSET(G829,-1,0)))</f>
        <v>1</v>
      </c>
      <c r="H829">
        <f ca="1">IF(OR($A829="S",$A829=0),0,MATCH(0,OFFSET($B829,1,$A829,ROW($A$1504)-ROW($A829)),0))</f>
        <v>0</v>
      </c>
      <c r="I829">
        <f ca="1">IF(OR($A829="S",$A829=0),0,MATCH(OFFSET($B829,0,$A829)+1,OFFSET($B829,1,$A829,ROW($A$1504)-ROW($A829)),0))</f>
        <v>0</v>
      </c>
      <c r="J829" s="132" t="s">
        <v>29</v>
      </c>
      <c r="K829" s="121" t="str">
        <f t="shared" ref="K829:K835" ca="1" si="1044">IF($A829=0,"-",CONCATENATE(C829&amp;".",IF(AND($A$5&gt;=2,$A829&gt;=2),D829&amp;".",""),IF(AND($A$5&gt;=3,$A829&gt;=3),E829&amp;".",""),IF(AND($A$5&gt;=4,$A829&gt;=4),F829&amp;".",""),IF($A829="S",G829&amp;".","")))</f>
        <v>10.2.1.</v>
      </c>
      <c r="L829" s="137" t="str">
        <f t="shared" ref="L829:L830" ca="1" si="1045">IF(NOT(ISERROR($Y829)),IF($Y829&lt;&gt;FALSE,INDEX(Banco,$Y829,4),""),"")</f>
        <v>CRESS</v>
      </c>
      <c r="M829" s="122" t="s">
        <v>78</v>
      </c>
      <c r="N829" s="139" t="s">
        <v>149</v>
      </c>
      <c r="O829" s="137" t="str">
        <f ca="1">IF(NOT(ISERROR($Y829)),IF($Y829&lt;&gt;FALSE,INDEX(Banco,$Y829,5),""),"")</f>
        <v>Responsável Técnica</v>
      </c>
      <c r="P829" s="138" t="str">
        <f t="shared" ref="P829:P830" ca="1" si="1046">IF(NOT(ISERROR($Y829)),IF($Y829&lt;&gt;FALSE,INDEX(Banco,$Y829,6),""),"")</f>
        <v>Horas</v>
      </c>
      <c r="Q829" s="134">
        <v>4</v>
      </c>
      <c r="R829" s="124">
        <f t="shared" ref="R829:R830" ca="1" si="1047">IF(NOT(ISERROR($Y829)),IF($Y829&lt;&gt;FALSE,INDEX(Banco,$Y829,7),0),0)</f>
        <v>150.28</v>
      </c>
      <c r="S829" s="136" t="s">
        <v>62</v>
      </c>
      <c r="T829" s="123">
        <f t="shared" ref="T829:T830" ca="1" si="1048">IF($J829=$G$2,ROUND(ROUND($R829,2)*IF($R$9="Preço Unitário (R$)",1,1+$AA829),2),0)</f>
        <v>187.85</v>
      </c>
      <c r="U829" s="126">
        <f t="shared" ref="U829:U830" ca="1" si="1049">IF($A829="S",VTOTAL1,IF($A829=0,0,ROUND(SomaAgrup,2)))</f>
        <v>751.4</v>
      </c>
      <c r="V829" s="1"/>
      <c r="W829" s="39" t="str">
        <f ca="1">IF(OR($A829=0,$A829="S",$A829&gt;CFF!$A$9),"",MAX(W$11:OFFSET(W829,-1,0))+1)</f>
        <v/>
      </c>
      <c r="X829" s="4" t="str">
        <f t="shared" ref="X829:X830" si="1050">IF(AND($J829=$G$2,$N829&lt;&gt;"",$M829&lt;&gt;""),CONCATENATE($M829,"-",$N829))</f>
        <v>Rec. Humanos-001</v>
      </c>
      <c r="Y829" s="39">
        <f t="shared" ref="Y829:Y835" ca="1" si="1051">IF(X829&lt;&gt;FALSE,MATCH(X829,OFFSET(Banco,0,0,,1),0))</f>
        <v>3</v>
      </c>
      <c r="Z829" s="1"/>
      <c r="AA829" s="133">
        <f>IF($J829=$G$2,ROUND(IF(ISNUMBER(S829),S829,IF(LEFT(S829,2)="DI",HLOOKUP(S829,DADOS!$T$29:$X$30,2,FALSE),0)),4),"")</f>
        <v>0.25</v>
      </c>
      <c r="AB829" s="2"/>
    </row>
    <row r="830" spans="1:28">
      <c r="A830" t="str">
        <f t="shared" si="1037"/>
        <v>S</v>
      </c>
      <c r="B830">
        <f t="shared" si="1038"/>
        <v>0</v>
      </c>
      <c r="C830">
        <f t="shared" ca="1" si="1039"/>
        <v>10</v>
      </c>
      <c r="D830">
        <f t="shared" ca="1" si="1040"/>
        <v>2</v>
      </c>
      <c r="E830">
        <f t="shared" ca="1" si="1041"/>
        <v>0</v>
      </c>
      <c r="F830">
        <f t="shared" ca="1" si="1042"/>
        <v>0</v>
      </c>
      <c r="G830">
        <f t="shared" ca="1" si="1043"/>
        <v>2</v>
      </c>
      <c r="H830">
        <f ca="1">IF(OR($A830="S",$A830=0),0,MATCH(0,OFFSET($B830,1,$A830,ROW($A$1504)-ROW($A830)),0))</f>
        <v>0</v>
      </c>
      <c r="I830">
        <f ca="1">IF(OR($A830="S",$A830=0),0,MATCH(OFFSET($B830,0,$A830)+1,OFFSET($B830,1,$A830,ROW($A$1504)-ROW($A830)),0))</f>
        <v>0</v>
      </c>
      <c r="J830" s="132" t="s">
        <v>29</v>
      </c>
      <c r="K830" s="121" t="str">
        <f t="shared" ca="1" si="1044"/>
        <v>10.2.2.</v>
      </c>
      <c r="L830" s="137" t="str">
        <f t="shared" ca="1" si="1045"/>
        <v>CRESS</v>
      </c>
      <c r="M830" s="122" t="s">
        <v>78</v>
      </c>
      <c r="N830" s="139" t="s">
        <v>152</v>
      </c>
      <c r="O830" s="137" t="str">
        <f ca="1">IF(NOT(ISERROR($Y830)),IF($Y830&lt;&gt;FALSE,INDEX(Banco,$Y830,5),""),"")</f>
        <v>Assistente Social</v>
      </c>
      <c r="P830" s="138" t="str">
        <f t="shared" ca="1" si="1046"/>
        <v>Horas</v>
      </c>
      <c r="Q830" s="134">
        <v>16</v>
      </c>
      <c r="R830" s="124">
        <f t="shared" ca="1" si="1047"/>
        <v>133.81</v>
      </c>
      <c r="S830" s="136" t="s">
        <v>62</v>
      </c>
      <c r="T830" s="123">
        <f t="shared" ca="1" si="1048"/>
        <v>167.26</v>
      </c>
      <c r="U830" s="126">
        <f t="shared" ca="1" si="1049"/>
        <v>2676.16</v>
      </c>
      <c r="V830" s="1"/>
      <c r="W830" s="39" t="str">
        <f ca="1">IF(OR($A830=0,$A830="S",$A830&gt;CFF!$A$9),"",MAX(W$11:OFFSET(W830,-1,0))+1)</f>
        <v/>
      </c>
      <c r="X830" s="4" t="str">
        <f t="shared" si="1050"/>
        <v>Rec. Humanos-002</v>
      </c>
      <c r="Y830" s="39">
        <f t="shared" ca="1" si="1051"/>
        <v>4</v>
      </c>
      <c r="Z830" s="1"/>
      <c r="AA830" s="133">
        <f>IF($J830=$G$2,ROUND(IF(ISNUMBER(S830),S830,IF(LEFT(S830,2)="DI",HLOOKUP(S830,DADOS!$T$29:$X$30,2,FALSE),0)),4),"")</f>
        <v>0.25</v>
      </c>
      <c r="AB830" s="2"/>
    </row>
    <row r="831" spans="1:28">
      <c r="A831">
        <f>CHOOSE(1+LOG(1+2*(J831=$C$2)+4*(J831=$D$2)+8*(J831=$E$2)+16*(J831=$F$2)+32*(J831=$G$2),2),0,1,2,3,4,"S")</f>
        <v>2</v>
      </c>
      <c r="B831">
        <f ca="1">IF(OR(A831="S",A831=0),0,IF(ISERROR(I831),H831,SMALL(H831:I831,1)))</f>
        <v>24</v>
      </c>
      <c r="C831">
        <f ca="1">IF($A831=1,OFFSET(C831,-1,0)+1,OFFSET(C831,-1,0))</f>
        <v>10</v>
      </c>
      <c r="D831">
        <f ca="1">IF($A831=1,0,IF($A831=2,OFFSET(D831,-1,0)+1,OFFSET(D831,-1,0)))</f>
        <v>3</v>
      </c>
      <c r="E831">
        <f ca="1">IF(AND($A831&lt;=2,$A831&lt;&gt;0),0,IF($A831=3,OFFSET(E831,-1,0)+1,OFFSET(E831,-1,0)))</f>
        <v>0</v>
      </c>
      <c r="F831">
        <f ca="1">IF(AND($A831&lt;=3,$A831&lt;&gt;0),0,IF($A831=4,OFFSET(F831,-1,0)+1,OFFSET(F831,-1,0)))</f>
        <v>0</v>
      </c>
      <c r="G831">
        <f ca="1">IF(AND($A831&lt;=4,$A831&lt;&gt;0),0,IF($A831="S",OFFSET(G831,-1,0)+1,OFFSET(G831,-1,0)))</f>
        <v>0</v>
      </c>
      <c r="H831">
        <f ca="1">IF(OR($A831="S",$A831=0),0,MATCH(0,OFFSET($B831,1,$A831,ROW($A$1504)-ROW($A831)),0))</f>
        <v>113</v>
      </c>
      <c r="I831">
        <f ca="1">IF(OR($A831="S",$A831=0),0,MATCH(OFFSET($B831,0,$A831)+1,OFFSET($B831,1,$A831,ROW($A$1504)-ROW($A831)),0))</f>
        <v>24</v>
      </c>
      <c r="J831" s="132" t="s">
        <v>68</v>
      </c>
      <c r="K831" s="121" t="str">
        <f ca="1">IF($A831=0,"-",CONCATENATE(C831&amp;".",IF(AND($A$5&gt;=2,$A831&gt;=2),D831&amp;".",""),IF(AND($A$5&gt;=3,$A831&gt;=3),E831&amp;".",""),IF(AND($A$5&gt;=4,$A831&gt;=4),F831&amp;".",""),IF($A831="S",G831&amp;".","")))</f>
        <v>10.3.</v>
      </c>
      <c r="L831" s="137" t="str">
        <f ca="1">IF(NOT(ISERROR($Y831)),IF($Y831&lt;&gt;FALSE,INDEX(Banco,$Y831,4),""),"")</f>
        <v/>
      </c>
      <c r="M831" s="122"/>
      <c r="N831" s="139"/>
      <c r="O831" s="137" t="s">
        <v>413</v>
      </c>
      <c r="P831" s="138" t="str">
        <f ca="1">IF(NOT(ISERROR($Y831)),IF($Y831&lt;&gt;FALSE,INDEX(Banco,$Y831,6),""),"")</f>
        <v/>
      </c>
      <c r="Q831" s="134"/>
      <c r="R831" s="124">
        <f ca="1">IF(NOT(ISERROR($Y831)),IF($Y831&lt;&gt;FALSE,INDEX(Banco,$Y831,7),0),0)</f>
        <v>0</v>
      </c>
      <c r="S831" s="136" t="s">
        <v>62</v>
      </c>
      <c r="T831" s="123">
        <f>IF($J831=$G$2,ROUND(ROUND($R831,2)*IF($R$9="Preço Unitário (R$)",1,1+$AA831),2),0)</f>
        <v>0</v>
      </c>
      <c r="U831" s="126">
        <f ca="1">IF($A831="S",VTOTAL1,IF($A831=0,0,ROUND(SomaAgrup,2)))</f>
        <v>9603.68</v>
      </c>
      <c r="V831" s="1"/>
      <c r="W831" s="39">
        <f ca="1">IF(OR($A831=0,$A831="S",$A831&gt;CFF!$A$9),"",MAX(W$11:OFFSET(W831,-1,0))+1)</f>
        <v>76</v>
      </c>
      <c r="X831" s="4" t="b">
        <f>IF(AND($J831=$G$2,$N831&lt;&gt;"",$M831&lt;&gt;""),CONCATENATE($M831,"-",$N831))</f>
        <v>0</v>
      </c>
      <c r="Y831" s="39" t="b">
        <f ca="1">IF(X831&lt;&gt;FALSE,MATCH(X831,OFFSET(Banco,0,0,,1),0))</f>
        <v>0</v>
      </c>
      <c r="Z831" s="1"/>
      <c r="AA831" s="133" t="str">
        <f>IF($J831=$G$2,ROUND(IF(ISNUMBER(S831),S831,IF(LEFT(S831,2)="DI",HLOOKUP(S831,DADOS!$T$29:$X$30,2,FALSE),0)),4),"")</f>
        <v/>
      </c>
      <c r="AB831" s="2"/>
    </row>
    <row r="832" spans="1:28">
      <c r="A832" t="str">
        <f t="shared" si="1037"/>
        <v>S</v>
      </c>
      <c r="B832">
        <f t="shared" si="1038"/>
        <v>0</v>
      </c>
      <c r="C832">
        <f t="shared" ref="C832:C846" ca="1" si="1052">IF($A832=1,OFFSET(C832,-1,0)+1,OFFSET(C832,-1,0))</f>
        <v>10</v>
      </c>
      <c r="D832">
        <f t="shared" ref="D832:D846" ca="1" si="1053">IF($A832=1,0,IF($A832=2,OFFSET(D832,-1,0)+1,OFFSET(D832,-1,0)))</f>
        <v>3</v>
      </c>
      <c r="E832">
        <f t="shared" ref="E832:E846" ca="1" si="1054">IF(AND($A832&lt;=2,$A832&lt;&gt;0),0,IF($A832=3,OFFSET(E832,-1,0)+1,OFFSET(E832,-1,0)))</f>
        <v>0</v>
      </c>
      <c r="F832">
        <f t="shared" ref="F832:F846" ca="1" si="1055">IF(AND($A832&lt;=3,$A832&lt;&gt;0),0,IF($A832=4,OFFSET(F832,-1,0)+1,OFFSET(F832,-1,0)))</f>
        <v>0</v>
      </c>
      <c r="G832">
        <f t="shared" ref="G832:G846" ca="1" si="1056">IF(AND($A832&lt;=4,$A832&lt;&gt;0),0,IF($A832="S",OFFSET(G832,-1,0)+1,OFFSET(G832,-1,0)))</f>
        <v>1</v>
      </c>
      <c r="H832">
        <f ca="1">IF(OR($A832="S",$A832=0),0,MATCH(0,OFFSET($B832,1,$A832,ROW($A$1504)-ROW($A832)),0))</f>
        <v>0</v>
      </c>
      <c r="I832">
        <f ca="1">IF(OR($A832="S",$A832=0),0,MATCH(OFFSET($B832,0,$A832)+1,OFFSET($B832,1,$A832,ROW($A$1504)-ROW($A832)),0))</f>
        <v>0</v>
      </c>
      <c r="J832" s="132" t="s">
        <v>29</v>
      </c>
      <c r="K832" s="121" t="str">
        <f t="shared" ca="1" si="1044"/>
        <v>10.3.1.</v>
      </c>
      <c r="L832" s="137" t="str">
        <f t="shared" ref="L832:L846" ca="1" si="1057">IF(NOT(ISERROR($Y832)),IF($Y832&lt;&gt;FALSE,INDEX(Banco,$Y832,4),""),"")</f>
        <v>CRESS</v>
      </c>
      <c r="M832" s="122" t="s">
        <v>78</v>
      </c>
      <c r="N832" s="139" t="s">
        <v>149</v>
      </c>
      <c r="O832" s="137" t="str">
        <f ca="1">IF(NOT(ISERROR($Y832)),IF($Y832&lt;&gt;FALSE,INDEX(Banco,$Y832,5),""),"")</f>
        <v>Responsável Técnica</v>
      </c>
      <c r="P832" s="138" t="str">
        <f t="shared" ref="P832:P846" ca="1" si="1058">IF(NOT(ISERROR($Y832)),IF($Y832&lt;&gt;FALSE,INDEX(Banco,$Y832,6),""),"")</f>
        <v>Horas</v>
      </c>
      <c r="Q832" s="134">
        <v>12</v>
      </c>
      <c r="R832" s="124">
        <f t="shared" ref="R832:R846" ca="1" si="1059">IF(NOT(ISERROR($Y832)),IF($Y832&lt;&gt;FALSE,INDEX(Banco,$Y832,7),0),0)</f>
        <v>150.28</v>
      </c>
      <c r="S832" s="136" t="s">
        <v>62</v>
      </c>
      <c r="T832" s="123">
        <f t="shared" ref="T832:T846" ca="1" si="1060">IF($J832=$G$2,ROUND(ROUND($R832,2)*IF($R$9="Preço Unitário (R$)",1,1+$AA832),2),0)</f>
        <v>187.85</v>
      </c>
      <c r="U832" s="126">
        <f t="shared" ref="U832:U846" ca="1" si="1061">IF($A832="S",VTOTAL1,IF($A832=0,0,ROUND(SomaAgrup,2)))</f>
        <v>2254.1999999999998</v>
      </c>
      <c r="V832" s="1"/>
      <c r="W832" s="39" t="str">
        <f ca="1">IF(OR($A832=0,$A832="S",$A832&gt;CFF!$A$9),"",MAX(W$11:OFFSET(W832,-1,0))+1)</f>
        <v/>
      </c>
      <c r="X832" s="4" t="str">
        <f t="shared" ref="X832:X846" si="1062">IF(AND($J832=$G$2,$N832&lt;&gt;"",$M832&lt;&gt;""),CONCATENATE($M832,"-",$N832))</f>
        <v>Rec. Humanos-001</v>
      </c>
      <c r="Y832" s="39">
        <f t="shared" ca="1" si="1051"/>
        <v>3</v>
      </c>
      <c r="Z832" s="1"/>
      <c r="AA832" s="133">
        <f>IF($J832=$G$2,ROUND(IF(ISNUMBER(S832),S832,IF(LEFT(S832,2)="DI",HLOOKUP(S832,DADOS!$T$29:$X$30,2,FALSE),0)),4),"")</f>
        <v>0.25</v>
      </c>
      <c r="AB832" s="2"/>
    </row>
    <row r="833" spans="1:28">
      <c r="A833" t="str">
        <f t="shared" si="1037"/>
        <v>S</v>
      </c>
      <c r="B833">
        <f t="shared" si="1038"/>
        <v>0</v>
      </c>
      <c r="C833">
        <f t="shared" ca="1" si="1052"/>
        <v>10</v>
      </c>
      <c r="D833">
        <f t="shared" ca="1" si="1053"/>
        <v>3</v>
      </c>
      <c r="E833">
        <f t="shared" ca="1" si="1054"/>
        <v>0</v>
      </c>
      <c r="F833">
        <f t="shared" ca="1" si="1055"/>
        <v>0</v>
      </c>
      <c r="G833">
        <f t="shared" ca="1" si="1056"/>
        <v>2</v>
      </c>
      <c r="H833">
        <f ca="1">IF(OR($A833="S",$A833=0),0,MATCH(0,OFFSET($B833,1,$A833,ROW($A$1504)-ROW($A833)),0))</f>
        <v>0</v>
      </c>
      <c r="I833">
        <f ca="1">IF(OR($A833="S",$A833=0),0,MATCH(OFFSET($B833,0,$A833)+1,OFFSET($B833,1,$A833,ROW($A$1504)-ROW($A833)),0))</f>
        <v>0</v>
      </c>
      <c r="J833" s="132" t="s">
        <v>29</v>
      </c>
      <c r="K833" s="121" t="str">
        <f t="shared" ca="1" si="1044"/>
        <v>10.3.2.</v>
      </c>
      <c r="L833" s="137" t="str">
        <f t="shared" ca="1" si="1057"/>
        <v>CRESS</v>
      </c>
      <c r="M833" s="122" t="s">
        <v>78</v>
      </c>
      <c r="N833" s="139" t="s">
        <v>152</v>
      </c>
      <c r="O833" s="137" t="str">
        <f ca="1">IF(NOT(ISERROR($Y833)),IF($Y833&lt;&gt;FALSE,INDEX(Banco,$Y833,5),""),"")</f>
        <v>Assistente Social</v>
      </c>
      <c r="P833" s="138" t="str">
        <f t="shared" ca="1" si="1058"/>
        <v>Horas</v>
      </c>
      <c r="Q833" s="134">
        <v>10</v>
      </c>
      <c r="R833" s="124">
        <f t="shared" ca="1" si="1059"/>
        <v>133.81</v>
      </c>
      <c r="S833" s="136" t="s">
        <v>62</v>
      </c>
      <c r="T833" s="123">
        <f t="shared" ca="1" si="1060"/>
        <v>167.26</v>
      </c>
      <c r="U833" s="126">
        <f t="shared" ca="1" si="1061"/>
        <v>1672.6</v>
      </c>
      <c r="V833" s="1"/>
      <c r="W833" s="39" t="str">
        <f ca="1">IF(OR($A833=0,$A833="S",$A833&gt;CFF!$A$9),"",MAX(W$11:OFFSET(W833,-1,0))+1)</f>
        <v/>
      </c>
      <c r="X833" s="4" t="str">
        <f t="shared" si="1062"/>
        <v>Rec. Humanos-002</v>
      </c>
      <c r="Y833" s="39">
        <f t="shared" ca="1" si="1051"/>
        <v>4</v>
      </c>
      <c r="Z833" s="1"/>
      <c r="AA833" s="133">
        <f>IF($J833=$G$2,ROUND(IF(ISNUMBER(S833),S833,IF(LEFT(S833,2)="DI",HLOOKUP(S833,DADOS!$T$29:$X$30,2,FALSE),0)),4),"")</f>
        <v>0.25</v>
      </c>
      <c r="AB833" s="2"/>
    </row>
    <row r="834" spans="1:28">
      <c r="A834" t="str">
        <f t="shared" si="1037"/>
        <v>S</v>
      </c>
      <c r="B834">
        <f t="shared" si="1038"/>
        <v>0</v>
      </c>
      <c r="C834">
        <f t="shared" ca="1" si="1052"/>
        <v>10</v>
      </c>
      <c r="D834">
        <f t="shared" ca="1" si="1053"/>
        <v>3</v>
      </c>
      <c r="E834">
        <f t="shared" ca="1" si="1054"/>
        <v>0</v>
      </c>
      <c r="F834">
        <f t="shared" ca="1" si="1055"/>
        <v>0</v>
      </c>
      <c r="G834">
        <f t="shared" ca="1" si="1056"/>
        <v>3</v>
      </c>
      <c r="H834">
        <f ca="1">IF(OR($A834="S",$A834=0),0,MATCH(0,OFFSET($B834,1,$A834,ROW($A$1504)-ROW($A834)),0))</f>
        <v>0</v>
      </c>
      <c r="I834">
        <f ca="1">IF(OR($A834="S",$A834=0),0,MATCH(OFFSET($B834,0,$A834)+1,OFFSET($B834,1,$A834,ROW($A$1504)-ROW($A834)),0))</f>
        <v>0</v>
      </c>
      <c r="J834" s="132" t="s">
        <v>29</v>
      </c>
      <c r="K834" s="121" t="str">
        <f t="shared" ca="1" si="1044"/>
        <v>10.3.3.</v>
      </c>
      <c r="L834" s="137" t="str">
        <f t="shared" ca="1" si="1057"/>
        <v>Cotação</v>
      </c>
      <c r="M834" s="122" t="s">
        <v>78</v>
      </c>
      <c r="N834" s="139" t="s">
        <v>151</v>
      </c>
      <c r="O834" s="137" t="str">
        <f ca="1">IF(NOT(ISERROR($Y834)),IF($Y834&lt;&gt;FALSE,INDEX(Banco,$Y834,5),""),"")</f>
        <v xml:space="preserve">Administrador (Técnico de Apoio) </v>
      </c>
      <c r="P834" s="138" t="str">
        <f t="shared" ca="1" si="1058"/>
        <v>Horas</v>
      </c>
      <c r="Q834" s="134">
        <v>4</v>
      </c>
      <c r="R834" s="124">
        <f t="shared" ca="1" si="1059"/>
        <v>103.65</v>
      </c>
      <c r="S834" s="136" t="s">
        <v>62</v>
      </c>
      <c r="T834" s="123">
        <f t="shared" ca="1" si="1060"/>
        <v>129.56</v>
      </c>
      <c r="U834" s="126">
        <f t="shared" ca="1" si="1061"/>
        <v>518.24</v>
      </c>
      <c r="V834" s="1"/>
      <c r="W834" s="39" t="str">
        <f ca="1">IF(OR($A834=0,$A834="S",$A834&gt;CFF!$A$9),"",MAX(W$11:OFFSET(W834,-1,0))+1)</f>
        <v/>
      </c>
      <c r="X834" s="4" t="str">
        <f t="shared" si="1062"/>
        <v>Rec. Humanos-003</v>
      </c>
      <c r="Y834" s="39">
        <f t="shared" ca="1" si="1051"/>
        <v>5</v>
      </c>
      <c r="Z834" s="1"/>
      <c r="AA834" s="133">
        <f>IF($J834=$G$2,ROUND(IF(ISNUMBER(S834),S834,IF(LEFT(S834,2)="DI",HLOOKUP(S834,DADOS!$T$29:$X$30,2,FALSE),0)),4),"")</f>
        <v>0.25</v>
      </c>
      <c r="AB834" s="2"/>
    </row>
    <row r="835" spans="1:28">
      <c r="A835" t="str">
        <f t="shared" si="1037"/>
        <v>S</v>
      </c>
      <c r="B835">
        <f t="shared" si="1038"/>
        <v>0</v>
      </c>
      <c r="C835">
        <f t="shared" ca="1" si="1052"/>
        <v>10</v>
      </c>
      <c r="D835">
        <f t="shared" ca="1" si="1053"/>
        <v>3</v>
      </c>
      <c r="E835">
        <f t="shared" ca="1" si="1054"/>
        <v>0</v>
      </c>
      <c r="F835">
        <f t="shared" ca="1" si="1055"/>
        <v>0</v>
      </c>
      <c r="G835">
        <f t="shared" ca="1" si="1056"/>
        <v>4</v>
      </c>
      <c r="H835">
        <f ca="1">IF(OR($A835="S",$A835=0),0,MATCH(0,OFFSET($B835,1,$A835,ROW($A$1504)-ROW($A835)),0))</f>
        <v>0</v>
      </c>
      <c r="I835">
        <f ca="1">IF(OR($A835="S",$A835=0),0,MATCH(OFFSET($B835,0,$A835)+1,OFFSET($B835,1,$A835,ROW($A$1504)-ROW($A835)),0))</f>
        <v>0</v>
      </c>
      <c r="J835" s="132" t="s">
        <v>29</v>
      </c>
      <c r="K835" s="121" t="str">
        <f t="shared" ca="1" si="1044"/>
        <v>10.3.4.</v>
      </c>
      <c r="L835" s="137" t="str">
        <f t="shared" ca="1" si="1057"/>
        <v>SINE</v>
      </c>
      <c r="M835" s="122" t="s">
        <v>78</v>
      </c>
      <c r="N835" s="139" t="s">
        <v>153</v>
      </c>
      <c r="O835" s="137" t="str">
        <f ca="1">IF(NOT(ISERROR($Y835)),IF($Y835&lt;&gt;FALSE,INDEX(Banco,$Y835,5),""),"")</f>
        <v>Estagiários</v>
      </c>
      <c r="P835" s="138" t="str">
        <f t="shared" ca="1" si="1058"/>
        <v>Horas</v>
      </c>
      <c r="Q835" s="134">
        <v>22</v>
      </c>
      <c r="R835" s="124">
        <f t="shared" ca="1" si="1059"/>
        <v>9.7899999999999991</v>
      </c>
      <c r="S835" s="136" t="s">
        <v>62</v>
      </c>
      <c r="T835" s="123">
        <f t="shared" ca="1" si="1060"/>
        <v>12.24</v>
      </c>
      <c r="U835" s="126">
        <f t="shared" ca="1" si="1061"/>
        <v>269.27999999999997</v>
      </c>
      <c r="V835" s="1"/>
      <c r="W835" s="39" t="str">
        <f ca="1">IF(OR($A835=0,$A835="S",$A835&gt;CFF!$A$9),"",MAX(W$11:OFFSET(W835,-1,0))+1)</f>
        <v/>
      </c>
      <c r="X835" s="4" t="str">
        <f t="shared" si="1062"/>
        <v>Rec. Humanos-004</v>
      </c>
      <c r="Y835" s="39">
        <f t="shared" ca="1" si="1051"/>
        <v>6</v>
      </c>
      <c r="Z835" s="1"/>
      <c r="AA835" s="133">
        <f>IF($J835=$G$2,ROUND(IF(ISNUMBER(S835),S835,IF(LEFT(S835,2)="DI",HLOOKUP(S835,DADOS!$T$29:$X$30,2,FALSE),0)),4),"")</f>
        <v>0.25</v>
      </c>
      <c r="AB835" s="2"/>
    </row>
    <row r="836" spans="1:28">
      <c r="A836" t="str">
        <f t="shared" ref="A836:A842" si="1063">CHOOSE(1+LOG(1+2*(J836=$C$2)+4*(J836=$D$2)+8*(J836=$E$2)+16*(J836=$F$2)+32*(J836=$G$2),2),0,1,2,3,4,"S")</f>
        <v>S</v>
      </c>
      <c r="B836">
        <f t="shared" ref="B836:B842" si="1064">IF(OR(A836="S",A836=0),0,IF(ISERROR(I836),H836,SMALL(H836:I836,1)))</f>
        <v>0</v>
      </c>
      <c r="C836">
        <f t="shared" ca="1" si="1052"/>
        <v>10</v>
      </c>
      <c r="D836">
        <f t="shared" ca="1" si="1053"/>
        <v>3</v>
      </c>
      <c r="E836">
        <f t="shared" ca="1" si="1054"/>
        <v>0</v>
      </c>
      <c r="F836">
        <f t="shared" ca="1" si="1055"/>
        <v>0</v>
      </c>
      <c r="G836">
        <f t="shared" ca="1" si="1056"/>
        <v>5</v>
      </c>
      <c r="H836">
        <f ca="1">IF(OR($A836="S",$A836=0),0,MATCH(0,OFFSET($B836,1,$A836,ROW($A$1504)-ROW($A836)),0))</f>
        <v>0</v>
      </c>
      <c r="I836">
        <f ca="1">IF(OR($A836="S",$A836=0),0,MATCH(OFFSET($B836,0,$A836)+1,OFFSET($B836,1,$A836,ROW($A$1504)-ROW($A836)),0))</f>
        <v>0</v>
      </c>
      <c r="J836" s="132" t="s">
        <v>29</v>
      </c>
      <c r="K836" s="121" t="str">
        <f t="shared" ref="K836:K842" ca="1" si="1065">IF($A836=0,"-",CONCATENATE(C836&amp;".",IF(AND($A$5&gt;=2,$A836&gt;=2),D836&amp;".",""),IF(AND($A$5&gt;=3,$A836&gt;=3),E836&amp;".",""),IF(AND($A$5&gt;=4,$A836&gt;=4),F836&amp;".",""),IF($A836="S",G836&amp;".","")))</f>
        <v>10.3.5.</v>
      </c>
      <c r="L836" s="137" t="str">
        <f t="shared" ca="1" si="1057"/>
        <v>Cotação</v>
      </c>
      <c r="M836" s="122" t="s">
        <v>80</v>
      </c>
      <c r="N836" s="139" t="s">
        <v>149</v>
      </c>
      <c r="O836" s="137" t="str">
        <f t="shared" ref="O836:O845" ca="1" si="1066">IF(NOT(ISERROR($Y836)),IF($Y836&lt;&gt;FALSE,INDEX(Banco,$Y836,5),""),"")</f>
        <v>Fotocópias</v>
      </c>
      <c r="P836" s="138" t="str">
        <f t="shared" ca="1" si="1058"/>
        <v>Unidade</v>
      </c>
      <c r="Q836" s="134">
        <v>150</v>
      </c>
      <c r="R836" s="124">
        <f t="shared" ca="1" si="1059"/>
        <v>0.3</v>
      </c>
      <c r="S836" s="136" t="s">
        <v>62</v>
      </c>
      <c r="T836" s="123">
        <f t="shared" ca="1" si="1060"/>
        <v>0.38</v>
      </c>
      <c r="U836" s="126">
        <f t="shared" ca="1" si="1061"/>
        <v>57</v>
      </c>
      <c r="V836" s="1"/>
      <c r="W836" s="39" t="str">
        <f ca="1">IF(OR($A836=0,$A836="S",$A836&gt;CFF!$A$9),"",MAX(W$11:OFFSET(W836,-1,0))+1)</f>
        <v/>
      </c>
      <c r="X836" s="4" t="str">
        <f t="shared" si="1062"/>
        <v>Serv. Terc.-001</v>
      </c>
      <c r="Y836" s="39">
        <f t="shared" ref="Y836:Y842" ca="1" si="1067">IF(X836&lt;&gt;FALSE,MATCH(X836,OFFSET(Banco,0,0,,1),0))</f>
        <v>81</v>
      </c>
      <c r="Z836" s="1"/>
      <c r="AA836" s="133">
        <f>IF($J836=$G$2,ROUND(IF(ISNUMBER(S836),S836,IF(LEFT(S836,2)="DI",HLOOKUP(S836,DADOS!$T$29:$X$30,2,FALSE),0)),4),"")</f>
        <v>0.25</v>
      </c>
      <c r="AB836" s="2"/>
    </row>
    <row r="837" spans="1:28">
      <c r="A837" t="str">
        <f>CHOOSE(1+LOG(1+2*(J837=$C$2)+4*(J837=$D$2)+8*(J837=$E$2)+16*(J837=$F$2)+32*(J837=$G$2),2),0,1,2,3,4,"S")</f>
        <v>S</v>
      </c>
      <c r="B837">
        <f>IF(OR(A837="S",A837=0),0,IF(ISERROR(I837),H837,SMALL(H837:I837,1)))</f>
        <v>0</v>
      </c>
      <c r="C837">
        <f ca="1">IF($A837=1,OFFSET(C837,-1,0)+1,OFFSET(C837,-1,0))</f>
        <v>10</v>
      </c>
      <c r="D837">
        <f ca="1">IF($A837=1,0,IF($A837=2,OFFSET(D837,-1,0)+1,OFFSET(D837,-1,0)))</f>
        <v>3</v>
      </c>
      <c r="E837">
        <f ca="1">IF(AND($A837&lt;=2,$A837&lt;&gt;0),0,IF($A837=3,OFFSET(E837,-1,0)+1,OFFSET(E837,-1,0)))</f>
        <v>0</v>
      </c>
      <c r="F837">
        <f ca="1">IF(AND($A837&lt;=3,$A837&lt;&gt;0),0,IF($A837=4,OFFSET(F837,-1,0)+1,OFFSET(F837,-1,0)))</f>
        <v>0</v>
      </c>
      <c r="G837">
        <f ca="1">IF(AND($A837&lt;=4,$A837&lt;&gt;0),0,IF($A837="S",OFFSET(G837,-1,0)+1,OFFSET(G837,-1,0)))</f>
        <v>6</v>
      </c>
      <c r="H837">
        <f ca="1">IF(OR($A837="S",$A837=0),0,MATCH(0,OFFSET($B837,1,$A837,ROW($A$1504)-ROW($A837)),0))</f>
        <v>0</v>
      </c>
      <c r="I837">
        <f ca="1">IF(OR($A837="S",$A837=0),0,MATCH(OFFSET($B837,0,$A837)+1,OFFSET($B837,1,$A837,ROW($A$1504)-ROW($A837)),0))</f>
        <v>0</v>
      </c>
      <c r="J837" s="132" t="s">
        <v>29</v>
      </c>
      <c r="K837" s="121" t="str">
        <f ca="1">IF($A837=0,"-",CONCATENATE(C837&amp;".",IF(AND($A$5&gt;=2,$A837&gt;=2),D837&amp;".",""),IF(AND($A$5&gt;=3,$A837&gt;=3),E837&amp;".",""),IF(AND($A$5&gt;=4,$A837&gt;=4),F837&amp;".",""),IF($A837="S",G837&amp;".","")))</f>
        <v>10.3.6.</v>
      </c>
      <c r="L837" s="137" t="str">
        <f ca="1">IF(NOT(ISERROR($Y837)),IF($Y837&lt;&gt;FALSE,INDEX(Banco,$Y837,4),""),"")</f>
        <v>Cotação</v>
      </c>
      <c r="M837" s="122" t="s">
        <v>80</v>
      </c>
      <c r="N837" s="139" t="s">
        <v>256</v>
      </c>
      <c r="O837" s="137" t="str">
        <f ca="1">IF(NOT(ISERROR($Y837)),IF($Y837&lt;&gt;FALSE,INDEX(Banco,$Y837,5),""),"")</f>
        <v>Instrutor/Monitor (Educação Fisíca)</v>
      </c>
      <c r="P837" s="138" t="str">
        <f ca="1">IF(NOT(ISERROR($Y837)),IF($Y837&lt;&gt;FALSE,INDEX(Banco,$Y837,6),""),"")</f>
        <v>Horas</v>
      </c>
      <c r="Q837" s="134">
        <v>3</v>
      </c>
      <c r="R837" s="124">
        <f ca="1">IF(NOT(ISERROR($Y837)),IF($Y837&lt;&gt;FALSE,INDEX(Banco,$Y837,7),0),0)</f>
        <v>100</v>
      </c>
      <c r="S837" s="136" t="s">
        <v>62</v>
      </c>
      <c r="T837" s="123">
        <f ca="1">IF($J837=$G$2,ROUND(ROUND($R837,2)*IF($R$9="Preço Unitário (R$)",1,1+$AA837),2),0)</f>
        <v>125</v>
      </c>
      <c r="U837" s="126">
        <f ca="1">IF($A837="S",VTOTAL1,IF($A837=0,0,ROUND(SomaAgrup,2)))</f>
        <v>375</v>
      </c>
      <c r="V837" s="1"/>
      <c r="W837" s="39" t="str">
        <f ca="1">IF(OR($A837=0,$A837="S",$A837&gt;CFF!$A$9),"",MAX(W$11:OFFSET(W837,-1,0))+1)</f>
        <v/>
      </c>
      <c r="X837" s="4" t="str">
        <f>IF(AND($J837=$G$2,$N837&lt;&gt;"",$M837&lt;&gt;""),CONCATENATE($M837,"-",$N837))</f>
        <v>Serv. Terc.-017</v>
      </c>
      <c r="Y837" s="39">
        <f ca="1">IF(X837&lt;&gt;FALSE,MATCH(X837,OFFSET(Banco,0,0,,1),0))</f>
        <v>97</v>
      </c>
      <c r="Z837" s="1"/>
      <c r="AA837" s="133">
        <f>IF($J837=$G$2,ROUND(IF(ISNUMBER(S837),S837,IF(LEFT(S837,2)="DI",HLOOKUP(S837,DADOS!$T$29:$X$30,2,FALSE),0)),4),"")</f>
        <v>0.25</v>
      </c>
      <c r="AB837" s="2"/>
    </row>
    <row r="838" spans="1:28">
      <c r="A838" t="str">
        <f t="shared" si="1063"/>
        <v>S</v>
      </c>
      <c r="B838">
        <f t="shared" si="1064"/>
        <v>0</v>
      </c>
      <c r="C838">
        <f t="shared" ca="1" si="1052"/>
        <v>10</v>
      </c>
      <c r="D838">
        <f t="shared" ca="1" si="1053"/>
        <v>3</v>
      </c>
      <c r="E838">
        <f t="shared" ca="1" si="1054"/>
        <v>0</v>
      </c>
      <c r="F838">
        <f t="shared" ca="1" si="1055"/>
        <v>0</v>
      </c>
      <c r="G838">
        <f t="shared" ca="1" si="1056"/>
        <v>7</v>
      </c>
      <c r="H838">
        <f ca="1">IF(OR($A838="S",$A838=0),0,MATCH(0,OFFSET($B838,1,$A838,ROW($A$1504)-ROW($A838)),0))</f>
        <v>0</v>
      </c>
      <c r="I838">
        <f ca="1">IF(OR($A838="S",$A838=0),0,MATCH(OFFSET($B838,0,$A838)+1,OFFSET($B838,1,$A838,ROW($A$1504)-ROW($A838)),0))</f>
        <v>0</v>
      </c>
      <c r="J838" s="132" t="s">
        <v>29</v>
      </c>
      <c r="K838" s="121" t="str">
        <f t="shared" ca="1" si="1065"/>
        <v>10.3.7.</v>
      </c>
      <c r="L838" s="137" t="str">
        <f t="shared" ca="1" si="1057"/>
        <v>Cotação</v>
      </c>
      <c r="M838" s="122" t="s">
        <v>80</v>
      </c>
      <c r="N838" s="139" t="s">
        <v>152</v>
      </c>
      <c r="O838" s="137" t="str">
        <f t="shared" ca="1" si="1066"/>
        <v>Carro de som com gravação de vinheta</v>
      </c>
      <c r="P838" s="138" t="str">
        <f t="shared" ca="1" si="1058"/>
        <v>Horas</v>
      </c>
      <c r="Q838" s="134">
        <v>3</v>
      </c>
      <c r="R838" s="124">
        <f t="shared" ca="1" si="1059"/>
        <v>200</v>
      </c>
      <c r="S838" s="136" t="s">
        <v>62</v>
      </c>
      <c r="T838" s="123">
        <f t="shared" ca="1" si="1060"/>
        <v>250</v>
      </c>
      <c r="U838" s="126">
        <f t="shared" ca="1" si="1061"/>
        <v>750</v>
      </c>
      <c r="V838" s="1"/>
      <c r="W838" s="39" t="str">
        <f ca="1">IF(OR($A838=0,$A838="S",$A838&gt;CFF!$A$9),"",MAX(W$11:OFFSET(W838,-1,0))+1)</f>
        <v/>
      </c>
      <c r="X838" s="4" t="str">
        <f t="shared" si="1062"/>
        <v>Serv. Terc.-002</v>
      </c>
      <c r="Y838" s="39">
        <f t="shared" ca="1" si="1067"/>
        <v>82</v>
      </c>
      <c r="Z838" s="1"/>
      <c r="AA838" s="133">
        <f>IF($J838=$G$2,ROUND(IF(ISNUMBER(S838),S838,IF(LEFT(S838,2)="DI",HLOOKUP(S838,DADOS!$T$29:$X$30,2,FALSE),0)),4),"")</f>
        <v>0.25</v>
      </c>
      <c r="AB838" s="2"/>
    </row>
    <row r="839" spans="1:28">
      <c r="A839" t="str">
        <f t="shared" si="1063"/>
        <v>S</v>
      </c>
      <c r="B839">
        <f t="shared" si="1064"/>
        <v>0</v>
      </c>
      <c r="C839">
        <f t="shared" ca="1" si="1052"/>
        <v>10</v>
      </c>
      <c r="D839">
        <f t="shared" ca="1" si="1053"/>
        <v>3</v>
      </c>
      <c r="E839">
        <f t="shared" ca="1" si="1054"/>
        <v>0</v>
      </c>
      <c r="F839">
        <f t="shared" ca="1" si="1055"/>
        <v>0</v>
      </c>
      <c r="G839">
        <f t="shared" ca="1" si="1056"/>
        <v>8</v>
      </c>
      <c r="H839">
        <f ca="1">IF(OR($A839="S",$A839=0),0,MATCH(0,OFFSET($B839,1,$A839,ROW($A$1504)-ROW($A839)),0))</f>
        <v>0</v>
      </c>
      <c r="I839">
        <f ca="1">IF(OR($A839="S",$A839=0),0,MATCH(OFFSET($B839,0,$A839)+1,OFFSET($B839,1,$A839,ROW($A$1504)-ROW($A839)),0))</f>
        <v>0</v>
      </c>
      <c r="J839" s="132" t="s">
        <v>29</v>
      </c>
      <c r="K839" s="121" t="str">
        <f t="shared" ca="1" si="1065"/>
        <v>10.3.8.</v>
      </c>
      <c r="L839" s="137" t="str">
        <f t="shared" ca="1" si="1057"/>
        <v>Cotação</v>
      </c>
      <c r="M839" s="122" t="s">
        <v>80</v>
      </c>
      <c r="N839" s="139" t="s">
        <v>151</v>
      </c>
      <c r="O839" s="137" t="str">
        <f t="shared" ca="1" si="1066"/>
        <v>Locação de mesas</v>
      </c>
      <c r="P839" s="138" t="str">
        <f t="shared" ca="1" si="1058"/>
        <v>Unidade</v>
      </c>
      <c r="Q839" s="134">
        <v>10</v>
      </c>
      <c r="R839" s="124">
        <f t="shared" ca="1" si="1059"/>
        <v>3</v>
      </c>
      <c r="S839" s="136" t="s">
        <v>62</v>
      </c>
      <c r="T839" s="123">
        <f t="shared" ca="1" si="1060"/>
        <v>3.75</v>
      </c>
      <c r="U839" s="126">
        <f t="shared" ca="1" si="1061"/>
        <v>37.5</v>
      </c>
      <c r="V839" s="1"/>
      <c r="W839" s="39" t="str">
        <f ca="1">IF(OR($A839=0,$A839="S",$A839&gt;CFF!$A$9),"",MAX(W$11:OFFSET(W839,-1,0))+1)</f>
        <v/>
      </c>
      <c r="X839" s="4" t="str">
        <f t="shared" si="1062"/>
        <v>Serv. Terc.-003</v>
      </c>
      <c r="Y839" s="39">
        <f t="shared" ca="1" si="1067"/>
        <v>83</v>
      </c>
      <c r="Z839" s="1"/>
      <c r="AA839" s="133">
        <f>IF($J839=$G$2,ROUND(IF(ISNUMBER(S839),S839,IF(LEFT(S839,2)="DI",HLOOKUP(S839,DADOS!$T$29:$X$30,2,FALSE),0)),4),"")</f>
        <v>0.25</v>
      </c>
      <c r="AB839" s="2"/>
    </row>
    <row r="840" spans="1:28">
      <c r="A840" t="str">
        <f t="shared" si="1063"/>
        <v>S</v>
      </c>
      <c r="B840">
        <f t="shared" si="1064"/>
        <v>0</v>
      </c>
      <c r="C840">
        <f t="shared" ca="1" si="1052"/>
        <v>10</v>
      </c>
      <c r="D840">
        <f t="shared" ca="1" si="1053"/>
        <v>3</v>
      </c>
      <c r="E840">
        <f t="shared" ca="1" si="1054"/>
        <v>0</v>
      </c>
      <c r="F840">
        <f t="shared" ca="1" si="1055"/>
        <v>0</v>
      </c>
      <c r="G840">
        <f t="shared" ca="1" si="1056"/>
        <v>9</v>
      </c>
      <c r="H840">
        <f ca="1">IF(OR($A840="S",$A840=0),0,MATCH(0,OFFSET($B840,1,$A840,ROW($A$1504)-ROW($A840)),0))</f>
        <v>0</v>
      </c>
      <c r="I840">
        <f ca="1">IF(OR($A840="S",$A840=0),0,MATCH(OFFSET($B840,0,$A840)+1,OFFSET($B840,1,$A840,ROW($A$1504)-ROW($A840)),0))</f>
        <v>0</v>
      </c>
      <c r="J840" s="132" t="s">
        <v>29</v>
      </c>
      <c r="K840" s="121" t="str">
        <f t="shared" ca="1" si="1065"/>
        <v>10.3.9.</v>
      </c>
      <c r="L840" s="137" t="str">
        <f t="shared" ca="1" si="1057"/>
        <v>Cotação</v>
      </c>
      <c r="M840" s="122" t="s">
        <v>80</v>
      </c>
      <c r="N840" s="139" t="s">
        <v>153</v>
      </c>
      <c r="O840" s="137" t="str">
        <f t="shared" ca="1" si="1066"/>
        <v>Locação de cadeiras</v>
      </c>
      <c r="P840" s="138" t="str">
        <f t="shared" ca="1" si="1058"/>
        <v>Unidade</v>
      </c>
      <c r="Q840" s="134">
        <v>100</v>
      </c>
      <c r="R840" s="124">
        <f t="shared" ca="1" si="1059"/>
        <v>2</v>
      </c>
      <c r="S840" s="136" t="s">
        <v>62</v>
      </c>
      <c r="T840" s="123">
        <f t="shared" ca="1" si="1060"/>
        <v>2.5</v>
      </c>
      <c r="U840" s="126">
        <f t="shared" ca="1" si="1061"/>
        <v>250</v>
      </c>
      <c r="V840" s="1"/>
      <c r="W840" s="39" t="str">
        <f ca="1">IF(OR($A840=0,$A840="S",$A840&gt;CFF!$A$9),"",MAX(W$11:OFFSET(W840,-1,0))+1)</f>
        <v/>
      </c>
      <c r="X840" s="4" t="str">
        <f t="shared" si="1062"/>
        <v>Serv. Terc.-004</v>
      </c>
      <c r="Y840" s="39">
        <f t="shared" ca="1" si="1067"/>
        <v>84</v>
      </c>
      <c r="Z840" s="1"/>
      <c r="AA840" s="133">
        <f>IF($J840=$G$2,ROUND(IF(ISNUMBER(S840),S840,IF(LEFT(S840,2)="DI",HLOOKUP(S840,DADOS!$T$29:$X$30,2,FALSE),0)),4),"")</f>
        <v>0.25</v>
      </c>
      <c r="AB840" s="2"/>
    </row>
    <row r="841" spans="1:28">
      <c r="A841" t="str">
        <f t="shared" si="1063"/>
        <v>S</v>
      </c>
      <c r="B841">
        <f t="shared" si="1064"/>
        <v>0</v>
      </c>
      <c r="C841">
        <f t="shared" ca="1" si="1052"/>
        <v>10</v>
      </c>
      <c r="D841">
        <f t="shared" ca="1" si="1053"/>
        <v>3</v>
      </c>
      <c r="E841">
        <f t="shared" ca="1" si="1054"/>
        <v>0</v>
      </c>
      <c r="F841">
        <f t="shared" ca="1" si="1055"/>
        <v>0</v>
      </c>
      <c r="G841">
        <f t="shared" ca="1" si="1056"/>
        <v>10</v>
      </c>
      <c r="H841">
        <f ca="1">IF(OR($A841="S",$A841=0),0,MATCH(0,OFFSET($B841,1,$A841,ROW($A$1504)-ROW($A841)),0))</f>
        <v>0</v>
      </c>
      <c r="I841">
        <f ca="1">IF(OR($A841="S",$A841=0),0,MATCH(OFFSET($B841,0,$A841)+1,OFFSET($B841,1,$A841,ROW($A$1504)-ROW($A841)),0))</f>
        <v>0</v>
      </c>
      <c r="J841" s="132" t="s">
        <v>29</v>
      </c>
      <c r="K841" s="121" t="str">
        <f t="shared" ca="1" si="1065"/>
        <v>10.3.10.</v>
      </c>
      <c r="L841" s="137" t="str">
        <f t="shared" ca="1" si="1057"/>
        <v>Cotação</v>
      </c>
      <c r="M841" s="122" t="s">
        <v>80</v>
      </c>
      <c r="N841" s="139" t="s">
        <v>154</v>
      </c>
      <c r="O841" s="137" t="str">
        <f t="shared" ca="1" si="1066"/>
        <v>Locação de caixa térmica</v>
      </c>
      <c r="P841" s="138" t="str">
        <f t="shared" ca="1" si="1058"/>
        <v>Unidade</v>
      </c>
      <c r="Q841" s="134">
        <v>1</v>
      </c>
      <c r="R841" s="124">
        <f t="shared" ca="1" si="1059"/>
        <v>40</v>
      </c>
      <c r="S841" s="136" t="s">
        <v>62</v>
      </c>
      <c r="T841" s="123">
        <f t="shared" ca="1" si="1060"/>
        <v>50</v>
      </c>
      <c r="U841" s="126">
        <f t="shared" ca="1" si="1061"/>
        <v>50</v>
      </c>
      <c r="V841" s="1"/>
      <c r="W841" s="39" t="str">
        <f ca="1">IF(OR($A841=0,$A841="S",$A841&gt;CFF!$A$9),"",MAX(W$11:OFFSET(W841,-1,0))+1)</f>
        <v/>
      </c>
      <c r="X841" s="4" t="str">
        <f t="shared" si="1062"/>
        <v>Serv. Terc.-005</v>
      </c>
      <c r="Y841" s="39">
        <f t="shared" ca="1" si="1067"/>
        <v>85</v>
      </c>
      <c r="Z841" s="1"/>
      <c r="AA841" s="133">
        <f>IF($J841=$G$2,ROUND(IF(ISNUMBER(S841),S841,IF(LEFT(S841,2)="DI",HLOOKUP(S841,DADOS!$T$29:$X$30,2,FALSE),0)),4),"")</f>
        <v>0.25</v>
      </c>
      <c r="AB841" s="2"/>
    </row>
    <row r="842" spans="1:28">
      <c r="A842" t="str">
        <f t="shared" si="1063"/>
        <v>S</v>
      </c>
      <c r="B842">
        <f t="shared" si="1064"/>
        <v>0</v>
      </c>
      <c r="C842">
        <f t="shared" ca="1" si="1052"/>
        <v>10</v>
      </c>
      <c r="D842">
        <f t="shared" ca="1" si="1053"/>
        <v>3</v>
      </c>
      <c r="E842">
        <f t="shared" ca="1" si="1054"/>
        <v>0</v>
      </c>
      <c r="F842">
        <f t="shared" ca="1" si="1055"/>
        <v>0</v>
      </c>
      <c r="G842">
        <f t="shared" ca="1" si="1056"/>
        <v>11</v>
      </c>
      <c r="H842">
        <f ca="1">IF(OR($A842="S",$A842=0),0,MATCH(0,OFFSET($B842,1,$A842,ROW($A$1504)-ROW($A842)),0))</f>
        <v>0</v>
      </c>
      <c r="I842">
        <f ca="1">IF(OR($A842="S",$A842=0),0,MATCH(OFFSET($B842,0,$A842)+1,OFFSET($B842,1,$A842,ROW($A$1504)-ROW($A842)),0))</f>
        <v>0</v>
      </c>
      <c r="J842" s="132" t="s">
        <v>29</v>
      </c>
      <c r="K842" s="121" t="str">
        <f t="shared" ca="1" si="1065"/>
        <v>10.3.11.</v>
      </c>
      <c r="L842" s="137" t="str">
        <f t="shared" ca="1" si="1057"/>
        <v>Cotação</v>
      </c>
      <c r="M842" s="122" t="s">
        <v>80</v>
      </c>
      <c r="N842" s="139" t="s">
        <v>157</v>
      </c>
      <c r="O842" s="137" t="str">
        <f t="shared" ca="1" si="1066"/>
        <v>Locação de pula-pula com monitor</v>
      </c>
      <c r="P842" s="138" t="str">
        <f t="shared" ca="1" si="1058"/>
        <v>Unidade</v>
      </c>
      <c r="Q842" s="134">
        <v>1</v>
      </c>
      <c r="R842" s="124">
        <f t="shared" ca="1" si="1059"/>
        <v>220</v>
      </c>
      <c r="S842" s="136" t="s">
        <v>62</v>
      </c>
      <c r="T842" s="123">
        <f t="shared" ca="1" si="1060"/>
        <v>275</v>
      </c>
      <c r="U842" s="126">
        <f t="shared" ca="1" si="1061"/>
        <v>275</v>
      </c>
      <c r="V842" s="1"/>
      <c r="W842" s="39" t="str">
        <f ca="1">IF(OR($A842=0,$A842="S",$A842&gt;CFF!$A$9),"",MAX(W$11:OFFSET(W842,-1,0))+1)</f>
        <v/>
      </c>
      <c r="X842" s="4" t="str">
        <f t="shared" si="1062"/>
        <v>Serv. Terc.-008</v>
      </c>
      <c r="Y842" s="39">
        <f t="shared" ca="1" si="1067"/>
        <v>88</v>
      </c>
      <c r="Z842" s="1"/>
      <c r="AA842" s="133">
        <f>IF($J842=$G$2,ROUND(IF(ISNUMBER(S842),S842,IF(LEFT(S842,2)="DI",HLOOKUP(S842,DADOS!$T$29:$X$30,2,FALSE),0)),4),"")</f>
        <v>0.25</v>
      </c>
      <c r="AB842" s="2"/>
    </row>
    <row r="843" spans="1:28">
      <c r="A843" t="str">
        <f t="shared" ref="A843:A849" si="1068">CHOOSE(1+LOG(1+2*(J843=$C$2)+4*(J843=$D$2)+8*(J843=$E$2)+16*(J843=$F$2)+32*(J843=$G$2),2),0,1,2,3,4,"S")</f>
        <v>S</v>
      </c>
      <c r="B843">
        <f t="shared" ref="B843:B849" si="1069">IF(OR(A843="S",A843=0),0,IF(ISERROR(I843),H843,SMALL(H843:I843,1)))</f>
        <v>0</v>
      </c>
      <c r="C843">
        <f t="shared" ca="1" si="1052"/>
        <v>10</v>
      </c>
      <c r="D843">
        <f t="shared" ca="1" si="1053"/>
        <v>3</v>
      </c>
      <c r="E843">
        <f t="shared" ca="1" si="1054"/>
        <v>0</v>
      </c>
      <c r="F843">
        <f t="shared" ca="1" si="1055"/>
        <v>0</v>
      </c>
      <c r="G843">
        <f t="shared" ca="1" si="1056"/>
        <v>12</v>
      </c>
      <c r="H843">
        <f ca="1">IF(OR($A843="S",$A843=0),0,MATCH(0,OFFSET($B843,1,$A843,ROW($A$1504)-ROW($A843)),0))</f>
        <v>0</v>
      </c>
      <c r="I843">
        <f ca="1">IF(OR($A843="S",$A843=0),0,MATCH(OFFSET($B843,0,$A843)+1,OFFSET($B843,1,$A843,ROW($A$1504)-ROW($A843)),0))</f>
        <v>0</v>
      </c>
      <c r="J843" s="132" t="s">
        <v>29</v>
      </c>
      <c r="K843" s="121" t="str">
        <f t="shared" ref="K843:K849" ca="1" si="1070">IF($A843=0,"-",CONCATENATE(C843&amp;".",IF(AND($A$5&gt;=2,$A843&gt;=2),D843&amp;".",""),IF(AND($A$5&gt;=3,$A843&gt;=3),E843&amp;".",""),IF(AND($A$5&gt;=4,$A843&gt;=4),F843&amp;".",""),IF($A843="S",G843&amp;".","")))</f>
        <v>10.3.12.</v>
      </c>
      <c r="L843" s="137" t="str">
        <f t="shared" ca="1" si="1057"/>
        <v>Cotação</v>
      </c>
      <c r="M843" s="122" t="s">
        <v>80</v>
      </c>
      <c r="N843" s="139" t="s">
        <v>161</v>
      </c>
      <c r="O843" s="137" t="str">
        <f ca="1">IF(NOT(ISERROR($Y843)),IF($Y843&lt;&gt;FALSE,INDEX(Banco,$Y843,5),""),"")</f>
        <v>Água (garrafão de 20 litros)</v>
      </c>
      <c r="P843" s="138" t="str">
        <f t="shared" ca="1" si="1058"/>
        <v>Unidade</v>
      </c>
      <c r="Q843" s="134">
        <v>1</v>
      </c>
      <c r="R843" s="124">
        <f t="shared" ca="1" si="1059"/>
        <v>10</v>
      </c>
      <c r="S843" s="136" t="s">
        <v>62</v>
      </c>
      <c r="T843" s="123">
        <f t="shared" ca="1" si="1060"/>
        <v>12.5</v>
      </c>
      <c r="U843" s="126">
        <f t="shared" ca="1" si="1061"/>
        <v>12.5</v>
      </c>
      <c r="V843" s="1"/>
      <c r="W843" s="39" t="str">
        <f ca="1">IF(OR($A843=0,$A843="S",$A843&gt;CFF!$A$9),"",MAX(W$11:OFFSET(W843,-1,0))+1)</f>
        <v/>
      </c>
      <c r="X843" s="4" t="str">
        <f t="shared" si="1062"/>
        <v>Serv. Terc.-012</v>
      </c>
      <c r="Y843" s="39">
        <f t="shared" ref="Y843:Y849" ca="1" si="1071">IF(X843&lt;&gt;FALSE,MATCH(X843,OFFSET(Banco,0,0,,1),0))</f>
        <v>92</v>
      </c>
      <c r="Z843" s="1"/>
      <c r="AA843" s="133">
        <f>IF($J843=$G$2,ROUND(IF(ISNUMBER(S843),S843,IF(LEFT(S843,2)="DI",HLOOKUP(S843,DADOS!$T$29:$X$30,2,FALSE),0)),4),"")</f>
        <v>0.25</v>
      </c>
      <c r="AB843" s="2"/>
    </row>
    <row r="844" spans="1:28">
      <c r="A844" t="str">
        <f t="shared" si="1068"/>
        <v>S</v>
      </c>
      <c r="B844">
        <f t="shared" si="1069"/>
        <v>0</v>
      </c>
      <c r="C844">
        <f t="shared" ca="1" si="1052"/>
        <v>10</v>
      </c>
      <c r="D844">
        <f t="shared" ca="1" si="1053"/>
        <v>3</v>
      </c>
      <c r="E844">
        <f t="shared" ca="1" si="1054"/>
        <v>0</v>
      </c>
      <c r="F844">
        <f t="shared" ca="1" si="1055"/>
        <v>0</v>
      </c>
      <c r="G844">
        <f t="shared" ca="1" si="1056"/>
        <v>13</v>
      </c>
      <c r="H844">
        <f ca="1">IF(OR($A844="S",$A844=0),0,MATCH(0,OFFSET($B844,1,$A844,ROW($A$1504)-ROW($A844)),0))</f>
        <v>0</v>
      </c>
      <c r="I844">
        <f ca="1">IF(OR($A844="S",$A844=0),0,MATCH(OFFSET($B844,0,$A844)+1,OFFSET($B844,1,$A844,ROW($A$1504)-ROW($A844)),0))</f>
        <v>0</v>
      </c>
      <c r="J844" s="132" t="s">
        <v>29</v>
      </c>
      <c r="K844" s="121" t="str">
        <f t="shared" ca="1" si="1070"/>
        <v>10.3.13.</v>
      </c>
      <c r="L844" s="137" t="str">
        <f t="shared" ca="1" si="1057"/>
        <v xml:space="preserve">Cotação </v>
      </c>
      <c r="M844" s="122" t="s">
        <v>80</v>
      </c>
      <c r="N844" s="139" t="s">
        <v>160</v>
      </c>
      <c r="O844" s="137" t="str">
        <f ca="1">IF(NOT(ISERROR($Y844)),IF($Y844&lt;&gt;FALSE,INDEX(Banco,$Y844,5),""),"")</f>
        <v>Barra de gelo</v>
      </c>
      <c r="P844" s="138" t="str">
        <f t="shared" ca="1" si="1058"/>
        <v>Unidade</v>
      </c>
      <c r="Q844" s="134">
        <v>4</v>
      </c>
      <c r="R844" s="124">
        <f t="shared" ca="1" si="1059"/>
        <v>12</v>
      </c>
      <c r="S844" s="136" t="s">
        <v>62</v>
      </c>
      <c r="T844" s="123">
        <f t="shared" ca="1" si="1060"/>
        <v>15</v>
      </c>
      <c r="U844" s="126">
        <f t="shared" ca="1" si="1061"/>
        <v>60</v>
      </c>
      <c r="V844" s="1"/>
      <c r="W844" s="39" t="str">
        <f ca="1">IF(OR($A844=0,$A844="S",$A844&gt;CFF!$A$9),"",MAX(W$11:OFFSET(W844,-1,0))+1)</f>
        <v/>
      </c>
      <c r="X844" s="4" t="str">
        <f t="shared" si="1062"/>
        <v>Serv. Terc.-011</v>
      </c>
      <c r="Y844" s="39">
        <f t="shared" ca="1" si="1071"/>
        <v>91</v>
      </c>
      <c r="Z844" s="1"/>
      <c r="AA844" s="133">
        <f>IF($J844=$G$2,ROUND(IF(ISNUMBER(S844),S844,IF(LEFT(S844,2)="DI",HLOOKUP(S844,DADOS!$T$29:$X$30,2,FALSE),0)),4),"")</f>
        <v>0.25</v>
      </c>
      <c r="AB844" s="2"/>
    </row>
    <row r="845" spans="1:28">
      <c r="A845" t="str">
        <f t="shared" si="1068"/>
        <v>S</v>
      </c>
      <c r="B845">
        <f t="shared" si="1069"/>
        <v>0</v>
      </c>
      <c r="C845">
        <f t="shared" ca="1" si="1052"/>
        <v>10</v>
      </c>
      <c r="D845">
        <f t="shared" ca="1" si="1053"/>
        <v>3</v>
      </c>
      <c r="E845">
        <f t="shared" ca="1" si="1054"/>
        <v>0</v>
      </c>
      <c r="F845">
        <f t="shared" ca="1" si="1055"/>
        <v>0</v>
      </c>
      <c r="G845">
        <f t="shared" ca="1" si="1056"/>
        <v>14</v>
      </c>
      <c r="H845">
        <f ca="1">IF(OR($A845="S",$A845=0),0,MATCH(0,OFFSET($B845,1,$A845,ROW($A$1504)-ROW($A845)),0))</f>
        <v>0</v>
      </c>
      <c r="I845">
        <f ca="1">IF(OR($A845="S",$A845=0),0,MATCH(OFFSET($B845,0,$A845)+1,OFFSET($B845,1,$A845,ROW($A$1504)-ROW($A845)),0))</f>
        <v>0</v>
      </c>
      <c r="J845" s="132" t="s">
        <v>29</v>
      </c>
      <c r="K845" s="121" t="str">
        <f t="shared" ca="1" si="1070"/>
        <v>10.3.14.</v>
      </c>
      <c r="L845" s="137" t="str">
        <f t="shared" ca="1" si="1057"/>
        <v>Cotação</v>
      </c>
      <c r="M845" s="122" t="s">
        <v>80</v>
      </c>
      <c r="N845" s="139" t="s">
        <v>171</v>
      </c>
      <c r="O845" s="137" t="str">
        <f t="shared" ca="1" si="1066"/>
        <v xml:space="preserve">Refrigerantes (02 litros) </v>
      </c>
      <c r="P845" s="138" t="str">
        <f t="shared" ca="1" si="1058"/>
        <v>Unidade</v>
      </c>
      <c r="Q845" s="134">
        <v>20</v>
      </c>
      <c r="R845" s="124">
        <f t="shared" ca="1" si="1059"/>
        <v>6</v>
      </c>
      <c r="S845" s="136" t="s">
        <v>62</v>
      </c>
      <c r="T845" s="123">
        <f t="shared" ca="1" si="1060"/>
        <v>7.5</v>
      </c>
      <c r="U845" s="126">
        <f t="shared" ca="1" si="1061"/>
        <v>150</v>
      </c>
      <c r="V845" s="1"/>
      <c r="W845" s="39" t="str">
        <f ca="1">IF(OR($A845=0,$A845="S",$A845&gt;CFF!$A$9),"",MAX(W$11:OFFSET(W845,-1,0))+1)</f>
        <v/>
      </c>
      <c r="X845" s="4" t="str">
        <f t="shared" si="1062"/>
        <v>Serv. Terc.-027</v>
      </c>
      <c r="Y845" s="39">
        <f t="shared" ca="1" si="1071"/>
        <v>107</v>
      </c>
      <c r="Z845" s="1"/>
      <c r="AA845" s="133">
        <f>IF($J845=$G$2,ROUND(IF(ISNUMBER(S845),S845,IF(LEFT(S845,2)="DI",HLOOKUP(S845,DADOS!$T$29:$X$30,2,FALSE),0)),4),"")</f>
        <v>0.25</v>
      </c>
      <c r="AB845" s="2"/>
    </row>
    <row r="846" spans="1:28">
      <c r="A846" t="str">
        <f t="shared" si="1068"/>
        <v>S</v>
      </c>
      <c r="B846">
        <f t="shared" si="1069"/>
        <v>0</v>
      </c>
      <c r="C846">
        <f t="shared" ca="1" si="1052"/>
        <v>10</v>
      </c>
      <c r="D846">
        <f t="shared" ca="1" si="1053"/>
        <v>3</v>
      </c>
      <c r="E846">
        <f t="shared" ca="1" si="1054"/>
        <v>0</v>
      </c>
      <c r="F846">
        <f t="shared" ca="1" si="1055"/>
        <v>0</v>
      </c>
      <c r="G846">
        <f t="shared" ca="1" si="1056"/>
        <v>15</v>
      </c>
      <c r="H846">
        <f ca="1">IF(OR($A846="S",$A846=0),0,MATCH(0,OFFSET($B846,1,$A846,ROW($A$1504)-ROW($A846)),0))</f>
        <v>0</v>
      </c>
      <c r="I846">
        <f ca="1">IF(OR($A846="S",$A846=0),0,MATCH(OFFSET($B846,0,$A846)+1,OFFSET($B846,1,$A846,ROW($A$1504)-ROW($A846)),0))</f>
        <v>0</v>
      </c>
      <c r="J846" s="132" t="s">
        <v>29</v>
      </c>
      <c r="K846" s="121" t="str">
        <f t="shared" ca="1" si="1070"/>
        <v>10.3.15.</v>
      </c>
      <c r="L846" s="137" t="str">
        <f t="shared" ca="1" si="1057"/>
        <v>Cotação</v>
      </c>
      <c r="M846" s="122" t="s">
        <v>79</v>
      </c>
      <c r="N846" s="139" t="s">
        <v>163</v>
      </c>
      <c r="O846" s="137" t="str">
        <f t="shared" ref="O846:O854" ca="1" si="1072">IF(NOT(ISERROR($Y846)),IF($Y846&lt;&gt;FALSE,INDEX(Banco,$Y846,5),""),"")</f>
        <v>Guloseimas (balas e pirulito)</v>
      </c>
      <c r="P846" s="138" t="str">
        <f t="shared" ca="1" si="1058"/>
        <v>Pacote</v>
      </c>
      <c r="Q846" s="134">
        <v>3</v>
      </c>
      <c r="R846" s="124">
        <f t="shared" ca="1" si="1059"/>
        <v>12</v>
      </c>
      <c r="S846" s="136" t="s">
        <v>62</v>
      </c>
      <c r="T846" s="123">
        <f t="shared" ca="1" si="1060"/>
        <v>15</v>
      </c>
      <c r="U846" s="126">
        <f t="shared" ca="1" si="1061"/>
        <v>45</v>
      </c>
      <c r="V846" s="1"/>
      <c r="W846" s="39" t="str">
        <f ca="1">IF(OR($A846=0,$A846="S",$A846&gt;CFF!$A$9),"",MAX(W$11:OFFSET(W846,-1,0))+1)</f>
        <v/>
      </c>
      <c r="X846" s="4" t="str">
        <f t="shared" si="1062"/>
        <v>Rec. Materiais-020</v>
      </c>
      <c r="Y846" s="39">
        <f t="shared" ca="1" si="1071"/>
        <v>29</v>
      </c>
      <c r="Z846" s="1"/>
      <c r="AA846" s="133">
        <f>IF($J846=$G$2,ROUND(IF(ISNUMBER(S846),S846,IF(LEFT(S846,2)="DI",HLOOKUP(S846,DADOS!$T$29:$X$30,2,FALSE),0)),4),"")</f>
        <v>0.25</v>
      </c>
      <c r="AB846" s="2"/>
    </row>
    <row r="847" spans="1:28">
      <c r="A847" t="str">
        <f>CHOOSE(1+LOG(1+2*(J847=$C$2)+4*(J847=$D$2)+8*(J847=$E$2)+16*(J847=$F$2)+32*(J847=$G$2),2),0,1,2,3,4,"S")</f>
        <v>S</v>
      </c>
      <c r="B847">
        <f>IF(OR(A847="S",A847=0),0,IF(ISERROR(I847),H847,SMALL(H847:I847,1)))</f>
        <v>0</v>
      </c>
      <c r="C847">
        <f t="shared" ref="C847:C857" ca="1" si="1073">IF($A847=1,OFFSET(C847,-1,0)+1,OFFSET(C847,-1,0))</f>
        <v>10</v>
      </c>
      <c r="D847">
        <f t="shared" ref="D847:D857" ca="1" si="1074">IF($A847=1,0,IF($A847=2,OFFSET(D847,-1,0)+1,OFFSET(D847,-1,0)))</f>
        <v>3</v>
      </c>
      <c r="E847">
        <f t="shared" ref="E847:E857" ca="1" si="1075">IF(AND($A847&lt;=2,$A847&lt;&gt;0),0,IF($A847=3,OFFSET(E847,-1,0)+1,OFFSET(E847,-1,0)))</f>
        <v>0</v>
      </c>
      <c r="F847">
        <f t="shared" ref="F847:F857" ca="1" si="1076">IF(AND($A847&lt;=3,$A847&lt;&gt;0),0,IF($A847=4,OFFSET(F847,-1,0)+1,OFFSET(F847,-1,0)))</f>
        <v>0</v>
      </c>
      <c r="G847">
        <f t="shared" ref="G847:G857" ca="1" si="1077">IF(AND($A847&lt;=4,$A847&lt;&gt;0),0,IF($A847="S",OFFSET(G847,-1,0)+1,OFFSET(G847,-1,0)))</f>
        <v>16</v>
      </c>
      <c r="H847">
        <f ca="1">IF(OR($A847="S",$A847=0),0,MATCH(0,OFFSET($B847,1,$A847,ROW($A$1504)-ROW($A847)),0))</f>
        <v>0</v>
      </c>
      <c r="I847">
        <f ca="1">IF(OR($A847="S",$A847=0),0,MATCH(OFFSET($B847,0,$A847)+1,OFFSET($B847,1,$A847,ROW($A$1504)-ROW($A847)),0))</f>
        <v>0</v>
      </c>
      <c r="J847" s="132" t="s">
        <v>29</v>
      </c>
      <c r="K847" s="121" t="str">
        <f ca="1">IF($A847=0,"-",CONCATENATE(C847&amp;".",IF(AND($A$5&gt;=2,$A847&gt;=2),D847&amp;".",""),IF(AND($A$5&gt;=3,$A847&gt;=3),E847&amp;".",""),IF(AND($A$5&gt;=4,$A847&gt;=4),F847&amp;".",""),IF($A847="S",G847&amp;".","")))</f>
        <v>10.3.16.</v>
      </c>
      <c r="L847" s="137" t="str">
        <f t="shared" ref="L847:L857" ca="1" si="1078">IF(NOT(ISERROR($Y847)),IF($Y847&lt;&gt;FALSE,INDEX(Banco,$Y847,4),""),"")</f>
        <v>Cotação</v>
      </c>
      <c r="M847" s="122" t="s">
        <v>80</v>
      </c>
      <c r="N847" s="139" t="s">
        <v>256</v>
      </c>
      <c r="O847" s="137" t="str">
        <f t="shared" ca="1" si="1072"/>
        <v>Instrutor/Monitor (Educação Fisíca)</v>
      </c>
      <c r="P847" s="138" t="str">
        <f t="shared" ref="P847:P857" ca="1" si="1079">IF(NOT(ISERROR($Y847)),IF($Y847&lt;&gt;FALSE,INDEX(Banco,$Y847,6),""),"")</f>
        <v>Horas</v>
      </c>
      <c r="Q847" s="134">
        <v>6</v>
      </c>
      <c r="R847" s="124">
        <f t="shared" ref="R847:R857" ca="1" si="1080">IF(NOT(ISERROR($Y847)),IF($Y847&lt;&gt;FALSE,INDEX(Banco,$Y847,7),0),0)</f>
        <v>100</v>
      </c>
      <c r="S847" s="136" t="s">
        <v>62</v>
      </c>
      <c r="T847" s="123">
        <f t="shared" ref="T847:T857" ca="1" si="1081">IF($J847=$G$2,ROUND(ROUND($R847,2)*IF($R$9="Preço Unitário (R$)",1,1+$AA847),2),0)</f>
        <v>125</v>
      </c>
      <c r="U847" s="126">
        <f t="shared" ref="U847:U857" ca="1" si="1082">IF($A847="S",VTOTAL1,IF($A847=0,0,ROUND(SomaAgrup,2)))</f>
        <v>750</v>
      </c>
      <c r="V847" s="1"/>
      <c r="W847" s="39" t="str">
        <f ca="1">IF(OR($A847=0,$A847="S",$A847&gt;CFF!$A$9),"",MAX(W$11:OFFSET(W847,-1,0))+1)</f>
        <v/>
      </c>
      <c r="X847" s="4" t="str">
        <f t="shared" ref="X847:X857" si="1083">IF(AND($J847=$G$2,$N847&lt;&gt;"",$M847&lt;&gt;""),CONCATENATE($M847,"-",$N847))</f>
        <v>Serv. Terc.-017</v>
      </c>
      <c r="Y847" s="39">
        <f ca="1">IF(X847&lt;&gt;FALSE,MATCH(X847,OFFSET(Banco,0,0,,1),0))</f>
        <v>97</v>
      </c>
      <c r="Z847" s="1"/>
      <c r="AA847" s="133">
        <f>IF($J847=$G$2,ROUND(IF(ISNUMBER(S847),S847,IF(LEFT(S847,2)="DI",HLOOKUP(S847,DADOS!$T$29:$X$30,2,FALSE),0)),4),"")</f>
        <v>0.25</v>
      </c>
      <c r="AB847" s="2"/>
    </row>
    <row r="848" spans="1:28">
      <c r="A848" t="str">
        <f>CHOOSE(1+LOG(1+2*(J848=$C$2)+4*(J848=$D$2)+8*(J848=$E$2)+16*(J848=$F$2)+32*(J848=$G$2),2),0,1,2,3,4,"S")</f>
        <v>S</v>
      </c>
      <c r="B848">
        <f>IF(OR(A848="S",A848=0),0,IF(ISERROR(I848),H848,SMALL(H848:I848,1)))</f>
        <v>0</v>
      </c>
      <c r="C848">
        <f t="shared" ca="1" si="1073"/>
        <v>10</v>
      </c>
      <c r="D848">
        <f t="shared" ca="1" si="1074"/>
        <v>3</v>
      </c>
      <c r="E848">
        <f t="shared" ca="1" si="1075"/>
        <v>0</v>
      </c>
      <c r="F848">
        <f t="shared" ca="1" si="1076"/>
        <v>0</v>
      </c>
      <c r="G848">
        <f t="shared" ca="1" si="1077"/>
        <v>17</v>
      </c>
      <c r="H848">
        <f ca="1">IF(OR($A848="S",$A848=0),0,MATCH(0,OFFSET($B848,1,$A848,ROW($A$1504)-ROW($A848)),0))</f>
        <v>0</v>
      </c>
      <c r="I848">
        <f ca="1">IF(OR($A848="S",$A848=0),0,MATCH(OFFSET($B848,0,$A848)+1,OFFSET($B848,1,$A848,ROW($A$1504)-ROW($A848)),0))</f>
        <v>0</v>
      </c>
      <c r="J848" s="132" t="s">
        <v>29</v>
      </c>
      <c r="K848" s="121" t="str">
        <f ca="1">IF($A848=0,"-",CONCATENATE(C848&amp;".",IF(AND($A$5&gt;=2,$A848&gt;=2),D848&amp;".",""),IF(AND($A$5&gt;=3,$A848&gt;=3),E848&amp;".",""),IF(AND($A$5&gt;=4,$A848&gt;=4),F848&amp;".",""),IF($A848="S",G848&amp;".","")))</f>
        <v>10.3.17.</v>
      </c>
      <c r="L848" s="137" t="str">
        <f t="shared" ca="1" si="1078"/>
        <v>COREN</v>
      </c>
      <c r="M848" s="122" t="s">
        <v>80</v>
      </c>
      <c r="N848" s="139" t="s">
        <v>261</v>
      </c>
      <c r="O848" s="137" t="str">
        <f t="shared" ca="1" si="1072"/>
        <v>Técnica de Enfermagem (Instrutor)</v>
      </c>
      <c r="P848" s="138" t="str">
        <f t="shared" ca="1" si="1079"/>
        <v>Horas</v>
      </c>
      <c r="Q848" s="134">
        <v>6</v>
      </c>
      <c r="R848" s="124">
        <f t="shared" ca="1" si="1080"/>
        <v>92.65</v>
      </c>
      <c r="S848" s="136" t="s">
        <v>62</v>
      </c>
      <c r="T848" s="123">
        <f t="shared" ca="1" si="1081"/>
        <v>115.81</v>
      </c>
      <c r="U848" s="126">
        <f t="shared" ca="1" si="1082"/>
        <v>694.86</v>
      </c>
      <c r="V848" s="1"/>
      <c r="W848" s="39" t="str">
        <f ca="1">IF(OR($A848=0,$A848="S",$A848&gt;CFF!$A$9),"",MAX(W$11:OFFSET(W848,-1,0))+1)</f>
        <v/>
      </c>
      <c r="X848" s="4" t="str">
        <f t="shared" si="1083"/>
        <v>Serv. Terc.-086</v>
      </c>
      <c r="Y848" s="39">
        <f ca="1">IF(X848&lt;&gt;FALSE,MATCH(X848,OFFSET(Banco,0,0,,1),0))</f>
        <v>166</v>
      </c>
      <c r="Z848" s="1"/>
      <c r="AA848" s="133">
        <f>IF($J848=$G$2,ROUND(IF(ISNUMBER(S848),S848,IF(LEFT(S848,2)="DI",HLOOKUP(S848,DADOS!$T$29:$X$30,2,FALSE),0)),4),"")</f>
        <v>0.25</v>
      </c>
      <c r="AB848" s="2"/>
    </row>
    <row r="849" spans="1:28">
      <c r="A849" t="str">
        <f t="shared" si="1068"/>
        <v>S</v>
      </c>
      <c r="B849">
        <f t="shared" si="1069"/>
        <v>0</v>
      </c>
      <c r="C849">
        <f t="shared" ca="1" si="1073"/>
        <v>10</v>
      </c>
      <c r="D849">
        <f t="shared" ca="1" si="1074"/>
        <v>3</v>
      </c>
      <c r="E849">
        <f t="shared" ca="1" si="1075"/>
        <v>0</v>
      </c>
      <c r="F849">
        <f t="shared" ca="1" si="1076"/>
        <v>0</v>
      </c>
      <c r="G849">
        <f t="shared" ca="1" si="1077"/>
        <v>18</v>
      </c>
      <c r="H849">
        <f ca="1">IF(OR($A849="S",$A849=0),0,MATCH(0,OFFSET($B849,1,$A849,ROW($A$1504)-ROW($A849)),0))</f>
        <v>0</v>
      </c>
      <c r="I849">
        <f ca="1">IF(OR($A849="S",$A849=0),0,MATCH(OFFSET($B849,0,$A849)+1,OFFSET($B849,1,$A849,ROW($A$1504)-ROW($A849)),0))</f>
        <v>0</v>
      </c>
      <c r="J849" s="132" t="s">
        <v>29</v>
      </c>
      <c r="K849" s="121" t="str">
        <f t="shared" ca="1" si="1070"/>
        <v>10.3.18.</v>
      </c>
      <c r="L849" s="137" t="str">
        <f t="shared" ca="1" si="1078"/>
        <v>Cotação</v>
      </c>
      <c r="M849" s="122" t="s">
        <v>80</v>
      </c>
      <c r="N849" s="139" t="s">
        <v>229</v>
      </c>
      <c r="O849" s="137" t="str">
        <f t="shared" ca="1" si="1072"/>
        <v>Arco decorativo de balão (com 200 unidades)</v>
      </c>
      <c r="P849" s="138" t="str">
        <f t="shared" ca="1" si="1079"/>
        <v>Unidade</v>
      </c>
      <c r="Q849" s="134">
        <v>1</v>
      </c>
      <c r="R849" s="124">
        <f t="shared" ca="1" si="1080"/>
        <v>250</v>
      </c>
      <c r="S849" s="136" t="s">
        <v>62</v>
      </c>
      <c r="T849" s="123">
        <f t="shared" ca="1" si="1081"/>
        <v>312.5</v>
      </c>
      <c r="U849" s="126">
        <f t="shared" ca="1" si="1082"/>
        <v>312.5</v>
      </c>
      <c r="V849" s="1"/>
      <c r="W849" s="39" t="str">
        <f ca="1">IF(OR($A849=0,$A849="S",$A849&gt;CFF!$A$9),"",MAX(W$11:OFFSET(W849,-1,0))+1)</f>
        <v/>
      </c>
      <c r="X849" s="4" t="str">
        <f t="shared" si="1083"/>
        <v>Serv. Terc.-074</v>
      </c>
      <c r="Y849" s="39">
        <f t="shared" ca="1" si="1071"/>
        <v>154</v>
      </c>
      <c r="Z849" s="1"/>
      <c r="AA849" s="133">
        <f>IF($J849=$G$2,ROUND(IF(ISNUMBER(S849),S849,IF(LEFT(S849,2)="DI",HLOOKUP(S849,DADOS!$T$29:$X$30,2,FALSE),0)),4),"")</f>
        <v>0.25</v>
      </c>
      <c r="AB849" s="2"/>
    </row>
    <row r="850" spans="1:28">
      <c r="A850" t="str">
        <f t="shared" ref="A850:A864" si="1084">CHOOSE(1+LOG(1+2*(J850=$C$2)+4*(J850=$D$2)+8*(J850=$E$2)+16*(J850=$F$2)+32*(J850=$G$2),2),0,1,2,3,4,"S")</f>
        <v>S</v>
      </c>
      <c r="B850">
        <f t="shared" ref="B850:B864" si="1085">IF(OR(A850="S",A850=0),0,IF(ISERROR(I850),H850,SMALL(H850:I850,1)))</f>
        <v>0</v>
      </c>
      <c r="C850">
        <f t="shared" ca="1" si="1073"/>
        <v>10</v>
      </c>
      <c r="D850">
        <f t="shared" ca="1" si="1074"/>
        <v>3</v>
      </c>
      <c r="E850">
        <f t="shared" ca="1" si="1075"/>
        <v>0</v>
      </c>
      <c r="F850">
        <f t="shared" ca="1" si="1076"/>
        <v>0</v>
      </c>
      <c r="G850">
        <f t="shared" ca="1" si="1077"/>
        <v>19</v>
      </c>
      <c r="H850">
        <f ca="1">IF(OR($A850="S",$A850=0),0,MATCH(0,OFFSET($B850,1,$A850,ROW($A$1504)-ROW($A850)),0))</f>
        <v>0</v>
      </c>
      <c r="I850">
        <f ca="1">IF(OR($A850="S",$A850=0),0,MATCH(OFFSET($B850,0,$A850)+1,OFFSET($B850,1,$A850,ROW($A$1504)-ROW($A850)),0))</f>
        <v>0</v>
      </c>
      <c r="J850" s="132" t="s">
        <v>29</v>
      </c>
      <c r="K850" s="121" t="str">
        <f t="shared" ref="K850:K864" ca="1" si="1086">IF($A850=0,"-",CONCATENATE(C850&amp;".",IF(AND($A$5&gt;=2,$A850&gt;=2),D850&amp;".",""),IF(AND($A$5&gt;=3,$A850&gt;=3),E850&amp;".",""),IF(AND($A$5&gt;=4,$A850&gt;=4),F850&amp;".",""),IF($A850="S",G850&amp;".","")))</f>
        <v>10.3.19.</v>
      </c>
      <c r="L850" s="137" t="str">
        <f t="shared" ca="1" si="1078"/>
        <v>Cotação</v>
      </c>
      <c r="M850" s="122" t="s">
        <v>80</v>
      </c>
      <c r="N850" s="139" t="s">
        <v>217</v>
      </c>
      <c r="O850" s="137" t="str">
        <f t="shared" ca="1" si="1072"/>
        <v>Locação de carrinho de picolé</v>
      </c>
      <c r="P850" s="138" t="str">
        <f t="shared" ca="1" si="1079"/>
        <v>Unidade</v>
      </c>
      <c r="Q850" s="134">
        <v>1</v>
      </c>
      <c r="R850" s="124">
        <f t="shared" ca="1" si="1080"/>
        <v>186</v>
      </c>
      <c r="S850" s="136" t="s">
        <v>62</v>
      </c>
      <c r="T850" s="123">
        <f t="shared" ca="1" si="1081"/>
        <v>232.5</v>
      </c>
      <c r="U850" s="126">
        <f t="shared" ca="1" si="1082"/>
        <v>232.5</v>
      </c>
      <c r="V850" s="1"/>
      <c r="W850" s="39" t="str">
        <f ca="1">IF(OR($A850=0,$A850="S",$A850&gt;CFF!$A$9),"",MAX(W$11:OFFSET(W850,-1,0))+1)</f>
        <v/>
      </c>
      <c r="X850" s="4" t="str">
        <f t="shared" si="1083"/>
        <v>Serv. Terc.-036</v>
      </c>
      <c r="Y850" s="39">
        <f t="shared" ref="Y850:Y864" ca="1" si="1087">IF(X850&lt;&gt;FALSE,MATCH(X850,OFFSET(Banco,0,0,,1),0))</f>
        <v>116</v>
      </c>
      <c r="Z850" s="1"/>
      <c r="AA850" s="133">
        <f>IF($J850=$G$2,ROUND(IF(ISNUMBER(S850),S850,IF(LEFT(S850,2)="DI",HLOOKUP(S850,DADOS!$T$29:$X$30,2,FALSE),0)),4),"")</f>
        <v>0.25</v>
      </c>
      <c r="AB850" s="2"/>
    </row>
    <row r="851" spans="1:28">
      <c r="A851" t="str">
        <f t="shared" si="1084"/>
        <v>S</v>
      </c>
      <c r="B851">
        <f t="shared" si="1085"/>
        <v>0</v>
      </c>
      <c r="C851">
        <f t="shared" ca="1" si="1073"/>
        <v>10</v>
      </c>
      <c r="D851">
        <f t="shared" ca="1" si="1074"/>
        <v>3</v>
      </c>
      <c r="E851">
        <f t="shared" ca="1" si="1075"/>
        <v>0</v>
      </c>
      <c r="F851">
        <f t="shared" ca="1" si="1076"/>
        <v>0</v>
      </c>
      <c r="G851">
        <f t="shared" ca="1" si="1077"/>
        <v>20</v>
      </c>
      <c r="H851">
        <f ca="1">IF(OR($A851="S",$A851=0),0,MATCH(0,OFFSET($B851,1,$A851,ROW($A$1504)-ROW($A851)),0))</f>
        <v>0</v>
      </c>
      <c r="I851">
        <f ca="1">IF(OR($A851="S",$A851=0),0,MATCH(OFFSET($B851,0,$A851)+1,OFFSET($B851,1,$A851,ROW($A$1504)-ROW($A851)),0))</f>
        <v>0</v>
      </c>
      <c r="J851" s="132" t="s">
        <v>29</v>
      </c>
      <c r="K851" s="121" t="str">
        <f t="shared" ca="1" si="1086"/>
        <v>10.3.20.</v>
      </c>
      <c r="L851" s="137" t="str">
        <f t="shared" ca="1" si="1078"/>
        <v>Cotação</v>
      </c>
      <c r="M851" s="122" t="s">
        <v>80</v>
      </c>
      <c r="N851" s="139" t="s">
        <v>218</v>
      </c>
      <c r="O851" s="137" t="str">
        <f t="shared" ca="1" si="1072"/>
        <v>Locação carrinho de pipoca</v>
      </c>
      <c r="P851" s="138" t="str">
        <f t="shared" ca="1" si="1079"/>
        <v>Unidade</v>
      </c>
      <c r="Q851" s="134">
        <v>1</v>
      </c>
      <c r="R851" s="124">
        <f t="shared" ca="1" si="1080"/>
        <v>190</v>
      </c>
      <c r="S851" s="136" t="s">
        <v>62</v>
      </c>
      <c r="T851" s="123">
        <f t="shared" ca="1" si="1081"/>
        <v>237.5</v>
      </c>
      <c r="U851" s="126">
        <f t="shared" ca="1" si="1082"/>
        <v>237.5</v>
      </c>
      <c r="V851" s="1"/>
      <c r="W851" s="39" t="str">
        <f ca="1">IF(OR($A851=0,$A851="S",$A851&gt;CFF!$A$9),"",MAX(W$11:OFFSET(W851,-1,0))+1)</f>
        <v/>
      </c>
      <c r="X851" s="4" t="str">
        <f t="shared" si="1083"/>
        <v>Serv. Terc.-037</v>
      </c>
      <c r="Y851" s="39">
        <f t="shared" ca="1" si="1087"/>
        <v>117</v>
      </c>
      <c r="Z851" s="1"/>
      <c r="AA851" s="133">
        <f>IF($J851=$G$2,ROUND(IF(ISNUMBER(S851),S851,IF(LEFT(S851,2)="DI",HLOOKUP(S851,DADOS!$T$29:$X$30,2,FALSE),0)),4),"")</f>
        <v>0.25</v>
      </c>
      <c r="AB851" s="2"/>
    </row>
    <row r="852" spans="1:28">
      <c r="A852" t="str">
        <f t="shared" si="1084"/>
        <v>S</v>
      </c>
      <c r="B852">
        <f t="shared" si="1085"/>
        <v>0</v>
      </c>
      <c r="C852">
        <f t="shared" ca="1" si="1073"/>
        <v>10</v>
      </c>
      <c r="D852">
        <f t="shared" ca="1" si="1074"/>
        <v>3</v>
      </c>
      <c r="E852">
        <f t="shared" ca="1" si="1075"/>
        <v>0</v>
      </c>
      <c r="F852">
        <f t="shared" ca="1" si="1076"/>
        <v>0</v>
      </c>
      <c r="G852">
        <f t="shared" ca="1" si="1077"/>
        <v>21</v>
      </c>
      <c r="H852">
        <f ca="1">IF(OR($A852="S",$A852=0),0,MATCH(0,OFFSET($B852,1,$A852,ROW($A$1504)-ROW($A852)),0))</f>
        <v>0</v>
      </c>
      <c r="I852">
        <f ca="1">IF(OR($A852="S",$A852=0),0,MATCH(OFFSET($B852,0,$A852)+1,OFFSET($B852,1,$A852,ROW($A$1504)-ROW($A852)),0))</f>
        <v>0</v>
      </c>
      <c r="J852" s="132" t="s">
        <v>29</v>
      </c>
      <c r="K852" s="121" t="str">
        <f t="shared" ca="1" si="1086"/>
        <v>10.3.21.</v>
      </c>
      <c r="L852" s="137" t="str">
        <f t="shared" ca="1" si="1078"/>
        <v>Cotação</v>
      </c>
      <c r="M852" s="122" t="s">
        <v>80</v>
      </c>
      <c r="N852" s="139" t="s">
        <v>219</v>
      </c>
      <c r="O852" s="137" t="str">
        <f t="shared" ca="1" si="1072"/>
        <v>Locação carrinho de algodão doce</v>
      </c>
      <c r="P852" s="138" t="str">
        <f t="shared" ca="1" si="1079"/>
        <v>Unidade</v>
      </c>
      <c r="Q852" s="134">
        <v>1</v>
      </c>
      <c r="R852" s="124">
        <f t="shared" ca="1" si="1080"/>
        <v>200</v>
      </c>
      <c r="S852" s="136" t="s">
        <v>62</v>
      </c>
      <c r="T852" s="123">
        <f t="shared" ca="1" si="1081"/>
        <v>250</v>
      </c>
      <c r="U852" s="126">
        <f t="shared" ca="1" si="1082"/>
        <v>250</v>
      </c>
      <c r="V852" s="1"/>
      <c r="W852" s="39" t="str">
        <f ca="1">IF(OR($A852=0,$A852="S",$A852&gt;CFF!$A$9),"",MAX(W$11:OFFSET(W852,-1,0))+1)</f>
        <v/>
      </c>
      <c r="X852" s="4" t="str">
        <f t="shared" si="1083"/>
        <v>Serv. Terc.-038</v>
      </c>
      <c r="Y852" s="39">
        <f t="shared" ca="1" si="1087"/>
        <v>118</v>
      </c>
      <c r="Z852" s="1"/>
      <c r="AA852" s="133">
        <f>IF($J852=$G$2,ROUND(IF(ISNUMBER(S852),S852,IF(LEFT(S852,2)="DI",HLOOKUP(S852,DADOS!$T$29:$X$30,2,FALSE),0)),4),"")</f>
        <v>0.25</v>
      </c>
      <c r="AB852" s="2"/>
    </row>
    <row r="853" spans="1:28">
      <c r="A853" t="str">
        <f t="shared" si="1084"/>
        <v>S</v>
      </c>
      <c r="B853">
        <f t="shared" si="1085"/>
        <v>0</v>
      </c>
      <c r="C853">
        <f t="shared" ca="1" si="1073"/>
        <v>10</v>
      </c>
      <c r="D853">
        <f t="shared" ca="1" si="1074"/>
        <v>3</v>
      </c>
      <c r="E853">
        <f t="shared" ca="1" si="1075"/>
        <v>0</v>
      </c>
      <c r="F853">
        <f t="shared" ca="1" si="1076"/>
        <v>0</v>
      </c>
      <c r="G853">
        <f t="shared" ca="1" si="1077"/>
        <v>22</v>
      </c>
      <c r="H853">
        <f ca="1">IF(OR($A853="S",$A853=0),0,MATCH(0,OFFSET($B853,1,$A853,ROW($A$1504)-ROW($A853)),0))</f>
        <v>0</v>
      </c>
      <c r="I853">
        <f ca="1">IF(OR($A853="S",$A853=0),0,MATCH(OFFSET($B853,0,$A853)+1,OFFSET($B853,1,$A853,ROW($A$1504)-ROW($A853)),0))</f>
        <v>0</v>
      </c>
      <c r="J853" s="132" t="s">
        <v>29</v>
      </c>
      <c r="K853" s="121" t="str">
        <f t="shared" ca="1" si="1086"/>
        <v>10.3.22.</v>
      </c>
      <c r="L853" s="137" t="str">
        <f t="shared" ca="1" si="1078"/>
        <v>Cotação</v>
      </c>
      <c r="M853" s="122" t="s">
        <v>80</v>
      </c>
      <c r="N853" s="139" t="s">
        <v>220</v>
      </c>
      <c r="O853" s="137" t="str">
        <f t="shared" ca="1" si="1072"/>
        <v>Locação carrinho de cachorro quente</v>
      </c>
      <c r="P853" s="138" t="str">
        <f t="shared" ca="1" si="1079"/>
        <v>Unidade</v>
      </c>
      <c r="Q853" s="134">
        <v>1</v>
      </c>
      <c r="R853" s="124">
        <f t="shared" ca="1" si="1080"/>
        <v>250</v>
      </c>
      <c r="S853" s="136" t="s">
        <v>62</v>
      </c>
      <c r="T853" s="123">
        <f t="shared" ca="1" si="1081"/>
        <v>312.5</v>
      </c>
      <c r="U853" s="126">
        <f t="shared" ca="1" si="1082"/>
        <v>312.5</v>
      </c>
      <c r="V853" s="1"/>
      <c r="W853" s="39" t="str">
        <f ca="1">IF(OR($A853=0,$A853="S",$A853&gt;CFF!$A$9),"",MAX(W$11:OFFSET(W853,-1,0))+1)</f>
        <v/>
      </c>
      <c r="X853" s="4" t="str">
        <f t="shared" si="1083"/>
        <v>Serv. Terc.-039</v>
      </c>
      <c r="Y853" s="39">
        <f t="shared" ca="1" si="1087"/>
        <v>119</v>
      </c>
      <c r="Z853" s="1"/>
      <c r="AA853" s="133">
        <f>IF($J853=$G$2,ROUND(IF(ISNUMBER(S853),S853,IF(LEFT(S853,2)="DI",HLOOKUP(S853,DADOS!$T$29:$X$30,2,FALSE),0)),4),"")</f>
        <v>0.25</v>
      </c>
      <c r="AB853" s="2"/>
    </row>
    <row r="854" spans="1:28">
      <c r="A854" t="str">
        <f t="shared" si="1084"/>
        <v>S</v>
      </c>
      <c r="B854">
        <f t="shared" si="1085"/>
        <v>0</v>
      </c>
      <c r="C854">
        <f t="shared" ca="1" si="1073"/>
        <v>10</v>
      </c>
      <c r="D854">
        <f t="shared" ca="1" si="1074"/>
        <v>3</v>
      </c>
      <c r="E854">
        <f t="shared" ca="1" si="1075"/>
        <v>0</v>
      </c>
      <c r="F854">
        <f t="shared" ca="1" si="1076"/>
        <v>0</v>
      </c>
      <c r="G854">
        <f t="shared" ca="1" si="1077"/>
        <v>23</v>
      </c>
      <c r="H854">
        <f ca="1">IF(OR($A854="S",$A854=0),0,MATCH(0,OFFSET($B854,1,$A854,ROW($A$1504)-ROW($A854)),0))</f>
        <v>0</v>
      </c>
      <c r="I854">
        <f ca="1">IF(OR($A854="S",$A854=0),0,MATCH(OFFSET($B854,0,$A854)+1,OFFSET($B854,1,$A854,ROW($A$1504)-ROW($A854)),0))</f>
        <v>0</v>
      </c>
      <c r="J854" s="132" t="s">
        <v>29</v>
      </c>
      <c r="K854" s="121" t="str">
        <f t="shared" ca="1" si="1086"/>
        <v>10.3.23.</v>
      </c>
      <c r="L854" s="137" t="str">
        <f t="shared" ca="1" si="1078"/>
        <v>Cotação</v>
      </c>
      <c r="M854" s="122" t="s">
        <v>79</v>
      </c>
      <c r="N854" s="139" t="s">
        <v>170</v>
      </c>
      <c r="O854" s="137" t="str">
        <f t="shared" ca="1" si="1072"/>
        <v>Saco de lixo (100 litros)</v>
      </c>
      <c r="P854" s="138" t="str">
        <f t="shared" ca="1" si="1079"/>
        <v>Pacote</v>
      </c>
      <c r="Q854" s="134">
        <v>2</v>
      </c>
      <c r="R854" s="124">
        <f t="shared" ca="1" si="1080"/>
        <v>15</v>
      </c>
      <c r="S854" s="136" t="s">
        <v>62</v>
      </c>
      <c r="T854" s="123">
        <f t="shared" ca="1" si="1081"/>
        <v>18.75</v>
      </c>
      <c r="U854" s="126">
        <f t="shared" ca="1" si="1082"/>
        <v>37.5</v>
      </c>
      <c r="V854" s="1"/>
      <c r="W854" s="39" t="str">
        <f ca="1">IF(OR($A854=0,$A854="S",$A854&gt;CFF!$A$9),"",MAX(W$11:OFFSET(W854,-1,0))+1)</f>
        <v/>
      </c>
      <c r="X854" s="4" t="str">
        <f t="shared" si="1083"/>
        <v>Rec. Materiais-026</v>
      </c>
      <c r="Y854" s="39">
        <f t="shared" ca="1" si="1087"/>
        <v>35</v>
      </c>
      <c r="Z854" s="1"/>
      <c r="AA854" s="133">
        <f>IF($J854=$G$2,ROUND(IF(ISNUMBER(S854),S854,IF(LEFT(S854,2)="DI",HLOOKUP(S854,DADOS!$T$29:$X$30,2,FALSE),0)),4),"")</f>
        <v>0.25</v>
      </c>
      <c r="AB854" s="2"/>
    </row>
    <row r="855" spans="1:28">
      <c r="A855">
        <f>CHOOSE(1+LOG(1+2*(J855=$C$2)+4*(J855=$D$2)+8*(J855=$E$2)+16*(J855=$F$2)+32*(J855=$G$2),2),0,1,2,3,4,"S")</f>
        <v>2</v>
      </c>
      <c r="B855">
        <f ca="1">IF(OR(A855="S",A855=0),0,IF(ISERROR(I855),H855,SMALL(H855:I855,1)))</f>
        <v>3</v>
      </c>
      <c r="C855">
        <f ca="1">IF($A855=1,OFFSET(C855,-1,0)+1,OFFSET(C855,-1,0))</f>
        <v>10</v>
      </c>
      <c r="D855">
        <f ca="1">IF($A855=1,0,IF($A855=2,OFFSET(D855,-1,0)+1,OFFSET(D855,-1,0)))</f>
        <v>4</v>
      </c>
      <c r="E855">
        <f ca="1">IF(AND($A855&lt;=2,$A855&lt;&gt;0),0,IF($A855=3,OFFSET(E855,-1,0)+1,OFFSET(E855,-1,0)))</f>
        <v>0</v>
      </c>
      <c r="F855">
        <f ca="1">IF(AND($A855&lt;=3,$A855&lt;&gt;0),0,IF($A855=4,OFFSET(F855,-1,0)+1,OFFSET(F855,-1,0)))</f>
        <v>0</v>
      </c>
      <c r="G855">
        <f ca="1">IF(AND($A855&lt;=4,$A855&lt;&gt;0),0,IF($A855="S",OFFSET(G855,-1,0)+1,OFFSET(G855,-1,0)))</f>
        <v>0</v>
      </c>
      <c r="H855">
        <f ca="1">IF(OR($A855="S",$A855=0),0,MATCH(0,OFFSET($B855,1,$A855,ROW($A$1504)-ROW($A855)),0))</f>
        <v>89</v>
      </c>
      <c r="I855">
        <f ca="1">IF(OR($A855="S",$A855=0),0,MATCH(OFFSET($B855,0,$A855)+1,OFFSET($B855,1,$A855,ROW($A$1504)-ROW($A855)),0))</f>
        <v>3</v>
      </c>
      <c r="J855" s="132" t="s">
        <v>68</v>
      </c>
      <c r="K855" s="121" t="str">
        <f ca="1">IF($A855=0,"-",CONCATENATE(C855&amp;".",IF(AND($A$5&gt;=2,$A855&gt;=2),D855&amp;".",""),IF(AND($A$5&gt;=3,$A855&gt;=3),E855&amp;".",""),IF(AND($A$5&gt;=4,$A855&gt;=4),F855&amp;".",""),IF($A855="S",G855&amp;".","")))</f>
        <v>10.4.</v>
      </c>
      <c r="L855" s="137" t="str">
        <f ca="1">IF(NOT(ISERROR($Y855)),IF($Y855&lt;&gt;FALSE,INDEX(Banco,$Y855,4),""),"")</f>
        <v/>
      </c>
      <c r="M855" s="122"/>
      <c r="N855" s="139"/>
      <c r="O855" s="137" t="s">
        <v>414</v>
      </c>
      <c r="P855" s="138" t="str">
        <f ca="1">IF(NOT(ISERROR($Y855)),IF($Y855&lt;&gt;FALSE,INDEX(Banco,$Y855,6),""),"")</f>
        <v/>
      </c>
      <c r="Q855" s="134"/>
      <c r="R855" s="124">
        <f ca="1">IF(NOT(ISERROR($Y855)),IF($Y855&lt;&gt;FALSE,INDEX(Banco,$Y855,7),0),0)</f>
        <v>0</v>
      </c>
      <c r="S855" s="136" t="s">
        <v>62</v>
      </c>
      <c r="T855" s="123">
        <f>IF($J855=$G$2,ROUND(ROUND($R855,2)*IF($R$9="Preço Unitário (R$)",1,1+$AA855),2),0)</f>
        <v>0</v>
      </c>
      <c r="U855" s="126">
        <f ca="1">IF($A855="S",VTOTAL1,IF($A855=0,0,ROUND(SomaAgrup,2)))</f>
        <v>3427.56</v>
      </c>
      <c r="V855" s="1"/>
      <c r="W855" s="39">
        <f ca="1">IF(OR($A855=0,$A855="S",$A855&gt;CFF!$A$9),"",MAX(W$11:OFFSET(W855,-1,0))+1)</f>
        <v>77</v>
      </c>
      <c r="X855" s="4" t="b">
        <f>IF(AND($J855=$G$2,$N855&lt;&gt;"",$M855&lt;&gt;""),CONCATENATE($M855,"-",$N855))</f>
        <v>0</v>
      </c>
      <c r="Y855" s="39" t="b">
        <f ca="1">IF(X855&lt;&gt;FALSE,MATCH(X855,OFFSET(Banco,0,0,,1),0))</f>
        <v>0</v>
      </c>
      <c r="Z855" s="1"/>
      <c r="AA855" s="133" t="str">
        <f>IF($J855=$G$2,ROUND(IF(ISNUMBER(S855),S855,IF(LEFT(S855,2)="DI",HLOOKUP(S855,DADOS!$T$29:$X$30,2,FALSE),0)),4),"")</f>
        <v/>
      </c>
      <c r="AB855" s="2"/>
    </row>
    <row r="856" spans="1:28">
      <c r="A856" t="str">
        <f t="shared" si="1084"/>
        <v>S</v>
      </c>
      <c r="B856">
        <f t="shared" si="1085"/>
        <v>0</v>
      </c>
      <c r="C856">
        <f t="shared" ca="1" si="1073"/>
        <v>10</v>
      </c>
      <c r="D856">
        <f t="shared" ca="1" si="1074"/>
        <v>4</v>
      </c>
      <c r="E856">
        <f t="shared" ca="1" si="1075"/>
        <v>0</v>
      </c>
      <c r="F856">
        <f t="shared" ca="1" si="1076"/>
        <v>0</v>
      </c>
      <c r="G856">
        <f t="shared" ca="1" si="1077"/>
        <v>1</v>
      </c>
      <c r="H856">
        <f ca="1">IF(OR($A856="S",$A856=0),0,MATCH(0,OFFSET($B856,1,$A856,ROW($A$1504)-ROW($A856)),0))</f>
        <v>0</v>
      </c>
      <c r="I856">
        <f ca="1">IF(OR($A856="S",$A856=0),0,MATCH(OFFSET($B856,0,$A856)+1,OFFSET($B856,1,$A856,ROW($A$1504)-ROW($A856)),0))</f>
        <v>0</v>
      </c>
      <c r="J856" s="132" t="s">
        <v>29</v>
      </c>
      <c r="K856" s="121" t="str">
        <f t="shared" ca="1" si="1086"/>
        <v>10.4.1.</v>
      </c>
      <c r="L856" s="137" t="str">
        <f t="shared" ca="1" si="1078"/>
        <v>CRESS</v>
      </c>
      <c r="M856" s="122" t="s">
        <v>78</v>
      </c>
      <c r="N856" s="139" t="s">
        <v>149</v>
      </c>
      <c r="O856" s="137" t="str">
        <f ca="1">IF(NOT(ISERROR($Y856)),IF($Y856&lt;&gt;FALSE,INDEX(Banco,$Y856,5),""),"")</f>
        <v>Responsável Técnica</v>
      </c>
      <c r="P856" s="138" t="str">
        <f t="shared" ca="1" si="1079"/>
        <v>Horas</v>
      </c>
      <c r="Q856" s="134">
        <v>4</v>
      </c>
      <c r="R856" s="124">
        <f t="shared" ca="1" si="1080"/>
        <v>150.28</v>
      </c>
      <c r="S856" s="136" t="s">
        <v>62</v>
      </c>
      <c r="T856" s="123">
        <f t="shared" ca="1" si="1081"/>
        <v>187.85</v>
      </c>
      <c r="U856" s="126">
        <f t="shared" ca="1" si="1082"/>
        <v>751.4</v>
      </c>
      <c r="V856" s="1"/>
      <c r="W856" s="39" t="str">
        <f ca="1">IF(OR($A856=0,$A856="S",$A856&gt;CFF!$A$9),"",MAX(W$11:OFFSET(W856,-1,0))+1)</f>
        <v/>
      </c>
      <c r="X856" s="4" t="str">
        <f t="shared" si="1083"/>
        <v>Rec. Humanos-001</v>
      </c>
      <c r="Y856" s="39">
        <f t="shared" ca="1" si="1087"/>
        <v>3</v>
      </c>
      <c r="Z856" s="1"/>
      <c r="AA856" s="133">
        <f>IF($J856=$G$2,ROUND(IF(ISNUMBER(S856),S856,IF(LEFT(S856,2)="DI",HLOOKUP(S856,DADOS!$T$29:$X$30,2,FALSE),0)),4),"")</f>
        <v>0.25</v>
      </c>
      <c r="AB856" s="2"/>
    </row>
    <row r="857" spans="1:28">
      <c r="A857" t="str">
        <f t="shared" si="1084"/>
        <v>S</v>
      </c>
      <c r="B857">
        <f t="shared" si="1085"/>
        <v>0</v>
      </c>
      <c r="C857">
        <f t="shared" ca="1" si="1073"/>
        <v>10</v>
      </c>
      <c r="D857">
        <f t="shared" ca="1" si="1074"/>
        <v>4</v>
      </c>
      <c r="E857">
        <f t="shared" ca="1" si="1075"/>
        <v>0</v>
      </c>
      <c r="F857">
        <f t="shared" ca="1" si="1076"/>
        <v>0</v>
      </c>
      <c r="G857">
        <f t="shared" ca="1" si="1077"/>
        <v>2</v>
      </c>
      <c r="H857">
        <f ca="1">IF(OR($A857="S",$A857=0),0,MATCH(0,OFFSET($B857,1,$A857,ROW($A$1504)-ROW($A857)),0))</f>
        <v>0</v>
      </c>
      <c r="I857">
        <f ca="1">IF(OR($A857="S",$A857=0),0,MATCH(OFFSET($B857,0,$A857)+1,OFFSET($B857,1,$A857,ROW($A$1504)-ROW($A857)),0))</f>
        <v>0</v>
      </c>
      <c r="J857" s="132" t="s">
        <v>29</v>
      </c>
      <c r="K857" s="121" t="str">
        <f t="shared" ca="1" si="1086"/>
        <v>10.4.2.</v>
      </c>
      <c r="L857" s="137" t="str">
        <f t="shared" ca="1" si="1078"/>
        <v>CRESS</v>
      </c>
      <c r="M857" s="122" t="s">
        <v>78</v>
      </c>
      <c r="N857" s="139" t="s">
        <v>152</v>
      </c>
      <c r="O857" s="137" t="str">
        <f ca="1">IF(NOT(ISERROR($Y857)),IF($Y857&lt;&gt;FALSE,INDEX(Banco,$Y857,5),""),"")</f>
        <v>Assistente Social</v>
      </c>
      <c r="P857" s="138" t="str">
        <f t="shared" ca="1" si="1079"/>
        <v>Horas</v>
      </c>
      <c r="Q857" s="134">
        <v>16</v>
      </c>
      <c r="R857" s="124">
        <f t="shared" ca="1" si="1080"/>
        <v>133.81</v>
      </c>
      <c r="S857" s="136" t="s">
        <v>62</v>
      </c>
      <c r="T857" s="123">
        <f t="shared" ca="1" si="1081"/>
        <v>167.26</v>
      </c>
      <c r="U857" s="126">
        <f t="shared" ca="1" si="1082"/>
        <v>2676.16</v>
      </c>
      <c r="V857" s="1"/>
      <c r="W857" s="39" t="str">
        <f ca="1">IF(OR($A857=0,$A857="S",$A857&gt;CFF!$A$9),"",MAX(W$11:OFFSET(W857,-1,0))+1)</f>
        <v/>
      </c>
      <c r="X857" s="4" t="str">
        <f t="shared" si="1083"/>
        <v>Rec. Humanos-002</v>
      </c>
      <c r="Y857" s="39">
        <f t="shared" ca="1" si="1087"/>
        <v>4</v>
      </c>
      <c r="Z857" s="1"/>
      <c r="AA857" s="133">
        <f>IF($J857=$G$2,ROUND(IF(ISNUMBER(S857),S857,IF(LEFT(S857,2)="DI",HLOOKUP(S857,DADOS!$T$29:$X$30,2,FALSE),0)),4),"")</f>
        <v>0.25</v>
      </c>
      <c r="AB857" s="2"/>
    </row>
    <row r="858" spans="1:28">
      <c r="A858">
        <f>CHOOSE(1+LOG(1+2*(J858=$C$2)+4*(J858=$D$2)+8*(J858=$E$2)+16*(J858=$F$2)+32*(J858=$G$2),2),0,1,2,3,4,"S")</f>
        <v>2</v>
      </c>
      <c r="B858">
        <f ca="1">IF(OR(A858="S",A858=0),0,IF(ISERROR(I858),H858,SMALL(H858:I858,1)))</f>
        <v>24</v>
      </c>
      <c r="C858">
        <f ca="1">IF($A858=1,OFFSET(C858,-1,0)+1,OFFSET(C858,-1,0))</f>
        <v>10</v>
      </c>
      <c r="D858">
        <f ca="1">IF($A858=1,0,IF($A858=2,OFFSET(D858,-1,0)+1,OFFSET(D858,-1,0)))</f>
        <v>5</v>
      </c>
      <c r="E858">
        <f ca="1">IF(AND($A858&lt;=2,$A858&lt;&gt;0),0,IF($A858=3,OFFSET(E858,-1,0)+1,OFFSET(E858,-1,0)))</f>
        <v>0</v>
      </c>
      <c r="F858">
        <f ca="1">IF(AND($A858&lt;=3,$A858&lt;&gt;0),0,IF($A858=4,OFFSET(F858,-1,0)+1,OFFSET(F858,-1,0)))</f>
        <v>0</v>
      </c>
      <c r="G858">
        <f ca="1">IF(AND($A858&lt;=4,$A858&lt;&gt;0),0,IF($A858="S",OFFSET(G858,-1,0)+1,OFFSET(G858,-1,0)))</f>
        <v>0</v>
      </c>
      <c r="H858">
        <f ca="1">IF(OR($A858="S",$A858=0),0,MATCH(0,OFFSET($B858,1,$A858,ROW($A$1504)-ROW($A858)),0))</f>
        <v>86</v>
      </c>
      <c r="I858">
        <f ca="1">IF(OR($A858="S",$A858=0),0,MATCH(OFFSET($B858,0,$A858)+1,OFFSET($B858,1,$A858,ROW($A$1504)-ROW($A858)),0))</f>
        <v>24</v>
      </c>
      <c r="J858" s="132" t="s">
        <v>68</v>
      </c>
      <c r="K858" s="121" t="str">
        <f ca="1">IF($A858=0,"-",CONCATENATE(C858&amp;".",IF(AND($A$5&gt;=2,$A858&gt;=2),D858&amp;".",""),IF(AND($A$5&gt;=3,$A858&gt;=3),E858&amp;".",""),IF(AND($A$5&gt;=4,$A858&gt;=4),F858&amp;".",""),IF($A858="S",G858&amp;".","")))</f>
        <v>10.5.</v>
      </c>
      <c r="L858" s="137" t="str">
        <f ca="1">IF(NOT(ISERROR($Y858)),IF($Y858&lt;&gt;FALSE,INDEX(Banco,$Y858,4),""),"")</f>
        <v/>
      </c>
      <c r="M858" s="122"/>
      <c r="N858" s="139"/>
      <c r="O858" s="137" t="s">
        <v>415</v>
      </c>
      <c r="P858" s="138" t="str">
        <f ca="1">IF(NOT(ISERROR($Y858)),IF($Y858&lt;&gt;FALSE,INDEX(Banco,$Y858,6),""),"")</f>
        <v/>
      </c>
      <c r="Q858" s="134"/>
      <c r="R858" s="124">
        <f ca="1">IF(NOT(ISERROR($Y858)),IF($Y858&lt;&gt;FALSE,INDEX(Banco,$Y858,7),0),0)</f>
        <v>0</v>
      </c>
      <c r="S858" s="136" t="s">
        <v>62</v>
      </c>
      <c r="T858" s="123">
        <f>IF($J858=$G$2,ROUND(ROUND($R858,2)*IF($R$9="Preço Unitário (R$)",1,1+$AA858),2),0)</f>
        <v>0</v>
      </c>
      <c r="U858" s="126">
        <f ca="1">IF($A858="S",VTOTAL1,IF($A858=0,0,ROUND(SomaAgrup,2)))</f>
        <v>6603.71</v>
      </c>
      <c r="V858" s="1"/>
      <c r="W858" s="39">
        <f ca="1">IF(OR($A858=0,$A858="S",$A858&gt;CFF!$A$9),"",MAX(W$11:OFFSET(W858,-1,0))+1)</f>
        <v>78</v>
      </c>
      <c r="X858" s="4" t="b">
        <f>IF(AND($J858=$G$2,$N858&lt;&gt;"",$M858&lt;&gt;""),CONCATENATE($M858,"-",$N858))</f>
        <v>0</v>
      </c>
      <c r="Y858" s="39" t="b">
        <f ca="1">IF(X858&lt;&gt;FALSE,MATCH(X858,OFFSET(Banco,0,0,,1),0))</f>
        <v>0</v>
      </c>
      <c r="Z858" s="1"/>
      <c r="AA858" s="133" t="str">
        <f>IF($J858=$G$2,ROUND(IF(ISNUMBER(S858),S858,IF(LEFT(S858,2)="DI",HLOOKUP(S858,DADOS!$T$29:$X$30,2,FALSE),0)),4),"")</f>
        <v/>
      </c>
      <c r="AB858" s="2"/>
    </row>
    <row r="859" spans="1:28">
      <c r="A859" t="str">
        <f t="shared" si="1084"/>
        <v>S</v>
      </c>
      <c r="B859">
        <f t="shared" si="1085"/>
        <v>0</v>
      </c>
      <c r="C859">
        <f t="shared" ref="C859:C881" ca="1" si="1088">IF($A859=1,OFFSET(C859,-1,0)+1,OFFSET(C859,-1,0))</f>
        <v>10</v>
      </c>
      <c r="D859">
        <f t="shared" ref="D859:D881" ca="1" si="1089">IF($A859=1,0,IF($A859=2,OFFSET(D859,-1,0)+1,OFFSET(D859,-1,0)))</f>
        <v>5</v>
      </c>
      <c r="E859">
        <f t="shared" ref="E859:E881" ca="1" si="1090">IF(AND($A859&lt;=2,$A859&lt;&gt;0),0,IF($A859=3,OFFSET(E859,-1,0)+1,OFFSET(E859,-1,0)))</f>
        <v>0</v>
      </c>
      <c r="F859">
        <f t="shared" ref="F859:F881" ca="1" si="1091">IF(AND($A859&lt;=3,$A859&lt;&gt;0),0,IF($A859=4,OFFSET(F859,-1,0)+1,OFFSET(F859,-1,0)))</f>
        <v>0</v>
      </c>
      <c r="G859">
        <f t="shared" ref="G859:G881" ca="1" si="1092">IF(AND($A859&lt;=4,$A859&lt;&gt;0),0,IF($A859="S",OFFSET(G859,-1,0)+1,OFFSET(G859,-1,0)))</f>
        <v>1</v>
      </c>
      <c r="H859">
        <f ca="1">IF(OR($A859="S",$A859=0),0,MATCH(0,OFFSET($B859,1,$A859,ROW($A$1504)-ROW($A859)),0))</f>
        <v>0</v>
      </c>
      <c r="I859">
        <f ca="1">IF(OR($A859="S",$A859=0),0,MATCH(OFFSET($B859,0,$A859)+1,OFFSET($B859,1,$A859,ROW($A$1504)-ROW($A859)),0))</f>
        <v>0</v>
      </c>
      <c r="J859" s="132" t="s">
        <v>29</v>
      </c>
      <c r="K859" s="121" t="str">
        <f t="shared" ca="1" si="1086"/>
        <v>10.5.1.</v>
      </c>
      <c r="L859" s="137" t="str">
        <f t="shared" ref="L859:L881" ca="1" si="1093">IF(NOT(ISERROR($Y859)),IF($Y859&lt;&gt;FALSE,INDEX(Banco,$Y859,4),""),"")</f>
        <v>CRESS</v>
      </c>
      <c r="M859" s="122" t="s">
        <v>78</v>
      </c>
      <c r="N859" s="139" t="s">
        <v>149</v>
      </c>
      <c r="O859" s="137" t="str">
        <f ca="1">IF(NOT(ISERROR($Y859)),IF($Y859&lt;&gt;FALSE,INDEX(Banco,$Y859,5),""),"")</f>
        <v>Responsável Técnica</v>
      </c>
      <c r="P859" s="138" t="str">
        <f t="shared" ref="P859:P881" ca="1" si="1094">IF(NOT(ISERROR($Y859)),IF($Y859&lt;&gt;FALSE,INDEX(Banco,$Y859,6),""),"")</f>
        <v>Horas</v>
      </c>
      <c r="Q859" s="134">
        <v>6</v>
      </c>
      <c r="R859" s="124">
        <f t="shared" ref="R859:R881" ca="1" si="1095">IF(NOT(ISERROR($Y859)),IF($Y859&lt;&gt;FALSE,INDEX(Banco,$Y859,7),0),0)</f>
        <v>150.28</v>
      </c>
      <c r="S859" s="136" t="s">
        <v>62</v>
      </c>
      <c r="T859" s="123">
        <f t="shared" ref="T859:T881" ca="1" si="1096">IF($J859=$G$2,ROUND(ROUND($R859,2)*IF($R$9="Preço Unitário (R$)",1,1+$AA859),2),0)</f>
        <v>187.85</v>
      </c>
      <c r="U859" s="126">
        <f t="shared" ref="U859:U881" ca="1" si="1097">IF($A859="S",VTOTAL1,IF($A859=0,0,ROUND(SomaAgrup,2)))</f>
        <v>1127.0999999999999</v>
      </c>
      <c r="V859" s="1"/>
      <c r="W859" s="39" t="str">
        <f ca="1">IF(OR($A859=0,$A859="S",$A859&gt;CFF!$A$9),"",MAX(W$11:OFFSET(W859,-1,0))+1)</f>
        <v/>
      </c>
      <c r="X859" s="4" t="str">
        <f t="shared" ref="X859:X881" si="1098">IF(AND($J859=$G$2,$N859&lt;&gt;"",$M859&lt;&gt;""),CONCATENATE($M859,"-",$N859))</f>
        <v>Rec. Humanos-001</v>
      </c>
      <c r="Y859" s="39">
        <f t="shared" ca="1" si="1087"/>
        <v>3</v>
      </c>
      <c r="Z859" s="1"/>
      <c r="AA859" s="133">
        <f>IF($J859=$G$2,ROUND(IF(ISNUMBER(S859),S859,IF(LEFT(S859,2)="DI",HLOOKUP(S859,DADOS!$T$29:$X$30,2,FALSE),0)),4),"")</f>
        <v>0.25</v>
      </c>
      <c r="AB859" s="2"/>
    </row>
    <row r="860" spans="1:28">
      <c r="A860" t="str">
        <f t="shared" si="1084"/>
        <v>S</v>
      </c>
      <c r="B860">
        <f t="shared" si="1085"/>
        <v>0</v>
      </c>
      <c r="C860">
        <f t="shared" ca="1" si="1088"/>
        <v>10</v>
      </c>
      <c r="D860">
        <f t="shared" ca="1" si="1089"/>
        <v>5</v>
      </c>
      <c r="E860">
        <f t="shared" ca="1" si="1090"/>
        <v>0</v>
      </c>
      <c r="F860">
        <f t="shared" ca="1" si="1091"/>
        <v>0</v>
      </c>
      <c r="G860">
        <f t="shared" ca="1" si="1092"/>
        <v>2</v>
      </c>
      <c r="H860">
        <f ca="1">IF(OR($A860="S",$A860=0),0,MATCH(0,OFFSET($B860,1,$A860,ROW($A$1504)-ROW($A860)),0))</f>
        <v>0</v>
      </c>
      <c r="I860">
        <f ca="1">IF(OR($A860="S",$A860=0),0,MATCH(OFFSET($B860,0,$A860)+1,OFFSET($B860,1,$A860,ROW($A$1504)-ROW($A860)),0))</f>
        <v>0</v>
      </c>
      <c r="J860" s="132" t="s">
        <v>29</v>
      </c>
      <c r="K860" s="121" t="str">
        <f t="shared" ca="1" si="1086"/>
        <v>10.5.2.</v>
      </c>
      <c r="L860" s="137" t="str">
        <f t="shared" ca="1" si="1093"/>
        <v>CRESS</v>
      </c>
      <c r="M860" s="122" t="s">
        <v>78</v>
      </c>
      <c r="N860" s="139" t="s">
        <v>152</v>
      </c>
      <c r="O860" s="137" t="str">
        <f ca="1">IF(NOT(ISERROR($Y860)),IF($Y860&lt;&gt;FALSE,INDEX(Banco,$Y860,5),""),"")</f>
        <v>Assistente Social</v>
      </c>
      <c r="P860" s="138" t="str">
        <f t="shared" ca="1" si="1094"/>
        <v>Horas</v>
      </c>
      <c r="Q860" s="134">
        <v>4</v>
      </c>
      <c r="R860" s="124">
        <f t="shared" ca="1" si="1095"/>
        <v>133.81</v>
      </c>
      <c r="S860" s="136" t="s">
        <v>62</v>
      </c>
      <c r="T860" s="123">
        <f t="shared" ca="1" si="1096"/>
        <v>167.26</v>
      </c>
      <c r="U860" s="126">
        <f t="shared" ca="1" si="1097"/>
        <v>669.04</v>
      </c>
      <c r="V860" s="1"/>
      <c r="W860" s="39" t="str">
        <f ca="1">IF(OR($A860=0,$A860="S",$A860&gt;CFF!$A$9),"",MAX(W$11:OFFSET(W860,-1,0))+1)</f>
        <v/>
      </c>
      <c r="X860" s="4" t="str">
        <f t="shared" si="1098"/>
        <v>Rec. Humanos-002</v>
      </c>
      <c r="Y860" s="39">
        <f t="shared" ca="1" si="1087"/>
        <v>4</v>
      </c>
      <c r="Z860" s="1"/>
      <c r="AA860" s="133">
        <f>IF($J860=$G$2,ROUND(IF(ISNUMBER(S860),S860,IF(LEFT(S860,2)="DI",HLOOKUP(S860,DADOS!$T$29:$X$30,2,FALSE),0)),4),"")</f>
        <v>0.25</v>
      </c>
      <c r="AB860" s="2"/>
    </row>
    <row r="861" spans="1:28">
      <c r="A861" t="str">
        <f t="shared" si="1084"/>
        <v>S</v>
      </c>
      <c r="B861">
        <f t="shared" si="1085"/>
        <v>0</v>
      </c>
      <c r="C861">
        <f t="shared" ca="1" si="1088"/>
        <v>10</v>
      </c>
      <c r="D861">
        <f t="shared" ca="1" si="1089"/>
        <v>5</v>
      </c>
      <c r="E861">
        <f t="shared" ca="1" si="1090"/>
        <v>0</v>
      </c>
      <c r="F861">
        <f t="shared" ca="1" si="1091"/>
        <v>0</v>
      </c>
      <c r="G861">
        <f t="shared" ca="1" si="1092"/>
        <v>3</v>
      </c>
      <c r="H861">
        <f ca="1">IF(OR($A861="S",$A861=0),0,MATCH(0,OFFSET($B861,1,$A861,ROW($A$1504)-ROW($A861)),0))</f>
        <v>0</v>
      </c>
      <c r="I861">
        <f ca="1">IF(OR($A861="S",$A861=0),0,MATCH(OFFSET($B861,0,$A861)+1,OFFSET($B861,1,$A861,ROW($A$1504)-ROW($A861)),0))</f>
        <v>0</v>
      </c>
      <c r="J861" s="132" t="s">
        <v>29</v>
      </c>
      <c r="K861" s="121" t="str">
        <f t="shared" ca="1" si="1086"/>
        <v>10.5.3.</v>
      </c>
      <c r="L861" s="137" t="str">
        <f t="shared" ca="1" si="1093"/>
        <v>Cotação</v>
      </c>
      <c r="M861" s="122" t="s">
        <v>78</v>
      </c>
      <c r="N861" s="139" t="s">
        <v>151</v>
      </c>
      <c r="O861" s="137" t="str">
        <f ca="1">IF(NOT(ISERROR($Y861)),IF($Y861&lt;&gt;FALSE,INDEX(Banco,$Y861,5),""),"")</f>
        <v xml:space="preserve">Administrador (Técnico de Apoio) </v>
      </c>
      <c r="P861" s="138" t="str">
        <f t="shared" ca="1" si="1094"/>
        <v>Horas</v>
      </c>
      <c r="Q861" s="134">
        <v>4</v>
      </c>
      <c r="R861" s="124">
        <f t="shared" ca="1" si="1095"/>
        <v>103.65</v>
      </c>
      <c r="S861" s="136" t="s">
        <v>62</v>
      </c>
      <c r="T861" s="123">
        <f t="shared" ca="1" si="1096"/>
        <v>129.56</v>
      </c>
      <c r="U861" s="126">
        <f t="shared" ca="1" si="1097"/>
        <v>518.24</v>
      </c>
      <c r="V861" s="1"/>
      <c r="W861" s="39" t="str">
        <f ca="1">IF(OR($A861=0,$A861="S",$A861&gt;CFF!$A$9),"",MAX(W$11:OFFSET(W861,-1,0))+1)</f>
        <v/>
      </c>
      <c r="X861" s="4" t="str">
        <f t="shared" si="1098"/>
        <v>Rec. Humanos-003</v>
      </c>
      <c r="Y861" s="39">
        <f t="shared" ca="1" si="1087"/>
        <v>5</v>
      </c>
      <c r="Z861" s="1"/>
      <c r="AA861" s="133">
        <f>IF($J861=$G$2,ROUND(IF(ISNUMBER(S861),S861,IF(LEFT(S861,2)="DI",HLOOKUP(S861,DADOS!$T$29:$X$30,2,FALSE),0)),4),"")</f>
        <v>0.25</v>
      </c>
      <c r="AB861" s="2"/>
    </row>
    <row r="862" spans="1:28">
      <c r="A862" t="str">
        <f t="shared" si="1084"/>
        <v>S</v>
      </c>
      <c r="B862">
        <f t="shared" si="1085"/>
        <v>0</v>
      </c>
      <c r="C862">
        <f t="shared" ca="1" si="1088"/>
        <v>10</v>
      </c>
      <c r="D862">
        <f t="shared" ca="1" si="1089"/>
        <v>5</v>
      </c>
      <c r="E862">
        <f t="shared" ca="1" si="1090"/>
        <v>0</v>
      </c>
      <c r="F862">
        <f t="shared" ca="1" si="1091"/>
        <v>0</v>
      </c>
      <c r="G862">
        <f t="shared" ca="1" si="1092"/>
        <v>4</v>
      </c>
      <c r="H862">
        <f ca="1">IF(OR($A862="S",$A862=0),0,MATCH(0,OFFSET($B862,1,$A862,ROW($A$1504)-ROW($A862)),0))</f>
        <v>0</v>
      </c>
      <c r="I862">
        <f ca="1">IF(OR($A862="S",$A862=0),0,MATCH(OFFSET($B862,0,$A862)+1,OFFSET($B862,1,$A862,ROW($A$1504)-ROW($A862)),0))</f>
        <v>0</v>
      </c>
      <c r="J862" s="132" t="s">
        <v>29</v>
      </c>
      <c r="K862" s="121" t="str">
        <f t="shared" ca="1" si="1086"/>
        <v>10.5.4.</v>
      </c>
      <c r="L862" s="137" t="str">
        <f t="shared" ca="1" si="1093"/>
        <v>SINE</v>
      </c>
      <c r="M862" s="122" t="s">
        <v>78</v>
      </c>
      <c r="N862" s="139" t="s">
        <v>153</v>
      </c>
      <c r="O862" s="137" t="str">
        <f ca="1">IF(NOT(ISERROR($Y862)),IF($Y862&lt;&gt;FALSE,INDEX(Banco,$Y862,5),""),"")</f>
        <v>Estagiários</v>
      </c>
      <c r="P862" s="138" t="str">
        <f t="shared" ca="1" si="1094"/>
        <v>Horas</v>
      </c>
      <c r="Q862" s="134">
        <v>10</v>
      </c>
      <c r="R862" s="124">
        <f t="shared" ca="1" si="1095"/>
        <v>9.7899999999999991</v>
      </c>
      <c r="S862" s="136" t="s">
        <v>62</v>
      </c>
      <c r="T862" s="123">
        <f t="shared" ca="1" si="1096"/>
        <v>12.24</v>
      </c>
      <c r="U862" s="126">
        <f t="shared" ca="1" si="1097"/>
        <v>122.4</v>
      </c>
      <c r="V862" s="1"/>
      <c r="W862" s="39" t="str">
        <f ca="1">IF(OR($A862=0,$A862="S",$A862&gt;CFF!$A$9),"",MAX(W$11:OFFSET(W862,-1,0))+1)</f>
        <v/>
      </c>
      <c r="X862" s="4" t="str">
        <f t="shared" si="1098"/>
        <v>Rec. Humanos-004</v>
      </c>
      <c r="Y862" s="39">
        <f t="shared" ca="1" si="1087"/>
        <v>6</v>
      </c>
      <c r="Z862" s="1"/>
      <c r="AA862" s="133">
        <f>IF($J862=$G$2,ROUND(IF(ISNUMBER(S862),S862,IF(LEFT(S862,2)="DI",HLOOKUP(S862,DADOS!$T$29:$X$30,2,FALSE),0)),4),"")</f>
        <v>0.25</v>
      </c>
      <c r="AB862" s="2"/>
    </row>
    <row r="863" spans="1:28">
      <c r="A863" t="str">
        <f t="shared" si="1084"/>
        <v>S</v>
      </c>
      <c r="B863">
        <f t="shared" si="1085"/>
        <v>0</v>
      </c>
      <c r="C863">
        <f t="shared" ca="1" si="1088"/>
        <v>10</v>
      </c>
      <c r="D863">
        <f t="shared" ca="1" si="1089"/>
        <v>5</v>
      </c>
      <c r="E863">
        <f t="shared" ca="1" si="1090"/>
        <v>0</v>
      </c>
      <c r="F863">
        <f t="shared" ca="1" si="1091"/>
        <v>0</v>
      </c>
      <c r="G863">
        <f t="shared" ca="1" si="1092"/>
        <v>5</v>
      </c>
      <c r="H863">
        <f ca="1">IF(OR($A863="S",$A863=0),0,MATCH(0,OFFSET($B863,1,$A863,ROW($A$1504)-ROW($A863)),0))</f>
        <v>0</v>
      </c>
      <c r="I863">
        <f ca="1">IF(OR($A863="S",$A863=0),0,MATCH(OFFSET($B863,0,$A863)+1,OFFSET($B863,1,$A863,ROW($A$1504)-ROW($A863)),0))</f>
        <v>0</v>
      </c>
      <c r="J863" s="132" t="s">
        <v>29</v>
      </c>
      <c r="K863" s="121" t="str">
        <f t="shared" ca="1" si="1086"/>
        <v>10.5.5.</v>
      </c>
      <c r="L863" s="137" t="str">
        <f t="shared" ca="1" si="1093"/>
        <v>Cotação</v>
      </c>
      <c r="M863" s="122" t="s">
        <v>80</v>
      </c>
      <c r="N863" s="139" t="s">
        <v>149</v>
      </c>
      <c r="O863" s="137" t="str">
        <f t="shared" ref="O863:O872" ca="1" si="1099">IF(NOT(ISERROR($Y863)),IF($Y863&lt;&gt;FALSE,INDEX(Banco,$Y863,5),""),"")</f>
        <v>Fotocópias</v>
      </c>
      <c r="P863" s="138" t="str">
        <f t="shared" ca="1" si="1094"/>
        <v>Unidade</v>
      </c>
      <c r="Q863" s="134">
        <v>150</v>
      </c>
      <c r="R863" s="124">
        <f t="shared" ca="1" si="1095"/>
        <v>0.3</v>
      </c>
      <c r="S863" s="136" t="s">
        <v>62</v>
      </c>
      <c r="T863" s="123">
        <f t="shared" ca="1" si="1096"/>
        <v>0.38</v>
      </c>
      <c r="U863" s="126">
        <f t="shared" ca="1" si="1097"/>
        <v>57</v>
      </c>
      <c r="V863" s="1"/>
      <c r="W863" s="39" t="str">
        <f ca="1">IF(OR($A863=0,$A863="S",$A863&gt;CFF!$A$9),"",MAX(W$11:OFFSET(W863,-1,0))+1)</f>
        <v/>
      </c>
      <c r="X863" s="4" t="str">
        <f t="shared" si="1098"/>
        <v>Serv. Terc.-001</v>
      </c>
      <c r="Y863" s="39">
        <f t="shared" ca="1" si="1087"/>
        <v>81</v>
      </c>
      <c r="Z863" s="1"/>
      <c r="AA863" s="133">
        <f>IF($J863=$G$2,ROUND(IF(ISNUMBER(S863),S863,IF(LEFT(S863,2)="DI",HLOOKUP(S863,DADOS!$T$29:$X$30,2,FALSE),0)),4),"")</f>
        <v>0.25</v>
      </c>
      <c r="AB863" s="2"/>
    </row>
    <row r="864" spans="1:28">
      <c r="A864" t="str">
        <f t="shared" si="1084"/>
        <v>S</v>
      </c>
      <c r="B864">
        <f t="shared" si="1085"/>
        <v>0</v>
      </c>
      <c r="C864">
        <f ca="1">IF($A864=1,OFFSET(C864,-1,0)+1,OFFSET(C864,-1,0))</f>
        <v>10</v>
      </c>
      <c r="D864">
        <f ca="1">IF($A864=1,0,IF($A864=2,OFFSET(D864,-1,0)+1,OFFSET(D864,-1,0)))</f>
        <v>5</v>
      </c>
      <c r="E864">
        <f ca="1">IF(AND($A864&lt;=2,$A864&lt;&gt;0),0,IF($A864=3,OFFSET(E864,-1,0)+1,OFFSET(E864,-1,0)))</f>
        <v>0</v>
      </c>
      <c r="F864">
        <f ca="1">IF(AND($A864&lt;=3,$A864&lt;&gt;0),0,IF($A864=4,OFFSET(F864,-1,0)+1,OFFSET(F864,-1,0)))</f>
        <v>0</v>
      </c>
      <c r="G864">
        <f ca="1">IF(AND($A864&lt;=4,$A864&lt;&gt;0),0,IF($A864="S",OFFSET(G864,-1,0)+1,OFFSET(G864,-1,0)))</f>
        <v>6</v>
      </c>
      <c r="H864">
        <f ca="1">IF(OR($A864="S",$A864=0),0,MATCH(0,OFFSET($B864,1,$A864,ROW($A$1504)-ROW($A864)),0))</f>
        <v>0</v>
      </c>
      <c r="I864">
        <f ca="1">IF(OR($A864="S",$A864=0),0,MATCH(OFFSET($B864,0,$A864)+1,OFFSET($B864,1,$A864,ROW($A$1504)-ROW($A864)),0))</f>
        <v>0</v>
      </c>
      <c r="J864" s="132" t="s">
        <v>29</v>
      </c>
      <c r="K864" s="121" t="str">
        <f t="shared" ca="1" si="1086"/>
        <v>10.5.6.</v>
      </c>
      <c r="L864" s="137" t="str">
        <f ca="1">IF(NOT(ISERROR($Y864)),IF($Y864&lt;&gt;FALSE,INDEX(Banco,$Y864,4),""),"")</f>
        <v>Cotação</v>
      </c>
      <c r="M864" s="122" t="s">
        <v>80</v>
      </c>
      <c r="N864" s="139" t="s">
        <v>256</v>
      </c>
      <c r="O864" s="137" t="str">
        <f ca="1">IF(NOT(ISERROR($Y864)),IF($Y864&lt;&gt;FALSE,INDEX(Banco,$Y864,5),""),"")</f>
        <v>Instrutor/Monitor (Educação Fisíca)</v>
      </c>
      <c r="P864" s="138" t="str">
        <f ca="1">IF(NOT(ISERROR($Y864)),IF($Y864&lt;&gt;FALSE,INDEX(Banco,$Y864,6),""),"")</f>
        <v>Horas</v>
      </c>
      <c r="Q864" s="134">
        <v>3</v>
      </c>
      <c r="R864" s="124">
        <f ca="1">IF(NOT(ISERROR($Y864)),IF($Y864&lt;&gt;FALSE,INDEX(Banco,$Y864,7),0),0)</f>
        <v>100</v>
      </c>
      <c r="S864" s="136" t="s">
        <v>62</v>
      </c>
      <c r="T864" s="123">
        <f ca="1">IF($J864=$G$2,ROUND(ROUND($R864,2)*IF($R$9="Preço Unitário (R$)",1,1+$AA864),2),0)</f>
        <v>125</v>
      </c>
      <c r="U864" s="126">
        <f ca="1">IF($A864="S",VTOTAL1,IF($A864=0,0,ROUND(SomaAgrup,2)))</f>
        <v>375</v>
      </c>
      <c r="V864" s="1"/>
      <c r="W864" s="39" t="str">
        <f ca="1">IF(OR($A864=0,$A864="S",$A864&gt;CFF!$A$9),"",MAX(W$11:OFFSET(W864,-1,0))+1)</f>
        <v/>
      </c>
      <c r="X864" s="4" t="str">
        <f>IF(AND($J864=$G$2,$N864&lt;&gt;"",$M864&lt;&gt;""),CONCATENATE($M864,"-",$N864))</f>
        <v>Serv. Terc.-017</v>
      </c>
      <c r="Y864" s="39">
        <f t="shared" ca="1" si="1087"/>
        <v>97</v>
      </c>
      <c r="Z864" s="1"/>
      <c r="AA864" s="133">
        <f>IF($J864=$G$2,ROUND(IF(ISNUMBER(S864),S864,IF(LEFT(S864,2)="DI",HLOOKUP(S864,DADOS!$T$29:$X$30,2,FALSE),0)),4),"")</f>
        <v>0.25</v>
      </c>
      <c r="AB864" s="2"/>
    </row>
    <row r="865" spans="1:28">
      <c r="A865" t="str">
        <f t="shared" ref="A865:A873" si="1100">CHOOSE(1+LOG(1+2*(J865=$C$2)+4*(J865=$D$2)+8*(J865=$E$2)+16*(J865=$F$2)+32*(J865=$G$2),2),0,1,2,3,4,"S")</f>
        <v>S</v>
      </c>
      <c r="B865">
        <f t="shared" ref="B865:B873" si="1101">IF(OR(A865="S",A865=0),0,IF(ISERROR(I865),H865,SMALL(H865:I865,1)))</f>
        <v>0</v>
      </c>
      <c r="C865">
        <f t="shared" ca="1" si="1088"/>
        <v>10</v>
      </c>
      <c r="D865">
        <f t="shared" ca="1" si="1089"/>
        <v>5</v>
      </c>
      <c r="E865">
        <f t="shared" ca="1" si="1090"/>
        <v>0</v>
      </c>
      <c r="F865">
        <f t="shared" ca="1" si="1091"/>
        <v>0</v>
      </c>
      <c r="G865">
        <f t="shared" ca="1" si="1092"/>
        <v>7</v>
      </c>
      <c r="H865">
        <f ca="1">IF(OR($A865="S",$A865=0),0,MATCH(0,OFFSET($B865,1,$A865,ROW($A$1504)-ROW($A865)),0))</f>
        <v>0</v>
      </c>
      <c r="I865">
        <f ca="1">IF(OR($A865="S",$A865=0),0,MATCH(OFFSET($B865,0,$A865)+1,OFFSET($B865,1,$A865,ROW($A$1504)-ROW($A865)),0))</f>
        <v>0</v>
      </c>
      <c r="J865" s="132" t="s">
        <v>29</v>
      </c>
      <c r="K865" s="121" t="str">
        <f t="shared" ref="K865:K873" ca="1" si="1102">IF($A865=0,"-",CONCATENATE(C865&amp;".",IF(AND($A$5&gt;=2,$A865&gt;=2),D865&amp;".",""),IF(AND($A$5&gt;=3,$A865&gt;=3),E865&amp;".",""),IF(AND($A$5&gt;=4,$A865&gt;=4),F865&amp;".",""),IF($A865="S",G865&amp;".","")))</f>
        <v>10.5.7.</v>
      </c>
      <c r="L865" s="137" t="str">
        <f t="shared" ca="1" si="1093"/>
        <v>Cotação</v>
      </c>
      <c r="M865" s="122" t="s">
        <v>80</v>
      </c>
      <c r="N865" s="139" t="s">
        <v>152</v>
      </c>
      <c r="O865" s="137" t="str">
        <f t="shared" ca="1" si="1099"/>
        <v>Carro de som com gravação de vinheta</v>
      </c>
      <c r="P865" s="138" t="str">
        <f t="shared" ca="1" si="1094"/>
        <v>Horas</v>
      </c>
      <c r="Q865" s="134">
        <v>3</v>
      </c>
      <c r="R865" s="124">
        <f t="shared" ca="1" si="1095"/>
        <v>200</v>
      </c>
      <c r="S865" s="136" t="s">
        <v>62</v>
      </c>
      <c r="T865" s="123">
        <f t="shared" ca="1" si="1096"/>
        <v>250</v>
      </c>
      <c r="U865" s="126">
        <f t="shared" ca="1" si="1097"/>
        <v>750</v>
      </c>
      <c r="V865" s="1"/>
      <c r="W865" s="39" t="str">
        <f ca="1">IF(OR($A865=0,$A865="S",$A865&gt;CFF!$A$9),"",MAX(W$11:OFFSET(W865,-1,0))+1)</f>
        <v/>
      </c>
      <c r="X865" s="4" t="str">
        <f t="shared" si="1098"/>
        <v>Serv. Terc.-002</v>
      </c>
      <c r="Y865" s="39">
        <f t="shared" ref="Y865:Y873" ca="1" si="1103">IF(X865&lt;&gt;FALSE,MATCH(X865,OFFSET(Banco,0,0,,1),0))</f>
        <v>82</v>
      </c>
      <c r="Z865" s="1"/>
      <c r="AA865" s="133">
        <f>IF($J865=$G$2,ROUND(IF(ISNUMBER(S865),S865,IF(LEFT(S865,2)="DI",HLOOKUP(S865,DADOS!$T$29:$X$30,2,FALSE),0)),4),"")</f>
        <v>0.25</v>
      </c>
      <c r="AB865" s="2"/>
    </row>
    <row r="866" spans="1:28">
      <c r="A866" t="str">
        <f t="shared" si="1100"/>
        <v>S</v>
      </c>
      <c r="B866">
        <f t="shared" si="1101"/>
        <v>0</v>
      </c>
      <c r="C866">
        <f t="shared" ca="1" si="1088"/>
        <v>10</v>
      </c>
      <c r="D866">
        <f t="shared" ca="1" si="1089"/>
        <v>5</v>
      </c>
      <c r="E866">
        <f t="shared" ca="1" si="1090"/>
        <v>0</v>
      </c>
      <c r="F866">
        <f t="shared" ca="1" si="1091"/>
        <v>0</v>
      </c>
      <c r="G866">
        <f t="shared" ca="1" si="1092"/>
        <v>8</v>
      </c>
      <c r="H866">
        <f ca="1">IF(OR($A866="S",$A866=0),0,MATCH(0,OFFSET($B866,1,$A866,ROW($A$1504)-ROW($A866)),0))</f>
        <v>0</v>
      </c>
      <c r="I866">
        <f ca="1">IF(OR($A866="S",$A866=0),0,MATCH(OFFSET($B866,0,$A866)+1,OFFSET($B866,1,$A866,ROW($A$1504)-ROW($A866)),0))</f>
        <v>0</v>
      </c>
      <c r="J866" s="132" t="s">
        <v>29</v>
      </c>
      <c r="K866" s="121" t="str">
        <f t="shared" ca="1" si="1102"/>
        <v>10.5.8.</v>
      </c>
      <c r="L866" s="137" t="str">
        <f t="shared" ca="1" si="1093"/>
        <v>Cotação</v>
      </c>
      <c r="M866" s="122" t="s">
        <v>80</v>
      </c>
      <c r="N866" s="139" t="s">
        <v>151</v>
      </c>
      <c r="O866" s="137" t="str">
        <f t="shared" ca="1" si="1099"/>
        <v>Locação de mesas</v>
      </c>
      <c r="P866" s="138" t="str">
        <f t="shared" ca="1" si="1094"/>
        <v>Unidade</v>
      </c>
      <c r="Q866" s="134">
        <v>10</v>
      </c>
      <c r="R866" s="124">
        <f t="shared" ca="1" si="1095"/>
        <v>3</v>
      </c>
      <c r="S866" s="136" t="s">
        <v>62</v>
      </c>
      <c r="T866" s="123">
        <f t="shared" ca="1" si="1096"/>
        <v>3.75</v>
      </c>
      <c r="U866" s="126">
        <f t="shared" ca="1" si="1097"/>
        <v>37.5</v>
      </c>
      <c r="V866" s="1"/>
      <c r="W866" s="39" t="str">
        <f ca="1">IF(OR($A866=0,$A866="S",$A866&gt;CFF!$A$9),"",MAX(W$11:OFFSET(W866,-1,0))+1)</f>
        <v/>
      </c>
      <c r="X866" s="4" t="str">
        <f t="shared" si="1098"/>
        <v>Serv. Terc.-003</v>
      </c>
      <c r="Y866" s="39">
        <f t="shared" ca="1" si="1103"/>
        <v>83</v>
      </c>
      <c r="Z866" s="1"/>
      <c r="AA866" s="133">
        <f>IF($J866=$G$2,ROUND(IF(ISNUMBER(S866),S866,IF(LEFT(S866,2)="DI",HLOOKUP(S866,DADOS!$T$29:$X$30,2,FALSE),0)),4),"")</f>
        <v>0.25</v>
      </c>
      <c r="AB866" s="2"/>
    </row>
    <row r="867" spans="1:28">
      <c r="A867" t="str">
        <f t="shared" si="1100"/>
        <v>S</v>
      </c>
      <c r="B867">
        <f t="shared" si="1101"/>
        <v>0</v>
      </c>
      <c r="C867">
        <f t="shared" ca="1" si="1088"/>
        <v>10</v>
      </c>
      <c r="D867">
        <f t="shared" ca="1" si="1089"/>
        <v>5</v>
      </c>
      <c r="E867">
        <f t="shared" ca="1" si="1090"/>
        <v>0</v>
      </c>
      <c r="F867">
        <f t="shared" ca="1" si="1091"/>
        <v>0</v>
      </c>
      <c r="G867">
        <f t="shared" ca="1" si="1092"/>
        <v>9</v>
      </c>
      <c r="H867">
        <f ca="1">IF(OR($A867="S",$A867=0),0,MATCH(0,OFFSET($B867,1,$A867,ROW($A$1504)-ROW($A867)),0))</f>
        <v>0</v>
      </c>
      <c r="I867">
        <f ca="1">IF(OR($A867="S",$A867=0),0,MATCH(OFFSET($B867,0,$A867)+1,OFFSET($B867,1,$A867,ROW($A$1504)-ROW($A867)),0))</f>
        <v>0</v>
      </c>
      <c r="J867" s="132" t="s">
        <v>29</v>
      </c>
      <c r="K867" s="121" t="str">
        <f t="shared" ca="1" si="1102"/>
        <v>10.5.9.</v>
      </c>
      <c r="L867" s="137" t="str">
        <f t="shared" ca="1" si="1093"/>
        <v>Cotação</v>
      </c>
      <c r="M867" s="122" t="s">
        <v>80</v>
      </c>
      <c r="N867" s="139" t="s">
        <v>153</v>
      </c>
      <c r="O867" s="137" t="str">
        <f t="shared" ca="1" si="1099"/>
        <v>Locação de cadeiras</v>
      </c>
      <c r="P867" s="138" t="str">
        <f t="shared" ca="1" si="1094"/>
        <v>Unidade</v>
      </c>
      <c r="Q867" s="134">
        <v>100</v>
      </c>
      <c r="R867" s="124">
        <f t="shared" ca="1" si="1095"/>
        <v>2</v>
      </c>
      <c r="S867" s="136" t="s">
        <v>62</v>
      </c>
      <c r="T867" s="123">
        <f t="shared" ca="1" si="1096"/>
        <v>2.5</v>
      </c>
      <c r="U867" s="126">
        <f t="shared" ca="1" si="1097"/>
        <v>250</v>
      </c>
      <c r="V867" s="1"/>
      <c r="W867" s="39" t="str">
        <f ca="1">IF(OR($A867=0,$A867="S",$A867&gt;CFF!$A$9),"",MAX(W$11:OFFSET(W867,-1,0))+1)</f>
        <v/>
      </c>
      <c r="X867" s="4" t="str">
        <f t="shared" si="1098"/>
        <v>Serv. Terc.-004</v>
      </c>
      <c r="Y867" s="39">
        <f t="shared" ca="1" si="1103"/>
        <v>84</v>
      </c>
      <c r="Z867" s="1"/>
      <c r="AA867" s="133">
        <f>IF($J867=$G$2,ROUND(IF(ISNUMBER(S867),S867,IF(LEFT(S867,2)="DI",HLOOKUP(S867,DADOS!$T$29:$X$30,2,FALSE),0)),4),"")</f>
        <v>0.25</v>
      </c>
      <c r="AB867" s="2"/>
    </row>
    <row r="868" spans="1:28">
      <c r="A868" t="str">
        <f t="shared" si="1100"/>
        <v>S</v>
      </c>
      <c r="B868">
        <f t="shared" si="1101"/>
        <v>0</v>
      </c>
      <c r="C868">
        <f t="shared" ca="1" si="1088"/>
        <v>10</v>
      </c>
      <c r="D868">
        <f t="shared" ca="1" si="1089"/>
        <v>5</v>
      </c>
      <c r="E868">
        <f t="shared" ca="1" si="1090"/>
        <v>0</v>
      </c>
      <c r="F868">
        <f t="shared" ca="1" si="1091"/>
        <v>0</v>
      </c>
      <c r="G868">
        <f t="shared" ca="1" si="1092"/>
        <v>10</v>
      </c>
      <c r="H868">
        <f ca="1">IF(OR($A868="S",$A868=0),0,MATCH(0,OFFSET($B868,1,$A868,ROW($A$1504)-ROW($A868)),0))</f>
        <v>0</v>
      </c>
      <c r="I868">
        <f ca="1">IF(OR($A868="S",$A868=0),0,MATCH(OFFSET($B868,0,$A868)+1,OFFSET($B868,1,$A868,ROW($A$1504)-ROW($A868)),0))</f>
        <v>0</v>
      </c>
      <c r="J868" s="132" t="s">
        <v>29</v>
      </c>
      <c r="K868" s="121" t="str">
        <f t="shared" ca="1" si="1102"/>
        <v>10.5.10.</v>
      </c>
      <c r="L868" s="137" t="str">
        <f t="shared" ca="1" si="1093"/>
        <v>Cotação</v>
      </c>
      <c r="M868" s="122" t="s">
        <v>80</v>
      </c>
      <c r="N868" s="139" t="s">
        <v>154</v>
      </c>
      <c r="O868" s="137" t="str">
        <f t="shared" ca="1" si="1099"/>
        <v>Locação de caixa térmica</v>
      </c>
      <c r="P868" s="138" t="str">
        <f t="shared" ca="1" si="1094"/>
        <v>Unidade</v>
      </c>
      <c r="Q868" s="134">
        <v>1</v>
      </c>
      <c r="R868" s="124">
        <f t="shared" ca="1" si="1095"/>
        <v>40</v>
      </c>
      <c r="S868" s="136" t="s">
        <v>62</v>
      </c>
      <c r="T868" s="123">
        <f t="shared" ca="1" si="1096"/>
        <v>50</v>
      </c>
      <c r="U868" s="126">
        <f t="shared" ca="1" si="1097"/>
        <v>50</v>
      </c>
      <c r="V868" s="1"/>
      <c r="W868" s="39" t="str">
        <f ca="1">IF(OR($A868=0,$A868="S",$A868&gt;CFF!$A$9),"",MAX(W$11:OFFSET(W868,-1,0))+1)</f>
        <v/>
      </c>
      <c r="X868" s="4" t="str">
        <f t="shared" si="1098"/>
        <v>Serv. Terc.-005</v>
      </c>
      <c r="Y868" s="39">
        <f t="shared" ca="1" si="1103"/>
        <v>85</v>
      </c>
      <c r="Z868" s="1"/>
      <c r="AA868" s="133">
        <f>IF($J868=$G$2,ROUND(IF(ISNUMBER(S868),S868,IF(LEFT(S868,2)="DI",HLOOKUP(S868,DADOS!$T$29:$X$30,2,FALSE),0)),4),"")</f>
        <v>0.25</v>
      </c>
      <c r="AB868" s="2"/>
    </row>
    <row r="869" spans="1:28">
      <c r="A869" t="str">
        <f t="shared" si="1100"/>
        <v>S</v>
      </c>
      <c r="B869">
        <f t="shared" si="1101"/>
        <v>0</v>
      </c>
      <c r="C869">
        <f t="shared" ca="1" si="1088"/>
        <v>10</v>
      </c>
      <c r="D869">
        <f t="shared" ca="1" si="1089"/>
        <v>5</v>
      </c>
      <c r="E869">
        <f t="shared" ca="1" si="1090"/>
        <v>0</v>
      </c>
      <c r="F869">
        <f t="shared" ca="1" si="1091"/>
        <v>0</v>
      </c>
      <c r="G869">
        <f t="shared" ca="1" si="1092"/>
        <v>11</v>
      </c>
      <c r="H869">
        <f ca="1">IF(OR($A869="S",$A869=0),0,MATCH(0,OFFSET($B869,1,$A869,ROW($A$1504)-ROW($A869)),0))</f>
        <v>0</v>
      </c>
      <c r="I869">
        <f ca="1">IF(OR($A869="S",$A869=0),0,MATCH(OFFSET($B869,0,$A869)+1,OFFSET($B869,1,$A869,ROW($A$1504)-ROW($A869)),0))</f>
        <v>0</v>
      </c>
      <c r="J869" s="132" t="s">
        <v>29</v>
      </c>
      <c r="K869" s="121" t="str">
        <f t="shared" ca="1" si="1102"/>
        <v>10.5.11.</v>
      </c>
      <c r="L869" s="137" t="str">
        <f t="shared" ca="1" si="1093"/>
        <v>Cotação</v>
      </c>
      <c r="M869" s="122" t="s">
        <v>80</v>
      </c>
      <c r="N869" s="139" t="s">
        <v>157</v>
      </c>
      <c r="O869" s="137" t="str">
        <f t="shared" ca="1" si="1099"/>
        <v>Locação de pula-pula com monitor</v>
      </c>
      <c r="P869" s="138" t="str">
        <f t="shared" ca="1" si="1094"/>
        <v>Unidade</v>
      </c>
      <c r="Q869" s="134">
        <v>1</v>
      </c>
      <c r="R869" s="124">
        <f t="shared" ca="1" si="1095"/>
        <v>220</v>
      </c>
      <c r="S869" s="136" t="s">
        <v>62</v>
      </c>
      <c r="T869" s="123">
        <f t="shared" ca="1" si="1096"/>
        <v>275</v>
      </c>
      <c r="U869" s="126">
        <f t="shared" ca="1" si="1097"/>
        <v>275</v>
      </c>
      <c r="V869" s="1"/>
      <c r="W869" s="39" t="str">
        <f ca="1">IF(OR($A869=0,$A869="S",$A869&gt;CFF!$A$9),"",MAX(W$11:OFFSET(W869,-1,0))+1)</f>
        <v/>
      </c>
      <c r="X869" s="4" t="str">
        <f t="shared" si="1098"/>
        <v>Serv. Terc.-008</v>
      </c>
      <c r="Y869" s="39">
        <f t="shared" ca="1" si="1103"/>
        <v>88</v>
      </c>
      <c r="Z869" s="1"/>
      <c r="AA869" s="133">
        <f>IF($J869=$G$2,ROUND(IF(ISNUMBER(S869),S869,IF(LEFT(S869,2)="DI",HLOOKUP(S869,DADOS!$T$29:$X$30,2,FALSE),0)),4),"")</f>
        <v>0.25</v>
      </c>
      <c r="AB869" s="2"/>
    </row>
    <row r="870" spans="1:28">
      <c r="A870" t="str">
        <f t="shared" si="1100"/>
        <v>S</v>
      </c>
      <c r="B870">
        <f t="shared" si="1101"/>
        <v>0</v>
      </c>
      <c r="C870">
        <f t="shared" ca="1" si="1088"/>
        <v>10</v>
      </c>
      <c r="D870">
        <f t="shared" ca="1" si="1089"/>
        <v>5</v>
      </c>
      <c r="E870">
        <f t="shared" ca="1" si="1090"/>
        <v>0</v>
      </c>
      <c r="F870">
        <f t="shared" ca="1" si="1091"/>
        <v>0</v>
      </c>
      <c r="G870">
        <f t="shared" ca="1" si="1092"/>
        <v>12</v>
      </c>
      <c r="H870">
        <f ca="1">IF(OR($A870="S",$A870=0),0,MATCH(0,OFFSET($B870,1,$A870,ROW($A$1504)-ROW($A870)),0))</f>
        <v>0</v>
      </c>
      <c r="I870">
        <f ca="1">IF(OR($A870="S",$A870=0),0,MATCH(OFFSET($B870,0,$A870)+1,OFFSET($B870,1,$A870,ROW($A$1504)-ROW($A870)),0))</f>
        <v>0</v>
      </c>
      <c r="J870" s="132" t="s">
        <v>29</v>
      </c>
      <c r="K870" s="121" t="str">
        <f t="shared" ca="1" si="1102"/>
        <v>10.5.12.</v>
      </c>
      <c r="L870" s="137" t="str">
        <f t="shared" ca="1" si="1093"/>
        <v>Cotação</v>
      </c>
      <c r="M870" s="122" t="s">
        <v>80</v>
      </c>
      <c r="N870" s="139" t="s">
        <v>161</v>
      </c>
      <c r="O870" s="137" t="str">
        <f ca="1">IF(NOT(ISERROR($Y870)),IF($Y870&lt;&gt;FALSE,INDEX(Banco,$Y870,5),""),"")</f>
        <v>Água (garrafão de 20 litros)</v>
      </c>
      <c r="P870" s="138" t="str">
        <f t="shared" ca="1" si="1094"/>
        <v>Unidade</v>
      </c>
      <c r="Q870" s="134">
        <v>1</v>
      </c>
      <c r="R870" s="124">
        <f t="shared" ca="1" si="1095"/>
        <v>10</v>
      </c>
      <c r="S870" s="136" t="s">
        <v>62</v>
      </c>
      <c r="T870" s="123">
        <f t="shared" ca="1" si="1096"/>
        <v>12.5</v>
      </c>
      <c r="U870" s="126">
        <f t="shared" ca="1" si="1097"/>
        <v>12.5</v>
      </c>
      <c r="V870" s="1"/>
      <c r="W870" s="39" t="str">
        <f ca="1">IF(OR($A870=0,$A870="S",$A870&gt;CFF!$A$9),"",MAX(W$11:OFFSET(W870,-1,0))+1)</f>
        <v/>
      </c>
      <c r="X870" s="4" t="str">
        <f t="shared" si="1098"/>
        <v>Serv. Terc.-012</v>
      </c>
      <c r="Y870" s="39">
        <f t="shared" ca="1" si="1103"/>
        <v>92</v>
      </c>
      <c r="Z870" s="1"/>
      <c r="AA870" s="133">
        <f>IF($J870=$G$2,ROUND(IF(ISNUMBER(S870),S870,IF(LEFT(S870,2)="DI",HLOOKUP(S870,DADOS!$T$29:$X$30,2,FALSE),0)),4),"")</f>
        <v>0.25</v>
      </c>
      <c r="AB870" s="2"/>
    </row>
    <row r="871" spans="1:28">
      <c r="A871" t="str">
        <f t="shared" si="1100"/>
        <v>S</v>
      </c>
      <c r="B871">
        <f t="shared" si="1101"/>
        <v>0</v>
      </c>
      <c r="C871">
        <f t="shared" ca="1" si="1088"/>
        <v>10</v>
      </c>
      <c r="D871">
        <f t="shared" ca="1" si="1089"/>
        <v>5</v>
      </c>
      <c r="E871">
        <f t="shared" ca="1" si="1090"/>
        <v>0</v>
      </c>
      <c r="F871">
        <f t="shared" ca="1" si="1091"/>
        <v>0</v>
      </c>
      <c r="G871">
        <f t="shared" ca="1" si="1092"/>
        <v>13</v>
      </c>
      <c r="H871">
        <f ca="1">IF(OR($A871="S",$A871=0),0,MATCH(0,OFFSET($B871,1,$A871,ROW($A$1504)-ROW($A871)),0))</f>
        <v>0</v>
      </c>
      <c r="I871">
        <f ca="1">IF(OR($A871="S",$A871=0),0,MATCH(OFFSET($B871,0,$A871)+1,OFFSET($B871,1,$A871,ROW($A$1504)-ROW($A871)),0))</f>
        <v>0</v>
      </c>
      <c r="J871" s="132" t="s">
        <v>29</v>
      </c>
      <c r="K871" s="121" t="str">
        <f t="shared" ca="1" si="1102"/>
        <v>10.5.13.</v>
      </c>
      <c r="L871" s="137" t="str">
        <f t="shared" ca="1" si="1093"/>
        <v xml:space="preserve">Cotação </v>
      </c>
      <c r="M871" s="122" t="s">
        <v>80</v>
      </c>
      <c r="N871" s="139" t="s">
        <v>160</v>
      </c>
      <c r="O871" s="137" t="str">
        <f ca="1">IF(NOT(ISERROR($Y871)),IF($Y871&lt;&gt;FALSE,INDEX(Banco,$Y871,5),""),"")</f>
        <v>Barra de gelo</v>
      </c>
      <c r="P871" s="138" t="str">
        <f t="shared" ca="1" si="1094"/>
        <v>Unidade</v>
      </c>
      <c r="Q871" s="134">
        <v>4</v>
      </c>
      <c r="R871" s="124">
        <f t="shared" ca="1" si="1095"/>
        <v>12</v>
      </c>
      <c r="S871" s="136" t="s">
        <v>62</v>
      </c>
      <c r="T871" s="123">
        <f t="shared" ca="1" si="1096"/>
        <v>15</v>
      </c>
      <c r="U871" s="126">
        <f t="shared" ca="1" si="1097"/>
        <v>60</v>
      </c>
      <c r="V871" s="1"/>
      <c r="W871" s="39" t="str">
        <f ca="1">IF(OR($A871=0,$A871="S",$A871&gt;CFF!$A$9),"",MAX(W$11:OFFSET(W871,-1,0))+1)</f>
        <v/>
      </c>
      <c r="X871" s="4" t="str">
        <f t="shared" si="1098"/>
        <v>Serv. Terc.-011</v>
      </c>
      <c r="Y871" s="39">
        <f t="shared" ca="1" si="1103"/>
        <v>91</v>
      </c>
      <c r="Z871" s="1"/>
      <c r="AA871" s="133">
        <f>IF($J871=$G$2,ROUND(IF(ISNUMBER(S871),S871,IF(LEFT(S871,2)="DI",HLOOKUP(S871,DADOS!$T$29:$X$30,2,FALSE),0)),4),"")</f>
        <v>0.25</v>
      </c>
      <c r="AB871" s="2"/>
    </row>
    <row r="872" spans="1:28">
      <c r="A872" t="str">
        <f t="shared" si="1100"/>
        <v>S</v>
      </c>
      <c r="B872">
        <f t="shared" si="1101"/>
        <v>0</v>
      </c>
      <c r="C872">
        <f t="shared" ca="1" si="1088"/>
        <v>10</v>
      </c>
      <c r="D872">
        <f t="shared" ca="1" si="1089"/>
        <v>5</v>
      </c>
      <c r="E872">
        <f t="shared" ca="1" si="1090"/>
        <v>0</v>
      </c>
      <c r="F872">
        <f t="shared" ca="1" si="1091"/>
        <v>0</v>
      </c>
      <c r="G872">
        <f t="shared" ca="1" si="1092"/>
        <v>14</v>
      </c>
      <c r="H872">
        <f ca="1">IF(OR($A872="S",$A872=0),0,MATCH(0,OFFSET($B872,1,$A872,ROW($A$1504)-ROW($A872)),0))</f>
        <v>0</v>
      </c>
      <c r="I872">
        <f ca="1">IF(OR($A872="S",$A872=0),0,MATCH(OFFSET($B872,0,$A872)+1,OFFSET($B872,1,$A872,ROW($A$1504)-ROW($A872)),0))</f>
        <v>0</v>
      </c>
      <c r="J872" s="132" t="s">
        <v>29</v>
      </c>
      <c r="K872" s="121" t="str">
        <f t="shared" ca="1" si="1102"/>
        <v>10.5.14.</v>
      </c>
      <c r="L872" s="137" t="str">
        <f t="shared" ca="1" si="1093"/>
        <v>Cotação</v>
      </c>
      <c r="M872" s="122" t="s">
        <v>80</v>
      </c>
      <c r="N872" s="139" t="s">
        <v>171</v>
      </c>
      <c r="O872" s="137" t="str">
        <f t="shared" ca="1" si="1099"/>
        <v xml:space="preserve">Refrigerantes (02 litros) </v>
      </c>
      <c r="P872" s="138" t="str">
        <f t="shared" ca="1" si="1094"/>
        <v>Unidade</v>
      </c>
      <c r="Q872" s="134">
        <v>20</v>
      </c>
      <c r="R872" s="124">
        <f t="shared" ca="1" si="1095"/>
        <v>6</v>
      </c>
      <c r="S872" s="136" t="s">
        <v>62</v>
      </c>
      <c r="T872" s="123">
        <f t="shared" ca="1" si="1096"/>
        <v>7.5</v>
      </c>
      <c r="U872" s="126">
        <f t="shared" ca="1" si="1097"/>
        <v>150</v>
      </c>
      <c r="V872" s="1"/>
      <c r="W872" s="39" t="str">
        <f ca="1">IF(OR($A872=0,$A872="S",$A872&gt;CFF!$A$9),"",MAX(W$11:OFFSET(W872,-1,0))+1)</f>
        <v/>
      </c>
      <c r="X872" s="4" t="str">
        <f t="shared" si="1098"/>
        <v>Serv. Terc.-027</v>
      </c>
      <c r="Y872" s="39">
        <f t="shared" ca="1" si="1103"/>
        <v>107</v>
      </c>
      <c r="Z872" s="1"/>
      <c r="AA872" s="133">
        <f>IF($J872=$G$2,ROUND(IF(ISNUMBER(S872),S872,IF(LEFT(S872,2)="DI",HLOOKUP(S872,DADOS!$T$29:$X$30,2,FALSE),0)),4),"")</f>
        <v>0.25</v>
      </c>
      <c r="AB872" s="2"/>
    </row>
    <row r="873" spans="1:28">
      <c r="A873" t="str">
        <f t="shared" si="1100"/>
        <v>S</v>
      </c>
      <c r="B873">
        <f t="shared" si="1101"/>
        <v>0</v>
      </c>
      <c r="C873">
        <f t="shared" ca="1" si="1088"/>
        <v>10</v>
      </c>
      <c r="D873">
        <f t="shared" ca="1" si="1089"/>
        <v>5</v>
      </c>
      <c r="E873">
        <f t="shared" ca="1" si="1090"/>
        <v>0</v>
      </c>
      <c r="F873">
        <f t="shared" ca="1" si="1091"/>
        <v>0</v>
      </c>
      <c r="G873">
        <f t="shared" ca="1" si="1092"/>
        <v>15</v>
      </c>
      <c r="H873">
        <f ca="1">IF(OR($A873="S",$A873=0),0,MATCH(0,OFFSET($B873,1,$A873,ROW($A$1504)-ROW($A873)),0))</f>
        <v>0</v>
      </c>
      <c r="I873">
        <f ca="1">IF(OR($A873="S",$A873=0),0,MATCH(OFFSET($B873,0,$A873)+1,OFFSET($B873,1,$A873,ROW($A$1504)-ROW($A873)),0))</f>
        <v>0</v>
      </c>
      <c r="J873" s="132" t="s">
        <v>29</v>
      </c>
      <c r="K873" s="121" t="str">
        <f t="shared" ca="1" si="1102"/>
        <v>10.5.15.</v>
      </c>
      <c r="L873" s="137" t="str">
        <f t="shared" ca="1" si="1093"/>
        <v>Cotação</v>
      </c>
      <c r="M873" s="122" t="s">
        <v>79</v>
      </c>
      <c r="N873" s="139" t="s">
        <v>163</v>
      </c>
      <c r="O873" s="137" t="str">
        <f t="shared" ref="O873:O881" ca="1" si="1104">IF(NOT(ISERROR($Y873)),IF($Y873&lt;&gt;FALSE,INDEX(Banco,$Y873,5),""),"")</f>
        <v>Guloseimas (balas e pirulito)</v>
      </c>
      <c r="P873" s="138" t="str">
        <f t="shared" ca="1" si="1094"/>
        <v>Pacote</v>
      </c>
      <c r="Q873" s="134">
        <v>3</v>
      </c>
      <c r="R873" s="124">
        <f t="shared" ca="1" si="1095"/>
        <v>12</v>
      </c>
      <c r="S873" s="136" t="s">
        <v>62</v>
      </c>
      <c r="T873" s="123">
        <f t="shared" ca="1" si="1096"/>
        <v>15</v>
      </c>
      <c r="U873" s="126">
        <f t="shared" ca="1" si="1097"/>
        <v>45</v>
      </c>
      <c r="V873" s="1"/>
      <c r="W873" s="39" t="str">
        <f ca="1">IF(OR($A873=0,$A873="S",$A873&gt;CFF!$A$9),"",MAX(W$11:OFFSET(W873,-1,0))+1)</f>
        <v/>
      </c>
      <c r="X873" s="4" t="str">
        <f t="shared" si="1098"/>
        <v>Rec. Materiais-020</v>
      </c>
      <c r="Y873" s="39">
        <f t="shared" ca="1" si="1103"/>
        <v>29</v>
      </c>
      <c r="Z873" s="1"/>
      <c r="AA873" s="133">
        <f>IF($J873=$G$2,ROUND(IF(ISNUMBER(S873),S873,IF(LEFT(S873,2)="DI",HLOOKUP(S873,DADOS!$T$29:$X$30,2,FALSE),0)),4),"")</f>
        <v>0.25</v>
      </c>
      <c r="AB873" s="2"/>
    </row>
    <row r="874" spans="1:28">
      <c r="A874" t="str">
        <f>CHOOSE(1+LOG(1+2*(J874=$C$2)+4*(J874=$D$2)+8*(J874=$E$2)+16*(J874=$F$2)+32*(J874=$G$2),2),0,1,2,3,4,"S")</f>
        <v>S</v>
      </c>
      <c r="B874">
        <f>IF(OR(A874="S",A874=0),0,IF(ISERROR(I874),H874,SMALL(H874:I874,1)))</f>
        <v>0</v>
      </c>
      <c r="C874">
        <f ca="1">IF($A874=1,OFFSET(C874,-1,0)+1,OFFSET(C874,-1,0))</f>
        <v>10</v>
      </c>
      <c r="D874">
        <f ca="1">IF($A874=1,0,IF($A874=2,OFFSET(D874,-1,0)+1,OFFSET(D874,-1,0)))</f>
        <v>5</v>
      </c>
      <c r="E874">
        <f ca="1">IF(AND($A874&lt;=2,$A874&lt;&gt;0),0,IF($A874=3,OFFSET(E874,-1,0)+1,OFFSET(E874,-1,0)))</f>
        <v>0</v>
      </c>
      <c r="F874">
        <f ca="1">IF(AND($A874&lt;=3,$A874&lt;&gt;0),0,IF($A874=4,OFFSET(F874,-1,0)+1,OFFSET(F874,-1,0)))</f>
        <v>0</v>
      </c>
      <c r="G874">
        <f ca="1">IF(AND($A874&lt;=4,$A874&lt;&gt;0),0,IF($A874="S",OFFSET(G874,-1,0)+1,OFFSET(G874,-1,0)))</f>
        <v>16</v>
      </c>
      <c r="H874">
        <f ca="1">IF(OR($A874="S",$A874=0),0,MATCH(0,OFFSET($B874,1,$A874,ROW($A$1504)-ROW($A874)),0))</f>
        <v>0</v>
      </c>
      <c r="I874">
        <f ca="1">IF(OR($A874="S",$A874=0),0,MATCH(OFFSET($B874,0,$A874)+1,OFFSET($B874,1,$A874,ROW($A$1504)-ROW($A874)),0))</f>
        <v>0</v>
      </c>
      <c r="J874" s="132" t="s">
        <v>29</v>
      </c>
      <c r="K874" s="121" t="str">
        <f ca="1">IF($A874=0,"-",CONCATENATE(C874&amp;".",IF(AND($A$5&gt;=2,$A874&gt;=2),D874&amp;".",""),IF(AND($A$5&gt;=3,$A874&gt;=3),E874&amp;".",""),IF(AND($A$5&gt;=4,$A874&gt;=4),F874&amp;".",""),IF($A874="S",G874&amp;".","")))</f>
        <v>10.5.16.</v>
      </c>
      <c r="L874" s="137" t="str">
        <f ca="1">IF(NOT(ISERROR($Y874)),IF($Y874&lt;&gt;FALSE,INDEX(Banco,$Y874,4),""),"")</f>
        <v>Cotação</v>
      </c>
      <c r="M874" s="122" t="s">
        <v>80</v>
      </c>
      <c r="N874" s="139" t="s">
        <v>256</v>
      </c>
      <c r="O874" s="137" t="str">
        <f t="shared" ca="1" si="1104"/>
        <v>Instrutor/Monitor (Educação Fisíca)</v>
      </c>
      <c r="P874" s="138" t="str">
        <f ca="1">IF(NOT(ISERROR($Y874)),IF($Y874&lt;&gt;FALSE,INDEX(Banco,$Y874,6),""),"")</f>
        <v>Horas</v>
      </c>
      <c r="Q874" s="134">
        <v>3</v>
      </c>
      <c r="R874" s="124">
        <f ca="1">IF(NOT(ISERROR($Y874)),IF($Y874&lt;&gt;FALSE,INDEX(Banco,$Y874,7),0),0)</f>
        <v>100</v>
      </c>
      <c r="S874" s="136" t="s">
        <v>62</v>
      </c>
      <c r="T874" s="123">
        <f ca="1">IF($J874=$G$2,ROUND(ROUND($R874,2)*IF($R$9="Preço Unitário (R$)",1,1+$AA874),2),0)</f>
        <v>125</v>
      </c>
      <c r="U874" s="126">
        <f ca="1">IF($A874="S",VTOTAL1,IF($A874=0,0,ROUND(SomaAgrup,2)))</f>
        <v>375</v>
      </c>
      <c r="V874" s="1"/>
      <c r="W874" s="39" t="str">
        <f ca="1">IF(OR($A874=0,$A874="S",$A874&gt;CFF!$A$9),"",MAX(W$11:OFFSET(W874,-1,0))+1)</f>
        <v/>
      </c>
      <c r="X874" s="4" t="str">
        <f>IF(AND($J874=$G$2,$N874&lt;&gt;"",$M874&lt;&gt;""),CONCATENATE($M874,"-",$N874))</f>
        <v>Serv. Terc.-017</v>
      </c>
      <c r="Y874" s="39">
        <f ca="1">IF(X874&lt;&gt;FALSE,MATCH(X874,OFFSET(Banco,0,0,,1),0))</f>
        <v>97</v>
      </c>
      <c r="Z874" s="1"/>
      <c r="AA874" s="133">
        <f>IF($J874=$G$2,ROUND(IF(ISNUMBER(S874),S874,IF(LEFT(S874,2)="DI",HLOOKUP(S874,DADOS!$T$29:$X$30,2,FALSE),0)),4),"")</f>
        <v>0.25</v>
      </c>
      <c r="AB874" s="2"/>
    </row>
    <row r="875" spans="1:28">
      <c r="A875" t="str">
        <f>CHOOSE(1+LOG(1+2*(J875=$C$2)+4*(J875=$D$2)+8*(J875=$E$2)+16*(J875=$F$2)+32*(J875=$G$2),2),0,1,2,3,4,"S")</f>
        <v>S</v>
      </c>
      <c r="B875">
        <f>IF(OR(A875="S",A875=0),0,IF(ISERROR(I875),H875,SMALL(H875:I875,1)))</f>
        <v>0</v>
      </c>
      <c r="C875">
        <f ca="1">IF($A875=1,OFFSET(C875,-1,0)+1,OFFSET(C875,-1,0))</f>
        <v>10</v>
      </c>
      <c r="D875">
        <f ca="1">IF($A875=1,0,IF($A875=2,OFFSET(D875,-1,0)+1,OFFSET(D875,-1,0)))</f>
        <v>5</v>
      </c>
      <c r="E875">
        <f ca="1">IF(AND($A875&lt;=2,$A875&lt;&gt;0),0,IF($A875=3,OFFSET(E875,-1,0)+1,OFFSET(E875,-1,0)))</f>
        <v>0</v>
      </c>
      <c r="F875">
        <f ca="1">IF(AND($A875&lt;=3,$A875&lt;&gt;0),0,IF($A875=4,OFFSET(F875,-1,0)+1,OFFSET(F875,-1,0)))</f>
        <v>0</v>
      </c>
      <c r="G875">
        <f ca="1">IF(AND($A875&lt;=4,$A875&lt;&gt;0),0,IF($A875="S",OFFSET(G875,-1,0)+1,OFFSET(G875,-1,0)))</f>
        <v>17</v>
      </c>
      <c r="H875">
        <f ca="1">IF(OR($A875="S",$A875=0),0,MATCH(0,OFFSET($B875,1,$A875,ROW($A$1504)-ROW($A875)),0))</f>
        <v>0</v>
      </c>
      <c r="I875">
        <f ca="1">IF(OR($A875="S",$A875=0),0,MATCH(OFFSET($B875,0,$A875)+1,OFFSET($B875,1,$A875,ROW($A$1504)-ROW($A875)),0))</f>
        <v>0</v>
      </c>
      <c r="J875" s="132" t="s">
        <v>29</v>
      </c>
      <c r="K875" s="121" t="str">
        <f ca="1">IF($A875=0,"-",CONCATENATE(C875&amp;".",IF(AND($A$5&gt;=2,$A875&gt;=2),D875&amp;".",""),IF(AND($A$5&gt;=3,$A875&gt;=3),E875&amp;".",""),IF(AND($A$5&gt;=4,$A875&gt;=4),F875&amp;".",""),IF($A875="S",G875&amp;".","")))</f>
        <v>10.5.17.</v>
      </c>
      <c r="L875" s="137" t="str">
        <f ca="1">IF(NOT(ISERROR($Y875)),IF($Y875&lt;&gt;FALSE,INDEX(Banco,$Y875,4),""),"")</f>
        <v>COREN</v>
      </c>
      <c r="M875" s="122" t="s">
        <v>80</v>
      </c>
      <c r="N875" s="139" t="s">
        <v>261</v>
      </c>
      <c r="O875" s="137" t="str">
        <f t="shared" ca="1" si="1104"/>
        <v>Técnica de Enfermagem (Instrutor)</v>
      </c>
      <c r="P875" s="138" t="str">
        <f ca="1">IF(NOT(ISERROR($Y875)),IF($Y875&lt;&gt;FALSE,INDEX(Banco,$Y875,6),""),"")</f>
        <v>Horas</v>
      </c>
      <c r="Q875" s="134">
        <v>3</v>
      </c>
      <c r="R875" s="124">
        <f ca="1">IF(NOT(ISERROR($Y875)),IF($Y875&lt;&gt;FALSE,INDEX(Banco,$Y875,7),0),0)</f>
        <v>92.65</v>
      </c>
      <c r="S875" s="136" t="s">
        <v>62</v>
      </c>
      <c r="T875" s="123">
        <f ca="1">IF($J875=$G$2,ROUND(ROUND($R875,2)*IF($R$9="Preço Unitário (R$)",1,1+$AA875),2),0)</f>
        <v>115.81</v>
      </c>
      <c r="U875" s="126">
        <f ca="1">IF($A875="S",VTOTAL1,IF($A875=0,0,ROUND(SomaAgrup,2)))</f>
        <v>347.43</v>
      </c>
      <c r="V875" s="1"/>
      <c r="W875" s="39" t="str">
        <f ca="1">IF(OR($A875=0,$A875="S",$A875&gt;CFF!$A$9),"",MAX(W$11:OFFSET(W875,-1,0))+1)</f>
        <v/>
      </c>
      <c r="X875" s="4" t="str">
        <f>IF(AND($J875=$G$2,$N875&lt;&gt;"",$M875&lt;&gt;""),CONCATENATE($M875,"-",$N875))</f>
        <v>Serv. Terc.-086</v>
      </c>
      <c r="Y875" s="39">
        <f ca="1">IF(X875&lt;&gt;FALSE,MATCH(X875,OFFSET(Banco,0,0,,1),0))</f>
        <v>166</v>
      </c>
      <c r="Z875" s="1"/>
      <c r="AA875" s="133">
        <f>IF($J875=$G$2,ROUND(IF(ISNUMBER(S875),S875,IF(LEFT(S875,2)="DI",HLOOKUP(S875,DADOS!$T$29:$X$30,2,FALSE),0)),4),"")</f>
        <v>0.25</v>
      </c>
      <c r="AB875" s="2"/>
    </row>
    <row r="876" spans="1:28">
      <c r="A876" t="str">
        <f t="shared" ref="A876:A881" si="1105">CHOOSE(1+LOG(1+2*(J876=$C$2)+4*(J876=$D$2)+8*(J876=$E$2)+16*(J876=$F$2)+32*(J876=$G$2),2),0,1,2,3,4,"S")</f>
        <v>S</v>
      </c>
      <c r="B876">
        <f t="shared" ref="B876:B881" si="1106">IF(OR(A876="S",A876=0),0,IF(ISERROR(I876),H876,SMALL(H876:I876,1)))</f>
        <v>0</v>
      </c>
      <c r="C876">
        <f ca="1">IF($A876=1,OFFSET(C876,-1,0)+1,OFFSET(C876,-1,0))</f>
        <v>10</v>
      </c>
      <c r="D876">
        <f ca="1">IF($A876=1,0,IF($A876=2,OFFSET(D876,-1,0)+1,OFFSET(D876,-1,0)))</f>
        <v>5</v>
      </c>
      <c r="E876">
        <f ca="1">IF(AND($A876&lt;=2,$A876&lt;&gt;0),0,IF($A876=3,OFFSET(E876,-1,0)+1,OFFSET(E876,-1,0)))</f>
        <v>0</v>
      </c>
      <c r="F876">
        <f ca="1">IF(AND($A876&lt;=3,$A876&lt;&gt;0),0,IF($A876=4,OFFSET(F876,-1,0)+1,OFFSET(F876,-1,0)))</f>
        <v>0</v>
      </c>
      <c r="G876">
        <f ca="1">IF(AND($A876&lt;=4,$A876&lt;&gt;0),0,IF($A876="S",OFFSET(G876,-1,0)+1,OFFSET(G876,-1,0)))</f>
        <v>18</v>
      </c>
      <c r="H876">
        <f ca="1">IF(OR($A876="S",$A876=0),0,MATCH(0,OFFSET($B876,1,$A876,ROW($A$1504)-ROW($A876)),0))</f>
        <v>0</v>
      </c>
      <c r="I876">
        <f ca="1">IF(OR($A876="S",$A876=0),0,MATCH(OFFSET($B876,0,$A876)+1,OFFSET($B876,1,$A876,ROW($A$1504)-ROW($A876)),0))</f>
        <v>0</v>
      </c>
      <c r="J876" s="132" t="s">
        <v>29</v>
      </c>
      <c r="K876" s="121" t="str">
        <f t="shared" ref="K876:K881" ca="1" si="1107">IF($A876=0,"-",CONCATENATE(C876&amp;".",IF(AND($A$5&gt;=2,$A876&gt;=2),D876&amp;".",""),IF(AND($A$5&gt;=3,$A876&gt;=3),E876&amp;".",""),IF(AND($A$5&gt;=4,$A876&gt;=4),F876&amp;".",""),IF($A876="S",G876&amp;".","")))</f>
        <v>10.5.18.</v>
      </c>
      <c r="L876" s="137" t="str">
        <f ca="1">IF(NOT(ISERROR($Y876)),IF($Y876&lt;&gt;FALSE,INDEX(Banco,$Y876,4),""),"")</f>
        <v>Cotação</v>
      </c>
      <c r="M876" s="122" t="s">
        <v>80</v>
      </c>
      <c r="N876" s="139" t="s">
        <v>229</v>
      </c>
      <c r="O876" s="137" t="str">
        <f t="shared" ca="1" si="1104"/>
        <v>Arco decorativo de balão (com 200 unidades)</v>
      </c>
      <c r="P876" s="138" t="str">
        <f ca="1">IF(NOT(ISERROR($Y876)),IF($Y876&lt;&gt;FALSE,INDEX(Banco,$Y876,6),""),"")</f>
        <v>Unidade</v>
      </c>
      <c r="Q876" s="134">
        <v>1</v>
      </c>
      <c r="R876" s="124">
        <f ca="1">IF(NOT(ISERROR($Y876)),IF($Y876&lt;&gt;FALSE,INDEX(Banco,$Y876,7),0),0)</f>
        <v>250</v>
      </c>
      <c r="S876" s="136" t="s">
        <v>62</v>
      </c>
      <c r="T876" s="123">
        <f ca="1">IF($J876=$G$2,ROUND(ROUND($R876,2)*IF($R$9="Preço Unitário (R$)",1,1+$AA876),2),0)</f>
        <v>312.5</v>
      </c>
      <c r="U876" s="126">
        <f ca="1">IF($A876="S",VTOTAL1,IF($A876=0,0,ROUND(SomaAgrup,2)))</f>
        <v>312.5</v>
      </c>
      <c r="V876" s="1"/>
      <c r="W876" s="39" t="str">
        <f ca="1">IF(OR($A876=0,$A876="S",$A876&gt;CFF!$A$9),"",MAX(W$11:OFFSET(W876,-1,0))+1)</f>
        <v/>
      </c>
      <c r="X876" s="4" t="str">
        <f>IF(AND($J876=$G$2,$N876&lt;&gt;"",$M876&lt;&gt;""),CONCATENATE($M876,"-",$N876))</f>
        <v>Serv. Terc.-074</v>
      </c>
      <c r="Y876" s="39">
        <f t="shared" ref="Y876:Y881" ca="1" si="1108">IF(X876&lt;&gt;FALSE,MATCH(X876,OFFSET(Banco,0,0,,1),0))</f>
        <v>154</v>
      </c>
      <c r="Z876" s="1"/>
      <c r="AA876" s="133">
        <f>IF($J876=$G$2,ROUND(IF(ISNUMBER(S876),S876,IF(LEFT(S876,2)="DI",HLOOKUP(S876,DADOS!$T$29:$X$30,2,FALSE),0)),4),"")</f>
        <v>0.25</v>
      </c>
      <c r="AB876" s="2"/>
    </row>
    <row r="877" spans="1:28">
      <c r="A877" t="str">
        <f t="shared" si="1105"/>
        <v>S</v>
      </c>
      <c r="B877">
        <f t="shared" si="1106"/>
        <v>0</v>
      </c>
      <c r="C877">
        <f t="shared" ca="1" si="1088"/>
        <v>10</v>
      </c>
      <c r="D877">
        <f t="shared" ca="1" si="1089"/>
        <v>5</v>
      </c>
      <c r="E877">
        <f t="shared" ca="1" si="1090"/>
        <v>0</v>
      </c>
      <c r="F877">
        <f t="shared" ca="1" si="1091"/>
        <v>0</v>
      </c>
      <c r="G877">
        <f t="shared" ca="1" si="1092"/>
        <v>19</v>
      </c>
      <c r="H877">
        <f ca="1">IF(OR($A877="S",$A877=0),0,MATCH(0,OFFSET($B877,1,$A877,ROW($A$1504)-ROW($A877)),0))</f>
        <v>0</v>
      </c>
      <c r="I877">
        <f ca="1">IF(OR($A877="S",$A877=0),0,MATCH(OFFSET($B877,0,$A877)+1,OFFSET($B877,1,$A877,ROW($A$1504)-ROW($A877)),0))</f>
        <v>0</v>
      </c>
      <c r="J877" s="132" t="s">
        <v>29</v>
      </c>
      <c r="K877" s="121" t="str">
        <f t="shared" ca="1" si="1107"/>
        <v>10.5.19.</v>
      </c>
      <c r="L877" s="137" t="str">
        <f t="shared" ca="1" si="1093"/>
        <v>Cotação</v>
      </c>
      <c r="M877" s="122" t="s">
        <v>80</v>
      </c>
      <c r="N877" s="139" t="s">
        <v>217</v>
      </c>
      <c r="O877" s="137" t="str">
        <f t="shared" ca="1" si="1104"/>
        <v>Locação de carrinho de picolé</v>
      </c>
      <c r="P877" s="138" t="str">
        <f t="shared" ca="1" si="1094"/>
        <v>Unidade</v>
      </c>
      <c r="Q877" s="134">
        <v>1</v>
      </c>
      <c r="R877" s="124">
        <f t="shared" ca="1" si="1095"/>
        <v>186</v>
      </c>
      <c r="S877" s="136" t="s">
        <v>62</v>
      </c>
      <c r="T877" s="123">
        <f t="shared" ca="1" si="1096"/>
        <v>232.5</v>
      </c>
      <c r="U877" s="126">
        <f t="shared" ca="1" si="1097"/>
        <v>232.5</v>
      </c>
      <c r="V877" s="1"/>
      <c r="W877" s="39" t="str">
        <f ca="1">IF(OR($A877=0,$A877="S",$A877&gt;CFF!$A$9),"",MAX(W$11:OFFSET(W877,-1,0))+1)</f>
        <v/>
      </c>
      <c r="X877" s="4" t="str">
        <f t="shared" si="1098"/>
        <v>Serv. Terc.-036</v>
      </c>
      <c r="Y877" s="39">
        <f t="shared" ca="1" si="1108"/>
        <v>116</v>
      </c>
      <c r="Z877" s="1"/>
      <c r="AA877" s="133">
        <f>IF($J877=$G$2,ROUND(IF(ISNUMBER(S877),S877,IF(LEFT(S877,2)="DI",HLOOKUP(S877,DADOS!$T$29:$X$30,2,FALSE),0)),4),"")</f>
        <v>0.25</v>
      </c>
      <c r="AB877" s="2"/>
    </row>
    <row r="878" spans="1:28">
      <c r="A878" t="str">
        <f t="shared" si="1105"/>
        <v>S</v>
      </c>
      <c r="B878">
        <f t="shared" si="1106"/>
        <v>0</v>
      </c>
      <c r="C878">
        <f t="shared" ca="1" si="1088"/>
        <v>10</v>
      </c>
      <c r="D878">
        <f t="shared" ca="1" si="1089"/>
        <v>5</v>
      </c>
      <c r="E878">
        <f t="shared" ca="1" si="1090"/>
        <v>0</v>
      </c>
      <c r="F878">
        <f t="shared" ca="1" si="1091"/>
        <v>0</v>
      </c>
      <c r="G878">
        <f t="shared" ca="1" si="1092"/>
        <v>20</v>
      </c>
      <c r="H878">
        <f ca="1">IF(OR($A878="S",$A878=0),0,MATCH(0,OFFSET($B878,1,$A878,ROW($A$1504)-ROW($A878)),0))</f>
        <v>0</v>
      </c>
      <c r="I878">
        <f ca="1">IF(OR($A878="S",$A878=0),0,MATCH(OFFSET($B878,0,$A878)+1,OFFSET($B878,1,$A878,ROW($A$1504)-ROW($A878)),0))</f>
        <v>0</v>
      </c>
      <c r="J878" s="132" t="s">
        <v>29</v>
      </c>
      <c r="K878" s="121" t="str">
        <f t="shared" ca="1" si="1107"/>
        <v>10.5.20.</v>
      </c>
      <c r="L878" s="137" t="str">
        <f t="shared" ca="1" si="1093"/>
        <v>Cotação</v>
      </c>
      <c r="M878" s="122" t="s">
        <v>80</v>
      </c>
      <c r="N878" s="139" t="s">
        <v>218</v>
      </c>
      <c r="O878" s="137" t="str">
        <f t="shared" ca="1" si="1104"/>
        <v>Locação carrinho de pipoca</v>
      </c>
      <c r="P878" s="138" t="str">
        <f t="shared" ca="1" si="1094"/>
        <v>Unidade</v>
      </c>
      <c r="Q878" s="134">
        <v>1</v>
      </c>
      <c r="R878" s="124">
        <f t="shared" ca="1" si="1095"/>
        <v>190</v>
      </c>
      <c r="S878" s="136" t="s">
        <v>62</v>
      </c>
      <c r="T878" s="123">
        <f t="shared" ca="1" si="1096"/>
        <v>237.5</v>
      </c>
      <c r="U878" s="126">
        <f t="shared" ca="1" si="1097"/>
        <v>237.5</v>
      </c>
      <c r="V878" s="1"/>
      <c r="W878" s="39" t="str">
        <f ca="1">IF(OR($A878=0,$A878="S",$A878&gt;CFF!$A$9),"",MAX(W$11:OFFSET(W878,-1,0))+1)</f>
        <v/>
      </c>
      <c r="X878" s="4" t="str">
        <f t="shared" si="1098"/>
        <v>Serv. Terc.-037</v>
      </c>
      <c r="Y878" s="39">
        <f t="shared" ca="1" si="1108"/>
        <v>117</v>
      </c>
      <c r="Z878" s="1"/>
      <c r="AA878" s="133">
        <f>IF($J878=$G$2,ROUND(IF(ISNUMBER(S878),S878,IF(LEFT(S878,2)="DI",HLOOKUP(S878,DADOS!$T$29:$X$30,2,FALSE),0)),4),"")</f>
        <v>0.25</v>
      </c>
      <c r="AB878" s="2"/>
    </row>
    <row r="879" spans="1:28">
      <c r="A879" t="str">
        <f t="shared" si="1105"/>
        <v>S</v>
      </c>
      <c r="B879">
        <f t="shared" si="1106"/>
        <v>0</v>
      </c>
      <c r="C879">
        <f t="shared" ca="1" si="1088"/>
        <v>10</v>
      </c>
      <c r="D879">
        <f t="shared" ca="1" si="1089"/>
        <v>5</v>
      </c>
      <c r="E879">
        <f t="shared" ca="1" si="1090"/>
        <v>0</v>
      </c>
      <c r="F879">
        <f t="shared" ca="1" si="1091"/>
        <v>0</v>
      </c>
      <c r="G879">
        <f t="shared" ca="1" si="1092"/>
        <v>21</v>
      </c>
      <c r="H879">
        <f ca="1">IF(OR($A879="S",$A879=0),0,MATCH(0,OFFSET($B879,1,$A879,ROW($A$1504)-ROW($A879)),0))</f>
        <v>0</v>
      </c>
      <c r="I879">
        <f ca="1">IF(OR($A879="S",$A879=0),0,MATCH(OFFSET($B879,0,$A879)+1,OFFSET($B879,1,$A879,ROW($A$1504)-ROW($A879)),0))</f>
        <v>0</v>
      </c>
      <c r="J879" s="132" t="s">
        <v>29</v>
      </c>
      <c r="K879" s="121" t="str">
        <f t="shared" ca="1" si="1107"/>
        <v>10.5.21.</v>
      </c>
      <c r="L879" s="137" t="str">
        <f t="shared" ca="1" si="1093"/>
        <v>Cotação</v>
      </c>
      <c r="M879" s="122" t="s">
        <v>80</v>
      </c>
      <c r="N879" s="139" t="s">
        <v>219</v>
      </c>
      <c r="O879" s="137" t="str">
        <f t="shared" ca="1" si="1104"/>
        <v>Locação carrinho de algodão doce</v>
      </c>
      <c r="P879" s="138" t="str">
        <f t="shared" ca="1" si="1094"/>
        <v>Unidade</v>
      </c>
      <c r="Q879" s="134">
        <v>1</v>
      </c>
      <c r="R879" s="124">
        <f t="shared" ca="1" si="1095"/>
        <v>200</v>
      </c>
      <c r="S879" s="136" t="s">
        <v>62</v>
      </c>
      <c r="T879" s="123">
        <f t="shared" ca="1" si="1096"/>
        <v>250</v>
      </c>
      <c r="U879" s="126">
        <f t="shared" ca="1" si="1097"/>
        <v>250</v>
      </c>
      <c r="V879" s="1"/>
      <c r="W879" s="39" t="str">
        <f ca="1">IF(OR($A879=0,$A879="S",$A879&gt;CFF!$A$9),"",MAX(W$11:OFFSET(W879,-1,0))+1)</f>
        <v/>
      </c>
      <c r="X879" s="4" t="str">
        <f t="shared" si="1098"/>
        <v>Serv. Terc.-038</v>
      </c>
      <c r="Y879" s="39">
        <f t="shared" ca="1" si="1108"/>
        <v>118</v>
      </c>
      <c r="Z879" s="1"/>
      <c r="AA879" s="133">
        <f>IF($J879=$G$2,ROUND(IF(ISNUMBER(S879),S879,IF(LEFT(S879,2)="DI",HLOOKUP(S879,DADOS!$T$29:$X$30,2,FALSE),0)),4),"")</f>
        <v>0.25</v>
      </c>
      <c r="AB879" s="2"/>
    </row>
    <row r="880" spans="1:28">
      <c r="A880" t="str">
        <f t="shared" si="1105"/>
        <v>S</v>
      </c>
      <c r="B880">
        <f t="shared" si="1106"/>
        <v>0</v>
      </c>
      <c r="C880">
        <f t="shared" ca="1" si="1088"/>
        <v>10</v>
      </c>
      <c r="D880">
        <f t="shared" ca="1" si="1089"/>
        <v>5</v>
      </c>
      <c r="E880">
        <f t="shared" ca="1" si="1090"/>
        <v>0</v>
      </c>
      <c r="F880">
        <f t="shared" ca="1" si="1091"/>
        <v>0</v>
      </c>
      <c r="G880">
        <f t="shared" ca="1" si="1092"/>
        <v>22</v>
      </c>
      <c r="H880">
        <f ca="1">IF(OR($A880="S",$A880=0),0,MATCH(0,OFFSET($B880,1,$A880,ROW($A$1504)-ROW($A880)),0))</f>
        <v>0</v>
      </c>
      <c r="I880">
        <f ca="1">IF(OR($A880="S",$A880=0),0,MATCH(OFFSET($B880,0,$A880)+1,OFFSET($B880,1,$A880,ROW($A$1504)-ROW($A880)),0))</f>
        <v>0</v>
      </c>
      <c r="J880" s="132" t="s">
        <v>29</v>
      </c>
      <c r="K880" s="121" t="str">
        <f t="shared" ca="1" si="1107"/>
        <v>10.5.22.</v>
      </c>
      <c r="L880" s="137" t="str">
        <f t="shared" ca="1" si="1093"/>
        <v>Cotação</v>
      </c>
      <c r="M880" s="122" t="s">
        <v>80</v>
      </c>
      <c r="N880" s="139" t="s">
        <v>220</v>
      </c>
      <c r="O880" s="137" t="str">
        <f t="shared" ca="1" si="1104"/>
        <v>Locação carrinho de cachorro quente</v>
      </c>
      <c r="P880" s="138" t="str">
        <f t="shared" ca="1" si="1094"/>
        <v>Unidade</v>
      </c>
      <c r="Q880" s="134">
        <v>1</v>
      </c>
      <c r="R880" s="124">
        <f t="shared" ca="1" si="1095"/>
        <v>250</v>
      </c>
      <c r="S880" s="136" t="s">
        <v>62</v>
      </c>
      <c r="T880" s="123">
        <f t="shared" ca="1" si="1096"/>
        <v>312.5</v>
      </c>
      <c r="U880" s="126">
        <f t="shared" ca="1" si="1097"/>
        <v>312.5</v>
      </c>
      <c r="V880" s="1"/>
      <c r="W880" s="39" t="str">
        <f ca="1">IF(OR($A880=0,$A880="S",$A880&gt;CFF!$A$9),"",MAX(W$11:OFFSET(W880,-1,0))+1)</f>
        <v/>
      </c>
      <c r="X880" s="4" t="str">
        <f t="shared" si="1098"/>
        <v>Serv. Terc.-039</v>
      </c>
      <c r="Y880" s="39">
        <f t="shared" ca="1" si="1108"/>
        <v>119</v>
      </c>
      <c r="Z880" s="1"/>
      <c r="AA880" s="133">
        <f>IF($J880=$G$2,ROUND(IF(ISNUMBER(S880),S880,IF(LEFT(S880,2)="DI",HLOOKUP(S880,DADOS!$T$29:$X$30,2,FALSE),0)),4),"")</f>
        <v>0.25</v>
      </c>
      <c r="AB880" s="2"/>
    </row>
    <row r="881" spans="1:28">
      <c r="A881" t="str">
        <f t="shared" si="1105"/>
        <v>S</v>
      </c>
      <c r="B881">
        <f t="shared" si="1106"/>
        <v>0</v>
      </c>
      <c r="C881">
        <f t="shared" ca="1" si="1088"/>
        <v>10</v>
      </c>
      <c r="D881">
        <f t="shared" ca="1" si="1089"/>
        <v>5</v>
      </c>
      <c r="E881">
        <f t="shared" ca="1" si="1090"/>
        <v>0</v>
      </c>
      <c r="F881">
        <f t="shared" ca="1" si="1091"/>
        <v>0</v>
      </c>
      <c r="G881">
        <f t="shared" ca="1" si="1092"/>
        <v>23</v>
      </c>
      <c r="H881">
        <f ca="1">IF(OR($A881="S",$A881=0),0,MATCH(0,OFFSET($B881,1,$A881,ROW($A$1504)-ROW($A881)),0))</f>
        <v>0</v>
      </c>
      <c r="I881">
        <f ca="1">IF(OR($A881="S",$A881=0),0,MATCH(OFFSET($B881,0,$A881)+1,OFFSET($B881,1,$A881,ROW($A$1504)-ROW($A881)),0))</f>
        <v>0</v>
      </c>
      <c r="J881" s="132" t="s">
        <v>29</v>
      </c>
      <c r="K881" s="121" t="str">
        <f t="shared" ca="1" si="1107"/>
        <v>10.5.23.</v>
      </c>
      <c r="L881" s="137" t="str">
        <f t="shared" ca="1" si="1093"/>
        <v>Cotação</v>
      </c>
      <c r="M881" s="122" t="s">
        <v>79</v>
      </c>
      <c r="N881" s="139" t="s">
        <v>170</v>
      </c>
      <c r="O881" s="137" t="str">
        <f t="shared" ca="1" si="1104"/>
        <v>Saco de lixo (100 litros)</v>
      </c>
      <c r="P881" s="138" t="str">
        <f t="shared" ca="1" si="1094"/>
        <v>Pacote</v>
      </c>
      <c r="Q881" s="134">
        <v>2</v>
      </c>
      <c r="R881" s="124">
        <f t="shared" ca="1" si="1095"/>
        <v>15</v>
      </c>
      <c r="S881" s="136" t="s">
        <v>62</v>
      </c>
      <c r="T881" s="123">
        <f t="shared" ca="1" si="1096"/>
        <v>18.75</v>
      </c>
      <c r="U881" s="126">
        <f t="shared" ca="1" si="1097"/>
        <v>37.5</v>
      </c>
      <c r="V881" s="1"/>
      <c r="W881" s="39" t="str">
        <f ca="1">IF(OR($A881=0,$A881="S",$A881&gt;CFF!$A$9),"",MAX(W$11:OFFSET(W881,-1,0))+1)</f>
        <v/>
      </c>
      <c r="X881" s="4" t="str">
        <f t="shared" si="1098"/>
        <v>Rec. Materiais-026</v>
      </c>
      <c r="Y881" s="39">
        <f t="shared" ca="1" si="1108"/>
        <v>35</v>
      </c>
      <c r="Z881" s="1"/>
      <c r="AA881" s="133">
        <f>IF($J881=$G$2,ROUND(IF(ISNUMBER(S881),S881,IF(LEFT(S881,2)="DI",HLOOKUP(S881,DADOS!$T$29:$X$30,2,FALSE),0)),4),"")</f>
        <v>0.25</v>
      </c>
      <c r="AB881" s="2"/>
    </row>
    <row r="882" spans="1:28">
      <c r="A882">
        <f>CHOOSE(1+LOG(1+2*(J882=$C$2)+4*(J882=$D$2)+8*(J882=$E$2)+16*(J882=$F$2)+32*(J882=$G$2),2),0,1,2,3,4,"S")</f>
        <v>2</v>
      </c>
      <c r="B882">
        <f ca="1">IF(OR(A882="S",A882=0),0,IF(ISERROR(I882),H882,SMALL(H882:I882,1)))</f>
        <v>24</v>
      </c>
      <c r="C882">
        <f ca="1">IF($A882=1,OFFSET(C882,-1,0)+1,OFFSET(C882,-1,0))</f>
        <v>10</v>
      </c>
      <c r="D882">
        <f ca="1">IF($A882=1,0,IF($A882=2,OFFSET(D882,-1,0)+1,OFFSET(D882,-1,0)))</f>
        <v>6</v>
      </c>
      <c r="E882">
        <f ca="1">IF(AND($A882&lt;=2,$A882&lt;&gt;0),0,IF($A882=3,OFFSET(E882,-1,0)+1,OFFSET(E882,-1,0)))</f>
        <v>0</v>
      </c>
      <c r="F882">
        <f ca="1">IF(AND($A882&lt;=3,$A882&lt;&gt;0),0,IF($A882=4,OFFSET(F882,-1,0)+1,OFFSET(F882,-1,0)))</f>
        <v>0</v>
      </c>
      <c r="G882">
        <f ca="1">IF(AND($A882&lt;=4,$A882&lt;&gt;0),0,IF($A882="S",OFFSET(G882,-1,0)+1,OFFSET(G882,-1,0)))</f>
        <v>0</v>
      </c>
      <c r="H882">
        <f ca="1">IF(OR($A882="S",$A882=0),0,MATCH(0,OFFSET($B882,1,$A882,ROW($A$1504)-ROW($A882)),0))</f>
        <v>62</v>
      </c>
      <c r="I882">
        <f ca="1">IF(OR($A882="S",$A882=0),0,MATCH(OFFSET($B882,0,$A882)+1,OFFSET($B882,1,$A882,ROW($A$1504)-ROW($A882)),0))</f>
        <v>24</v>
      </c>
      <c r="J882" s="132" t="s">
        <v>68</v>
      </c>
      <c r="K882" s="121" t="str">
        <f ca="1">IF($A882=0,"-",CONCATENATE(C882&amp;".",IF(AND($A$5&gt;=2,$A882&gt;=2),D882&amp;".",""),IF(AND($A$5&gt;=3,$A882&gt;=3),E882&amp;".",""),IF(AND($A$5&gt;=4,$A882&gt;=4),F882&amp;".",""),IF($A882="S",G882&amp;".","")))</f>
        <v>10.6.</v>
      </c>
      <c r="L882" s="137" t="str">
        <f ca="1">IF(NOT(ISERROR($Y882)),IF($Y882&lt;&gt;FALSE,INDEX(Banco,$Y882,4),""),"")</f>
        <v/>
      </c>
      <c r="M882" s="122"/>
      <c r="N882" s="139"/>
      <c r="O882" s="137" t="s">
        <v>416</v>
      </c>
      <c r="P882" s="138" t="str">
        <f ca="1">IF(NOT(ISERROR($Y882)),IF($Y882&lt;&gt;FALSE,INDEX(Banco,$Y882,6),""),"")</f>
        <v/>
      </c>
      <c r="Q882" s="134"/>
      <c r="R882" s="124">
        <f ca="1">IF(NOT(ISERROR($Y882)),IF($Y882&lt;&gt;FALSE,INDEX(Banco,$Y882,7),0),0)</f>
        <v>0</v>
      </c>
      <c r="S882" s="136" t="s">
        <v>62</v>
      </c>
      <c r="T882" s="123">
        <f>IF($J882=$G$2,ROUND(ROUND($R882,2)*IF($R$9="Preço Unitário (R$)",1,1+$AA882),2),0)</f>
        <v>0</v>
      </c>
      <c r="U882" s="126">
        <f ca="1">IF($A882="S",VTOTAL1,IF($A882=0,0,ROUND(SomaAgrup,2)))</f>
        <v>9836.6200000000008</v>
      </c>
      <c r="V882" s="1"/>
      <c r="W882" s="39">
        <f ca="1">IF(OR($A882=0,$A882="S",$A882&gt;CFF!$A$9),"",MAX(W$11:OFFSET(W882,-1,0))+1)</f>
        <v>79</v>
      </c>
      <c r="X882" s="4" t="b">
        <f>IF(AND($J882=$G$2,$N882&lt;&gt;"",$M882&lt;&gt;""),CONCATENATE($M882,"-",$N882))</f>
        <v>0</v>
      </c>
      <c r="Y882" s="39" t="b">
        <f ca="1">IF(X882&lt;&gt;FALSE,MATCH(X882,OFFSET(Banco,0,0,,1),0))</f>
        <v>0</v>
      </c>
      <c r="Z882" s="1"/>
      <c r="AA882" s="133" t="str">
        <f>IF($J882=$G$2,ROUND(IF(ISNUMBER(S882),S882,IF(LEFT(S882,2)="DI",HLOOKUP(S882,DADOS!$T$29:$X$30,2,FALSE),0)),4),"")</f>
        <v/>
      </c>
      <c r="AB882" s="2"/>
    </row>
    <row r="883" spans="1:28">
      <c r="A883" t="str">
        <f t="shared" ref="A883:A900" si="1109">CHOOSE(1+LOG(1+2*(J883=$C$2)+4*(J883=$D$2)+8*(J883=$E$2)+16*(J883=$F$2)+32*(J883=$G$2),2),0,1,2,3,4,"S")</f>
        <v>S</v>
      </c>
      <c r="B883">
        <f t="shared" ref="B883:B900" si="1110">IF(OR(A883="S",A883=0),0,IF(ISERROR(I883),H883,SMALL(H883:I883,1)))</f>
        <v>0</v>
      </c>
      <c r="C883">
        <f t="shared" ref="C883:C892" ca="1" si="1111">IF($A883=1,OFFSET(C883,-1,0)+1,OFFSET(C883,-1,0))</f>
        <v>10</v>
      </c>
      <c r="D883">
        <f t="shared" ref="D883:D892" ca="1" si="1112">IF($A883=1,0,IF($A883=2,OFFSET(D883,-1,0)+1,OFFSET(D883,-1,0)))</f>
        <v>6</v>
      </c>
      <c r="E883">
        <f t="shared" ref="E883:E892" ca="1" si="1113">IF(AND($A883&lt;=2,$A883&lt;&gt;0),0,IF($A883=3,OFFSET(E883,-1,0)+1,OFFSET(E883,-1,0)))</f>
        <v>0</v>
      </c>
      <c r="F883">
        <f t="shared" ref="F883:F892" ca="1" si="1114">IF(AND($A883&lt;=3,$A883&lt;&gt;0),0,IF($A883=4,OFFSET(F883,-1,0)+1,OFFSET(F883,-1,0)))</f>
        <v>0</v>
      </c>
      <c r="G883">
        <f t="shared" ref="G883:G892" ca="1" si="1115">IF(AND($A883&lt;=4,$A883&lt;&gt;0),0,IF($A883="S",OFFSET(G883,-1,0)+1,OFFSET(G883,-1,0)))</f>
        <v>1</v>
      </c>
      <c r="H883">
        <f ca="1">IF(OR($A883="S",$A883=0),0,MATCH(0,OFFSET($B883,1,$A883,ROW($A$1504)-ROW($A883)),0))</f>
        <v>0</v>
      </c>
      <c r="I883">
        <f ca="1">IF(OR($A883="S",$A883=0),0,MATCH(OFFSET($B883,0,$A883)+1,OFFSET($B883,1,$A883,ROW($A$1504)-ROW($A883)),0))</f>
        <v>0</v>
      </c>
      <c r="J883" s="132" t="s">
        <v>29</v>
      </c>
      <c r="K883" s="121" t="str">
        <f t="shared" ref="K883:K900" ca="1" si="1116">IF($A883=0,"-",CONCATENATE(C883&amp;".",IF(AND($A$5&gt;=2,$A883&gt;=2),D883&amp;".",""),IF(AND($A$5&gt;=3,$A883&gt;=3),E883&amp;".",""),IF(AND($A$5&gt;=4,$A883&gt;=4),F883&amp;".",""),IF($A883="S",G883&amp;".","")))</f>
        <v>10.6.1.</v>
      </c>
      <c r="L883" s="137" t="str">
        <f t="shared" ref="L883:L892" ca="1" si="1117">IF(NOT(ISERROR($Y883)),IF($Y883&lt;&gt;FALSE,INDEX(Banco,$Y883,4),""),"")</f>
        <v>CRESS</v>
      </c>
      <c r="M883" s="122" t="s">
        <v>78</v>
      </c>
      <c r="N883" s="139" t="s">
        <v>149</v>
      </c>
      <c r="O883" s="137" t="str">
        <f t="shared" ref="O883:O900" ca="1" si="1118">IF(NOT(ISERROR($Y883)),IF($Y883&lt;&gt;FALSE,INDEX(Banco,$Y883,5),""),"")</f>
        <v>Responsável Técnica</v>
      </c>
      <c r="P883" s="138" t="str">
        <f t="shared" ref="P883:P892" ca="1" si="1119">IF(NOT(ISERROR($Y883)),IF($Y883&lt;&gt;FALSE,INDEX(Banco,$Y883,6),""),"")</f>
        <v>Horas</v>
      </c>
      <c r="Q883" s="134">
        <v>8</v>
      </c>
      <c r="R883" s="124">
        <f t="shared" ref="R883:R892" ca="1" si="1120">IF(NOT(ISERROR($Y883)),IF($Y883&lt;&gt;FALSE,INDEX(Banco,$Y883,7),0),0)</f>
        <v>150.28</v>
      </c>
      <c r="S883" s="136" t="s">
        <v>62</v>
      </c>
      <c r="T883" s="123">
        <f t="shared" ref="T883:T892" ca="1" si="1121">IF($J883=$G$2,ROUND(ROUND($R883,2)*IF($R$9="Preço Unitário (R$)",1,1+$AA883),2),0)</f>
        <v>187.85</v>
      </c>
      <c r="U883" s="126">
        <f t="shared" ref="U883:U892" ca="1" si="1122">IF($A883="S",VTOTAL1,IF($A883=0,0,ROUND(SomaAgrup,2)))</f>
        <v>1502.8</v>
      </c>
      <c r="V883" s="1"/>
      <c r="W883" s="39" t="str">
        <f ca="1">IF(OR($A883=0,$A883="S",$A883&gt;CFF!$A$9),"",MAX(W$11:OFFSET(W883,-1,0))+1)</f>
        <v/>
      </c>
      <c r="X883" s="4" t="str">
        <f t="shared" ref="X883:X892" si="1123">IF(AND($J883=$G$2,$N883&lt;&gt;"",$M883&lt;&gt;""),CONCATENATE($M883,"-",$N883))</f>
        <v>Rec. Humanos-001</v>
      </c>
      <c r="Y883" s="39">
        <f t="shared" ref="Y883:Y900" ca="1" si="1124">IF(X883&lt;&gt;FALSE,MATCH(X883,OFFSET(Banco,0,0,,1),0))</f>
        <v>3</v>
      </c>
      <c r="Z883" s="1"/>
      <c r="AA883" s="133">
        <f>IF($J883=$G$2,ROUND(IF(ISNUMBER(S883),S883,IF(LEFT(S883,2)="DI",HLOOKUP(S883,DADOS!$T$29:$X$30,2,FALSE),0)),4),"")</f>
        <v>0.25</v>
      </c>
      <c r="AB883" s="2"/>
    </row>
    <row r="884" spans="1:28">
      <c r="A884" t="str">
        <f t="shared" si="1109"/>
        <v>S</v>
      </c>
      <c r="B884">
        <f t="shared" si="1110"/>
        <v>0</v>
      </c>
      <c r="C884">
        <f t="shared" ca="1" si="1111"/>
        <v>10</v>
      </c>
      <c r="D884">
        <f t="shared" ca="1" si="1112"/>
        <v>6</v>
      </c>
      <c r="E884">
        <f t="shared" ca="1" si="1113"/>
        <v>0</v>
      </c>
      <c r="F884">
        <f t="shared" ca="1" si="1114"/>
        <v>0</v>
      </c>
      <c r="G884">
        <f t="shared" ca="1" si="1115"/>
        <v>2</v>
      </c>
      <c r="H884">
        <f ca="1">IF(OR($A884="S",$A884=0),0,MATCH(0,OFFSET($B884,1,$A884,ROW($A$1504)-ROW($A884)),0))</f>
        <v>0</v>
      </c>
      <c r="I884">
        <f ca="1">IF(OR($A884="S",$A884=0),0,MATCH(OFFSET($B884,0,$A884)+1,OFFSET($B884,1,$A884,ROW($A$1504)-ROW($A884)),0))</f>
        <v>0</v>
      </c>
      <c r="J884" s="132" t="s">
        <v>29</v>
      </c>
      <c r="K884" s="121" t="str">
        <f t="shared" ca="1" si="1116"/>
        <v>10.6.2.</v>
      </c>
      <c r="L884" s="137" t="str">
        <f t="shared" ca="1" si="1117"/>
        <v>CRESS</v>
      </c>
      <c r="M884" s="122" t="s">
        <v>78</v>
      </c>
      <c r="N884" s="139" t="s">
        <v>152</v>
      </c>
      <c r="O884" s="137" t="str">
        <f t="shared" ca="1" si="1118"/>
        <v>Assistente Social</v>
      </c>
      <c r="P884" s="138" t="str">
        <f t="shared" ca="1" si="1119"/>
        <v>Horas</v>
      </c>
      <c r="Q884" s="134">
        <v>4</v>
      </c>
      <c r="R884" s="124">
        <f t="shared" ca="1" si="1120"/>
        <v>133.81</v>
      </c>
      <c r="S884" s="136" t="s">
        <v>62</v>
      </c>
      <c r="T884" s="123">
        <f t="shared" ca="1" si="1121"/>
        <v>167.26</v>
      </c>
      <c r="U884" s="126">
        <f t="shared" ca="1" si="1122"/>
        <v>669.04</v>
      </c>
      <c r="V884" s="1"/>
      <c r="W884" s="39" t="str">
        <f ca="1">IF(OR($A884=0,$A884="S",$A884&gt;CFF!$A$9),"",MAX(W$11:OFFSET(W884,-1,0))+1)</f>
        <v/>
      </c>
      <c r="X884" s="4" t="str">
        <f t="shared" si="1123"/>
        <v>Rec. Humanos-002</v>
      </c>
      <c r="Y884" s="39">
        <f t="shared" ca="1" si="1124"/>
        <v>4</v>
      </c>
      <c r="Z884" s="1"/>
      <c r="AA884" s="133">
        <f>IF($J884=$G$2,ROUND(IF(ISNUMBER(S884),S884,IF(LEFT(S884,2)="DI",HLOOKUP(S884,DADOS!$T$29:$X$30,2,FALSE),0)),4),"")</f>
        <v>0.25</v>
      </c>
      <c r="AB884" s="2"/>
    </row>
    <row r="885" spans="1:28">
      <c r="A885" t="str">
        <f t="shared" si="1109"/>
        <v>S</v>
      </c>
      <c r="B885">
        <f t="shared" si="1110"/>
        <v>0</v>
      </c>
      <c r="C885">
        <f t="shared" ca="1" si="1111"/>
        <v>10</v>
      </c>
      <c r="D885">
        <f t="shared" ca="1" si="1112"/>
        <v>6</v>
      </c>
      <c r="E885">
        <f t="shared" ca="1" si="1113"/>
        <v>0</v>
      </c>
      <c r="F885">
        <f t="shared" ca="1" si="1114"/>
        <v>0</v>
      </c>
      <c r="G885">
        <f t="shared" ca="1" si="1115"/>
        <v>3</v>
      </c>
      <c r="H885">
        <f ca="1">IF(OR($A885="S",$A885=0),0,MATCH(0,OFFSET($B885,1,$A885,ROW($A$1504)-ROW($A885)),0))</f>
        <v>0</v>
      </c>
      <c r="I885">
        <f ca="1">IF(OR($A885="S",$A885=0),0,MATCH(OFFSET($B885,0,$A885)+1,OFFSET($B885,1,$A885,ROW($A$1504)-ROW($A885)),0))</f>
        <v>0</v>
      </c>
      <c r="J885" s="132" t="s">
        <v>29</v>
      </c>
      <c r="K885" s="121" t="str">
        <f t="shared" ca="1" si="1116"/>
        <v>10.6.3.</v>
      </c>
      <c r="L885" s="137" t="str">
        <f t="shared" ca="1" si="1117"/>
        <v>Cotação</v>
      </c>
      <c r="M885" s="122" t="s">
        <v>78</v>
      </c>
      <c r="N885" s="139" t="s">
        <v>151</v>
      </c>
      <c r="O885" s="137" t="str">
        <f t="shared" ca="1" si="1118"/>
        <v xml:space="preserve">Administrador (Técnico de Apoio) </v>
      </c>
      <c r="P885" s="138" t="str">
        <f t="shared" ca="1" si="1119"/>
        <v>Horas</v>
      </c>
      <c r="Q885" s="134">
        <v>4</v>
      </c>
      <c r="R885" s="124">
        <f t="shared" ca="1" si="1120"/>
        <v>103.65</v>
      </c>
      <c r="S885" s="136" t="s">
        <v>62</v>
      </c>
      <c r="T885" s="123">
        <f t="shared" ca="1" si="1121"/>
        <v>129.56</v>
      </c>
      <c r="U885" s="126">
        <f t="shared" ca="1" si="1122"/>
        <v>518.24</v>
      </c>
      <c r="V885" s="1"/>
      <c r="W885" s="39" t="str">
        <f ca="1">IF(OR($A885=0,$A885="S",$A885&gt;CFF!$A$9),"",MAX(W$11:OFFSET(W885,-1,0))+1)</f>
        <v/>
      </c>
      <c r="X885" s="4" t="str">
        <f t="shared" si="1123"/>
        <v>Rec. Humanos-003</v>
      </c>
      <c r="Y885" s="39">
        <f t="shared" ca="1" si="1124"/>
        <v>5</v>
      </c>
      <c r="Z885" s="1"/>
      <c r="AA885" s="133">
        <f>IF($J885=$G$2,ROUND(IF(ISNUMBER(S885),S885,IF(LEFT(S885,2)="DI",HLOOKUP(S885,DADOS!$T$29:$X$30,2,FALSE),0)),4),"")</f>
        <v>0.25</v>
      </c>
      <c r="AB885" s="2"/>
    </row>
    <row r="886" spans="1:28">
      <c r="A886" t="str">
        <f t="shared" si="1109"/>
        <v>S</v>
      </c>
      <c r="B886">
        <f t="shared" si="1110"/>
        <v>0</v>
      </c>
      <c r="C886">
        <f t="shared" ca="1" si="1111"/>
        <v>10</v>
      </c>
      <c r="D886">
        <f t="shared" ca="1" si="1112"/>
        <v>6</v>
      </c>
      <c r="E886">
        <f t="shared" ca="1" si="1113"/>
        <v>0</v>
      </c>
      <c r="F886">
        <f t="shared" ca="1" si="1114"/>
        <v>0</v>
      </c>
      <c r="G886">
        <f t="shared" ca="1" si="1115"/>
        <v>4</v>
      </c>
      <c r="H886">
        <f ca="1">IF(OR($A886="S",$A886=0),0,MATCH(0,OFFSET($B886,1,$A886,ROW($A$1504)-ROW($A886)),0))</f>
        <v>0</v>
      </c>
      <c r="I886">
        <f ca="1">IF(OR($A886="S",$A886=0),0,MATCH(OFFSET($B886,0,$A886)+1,OFFSET($B886,1,$A886,ROW($A$1504)-ROW($A886)),0))</f>
        <v>0</v>
      </c>
      <c r="J886" s="132" t="s">
        <v>29</v>
      </c>
      <c r="K886" s="121" t="str">
        <f t="shared" ca="1" si="1116"/>
        <v>10.6.4.</v>
      </c>
      <c r="L886" s="137" t="str">
        <f t="shared" ca="1" si="1117"/>
        <v>SINE</v>
      </c>
      <c r="M886" s="122" t="s">
        <v>78</v>
      </c>
      <c r="N886" s="139" t="s">
        <v>153</v>
      </c>
      <c r="O886" s="137" t="str">
        <f t="shared" ca="1" si="1118"/>
        <v>Estagiários</v>
      </c>
      <c r="P886" s="138" t="str">
        <f t="shared" ca="1" si="1119"/>
        <v>Horas</v>
      </c>
      <c r="Q886" s="134">
        <v>16</v>
      </c>
      <c r="R886" s="124">
        <f t="shared" ca="1" si="1120"/>
        <v>9.7899999999999991</v>
      </c>
      <c r="S886" s="136" t="s">
        <v>62</v>
      </c>
      <c r="T886" s="123">
        <f t="shared" ca="1" si="1121"/>
        <v>12.24</v>
      </c>
      <c r="U886" s="126">
        <f t="shared" ca="1" si="1122"/>
        <v>195.84</v>
      </c>
      <c r="V886" s="1"/>
      <c r="W886" s="39" t="str">
        <f ca="1">IF(OR($A886=0,$A886="S",$A886&gt;CFF!$A$9),"",MAX(W$11:OFFSET(W886,-1,0))+1)</f>
        <v/>
      </c>
      <c r="X886" s="4" t="str">
        <f t="shared" si="1123"/>
        <v>Rec. Humanos-004</v>
      </c>
      <c r="Y886" s="39">
        <f t="shared" ca="1" si="1124"/>
        <v>6</v>
      </c>
      <c r="Z886" s="1"/>
      <c r="AA886" s="133">
        <f>IF($J886=$G$2,ROUND(IF(ISNUMBER(S886),S886,IF(LEFT(S886,2)="DI",HLOOKUP(S886,DADOS!$T$29:$X$30,2,FALSE),0)),4),"")</f>
        <v>0.25</v>
      </c>
      <c r="AB886" s="2"/>
    </row>
    <row r="887" spans="1:28">
      <c r="A887" t="str">
        <f t="shared" si="1109"/>
        <v>S</v>
      </c>
      <c r="B887">
        <f t="shared" si="1110"/>
        <v>0</v>
      </c>
      <c r="C887">
        <f t="shared" ca="1" si="1111"/>
        <v>10</v>
      </c>
      <c r="D887">
        <f t="shared" ca="1" si="1112"/>
        <v>6</v>
      </c>
      <c r="E887">
        <f t="shared" ca="1" si="1113"/>
        <v>0</v>
      </c>
      <c r="F887">
        <f t="shared" ca="1" si="1114"/>
        <v>0</v>
      </c>
      <c r="G887">
        <f t="shared" ca="1" si="1115"/>
        <v>5</v>
      </c>
      <c r="H887">
        <f ca="1">IF(OR($A887="S",$A887=0),0,MATCH(0,OFFSET($B887,1,$A887,ROW($A$1504)-ROW($A887)),0))</f>
        <v>0</v>
      </c>
      <c r="I887">
        <f ca="1">IF(OR($A887="S",$A887=0),0,MATCH(OFFSET($B887,0,$A887)+1,OFFSET($B887,1,$A887,ROW($A$1504)-ROW($A887)),0))</f>
        <v>0</v>
      </c>
      <c r="J887" s="132" t="s">
        <v>29</v>
      </c>
      <c r="K887" s="121" t="str">
        <f t="shared" ca="1" si="1116"/>
        <v>10.6.5.</v>
      </c>
      <c r="L887" s="137" t="str">
        <f t="shared" ca="1" si="1117"/>
        <v>Cotação</v>
      </c>
      <c r="M887" s="122" t="s">
        <v>80</v>
      </c>
      <c r="N887" s="139" t="s">
        <v>149</v>
      </c>
      <c r="O887" s="137" t="str">
        <f t="shared" ca="1" si="1118"/>
        <v>Fotocópias</v>
      </c>
      <c r="P887" s="138" t="str">
        <f t="shared" ca="1" si="1119"/>
        <v>Unidade</v>
      </c>
      <c r="Q887" s="134">
        <v>300</v>
      </c>
      <c r="R887" s="124">
        <f t="shared" ca="1" si="1120"/>
        <v>0.3</v>
      </c>
      <c r="S887" s="136" t="s">
        <v>62</v>
      </c>
      <c r="T887" s="123">
        <f t="shared" ca="1" si="1121"/>
        <v>0.38</v>
      </c>
      <c r="U887" s="126">
        <f t="shared" ca="1" si="1122"/>
        <v>114</v>
      </c>
      <c r="V887" s="1"/>
      <c r="W887" s="39" t="str">
        <f ca="1">IF(OR($A887=0,$A887="S",$A887&gt;CFF!$A$9),"",MAX(W$11:OFFSET(W887,-1,0))+1)</f>
        <v/>
      </c>
      <c r="X887" s="4" t="str">
        <f t="shared" si="1123"/>
        <v>Serv. Terc.-001</v>
      </c>
      <c r="Y887" s="39">
        <f t="shared" ca="1" si="1124"/>
        <v>81</v>
      </c>
      <c r="Z887" s="1"/>
      <c r="AA887" s="133">
        <f>IF($J887=$G$2,ROUND(IF(ISNUMBER(S887),S887,IF(LEFT(S887,2)="DI",HLOOKUP(S887,DADOS!$T$29:$X$30,2,FALSE),0)),4),"")</f>
        <v>0.25</v>
      </c>
      <c r="AB887" s="2"/>
    </row>
    <row r="888" spans="1:28">
      <c r="A888" t="str">
        <f>CHOOSE(1+LOG(1+2*(J888=$C$2)+4*(J888=$D$2)+8*(J888=$E$2)+16*(J888=$F$2)+32*(J888=$G$2),2),0,1,2,3,4,"S")</f>
        <v>S</v>
      </c>
      <c r="B888">
        <f>IF(OR(A888="S",A888=0),0,IF(ISERROR(I888),H888,SMALL(H888:I888,1)))</f>
        <v>0</v>
      </c>
      <c r="C888">
        <f ca="1">IF($A888=1,OFFSET(C888,-1,0)+1,OFFSET(C888,-1,0))</f>
        <v>10</v>
      </c>
      <c r="D888">
        <f ca="1">IF($A888=1,0,IF($A888=2,OFFSET(D888,-1,0)+1,OFFSET(D888,-1,0)))</f>
        <v>6</v>
      </c>
      <c r="E888">
        <f ca="1">IF(AND($A888&lt;=2,$A888&lt;&gt;0),0,IF($A888=3,OFFSET(E888,-1,0)+1,OFFSET(E888,-1,0)))</f>
        <v>0</v>
      </c>
      <c r="F888">
        <f ca="1">IF(AND($A888&lt;=3,$A888&lt;&gt;0),0,IF($A888=4,OFFSET(F888,-1,0)+1,OFFSET(F888,-1,0)))</f>
        <v>0</v>
      </c>
      <c r="G888">
        <f ca="1">IF(AND($A888&lt;=4,$A888&lt;&gt;0),0,IF($A888="S",OFFSET(G888,-1,0)+1,OFFSET(G888,-1,0)))</f>
        <v>6</v>
      </c>
      <c r="H888">
        <f ca="1">IF(OR($A888="S",$A888=0),0,MATCH(0,OFFSET($B888,1,$A888,ROW($A$1504)-ROW($A888)),0))</f>
        <v>0</v>
      </c>
      <c r="I888">
        <f ca="1">IF(OR($A888="S",$A888=0),0,MATCH(OFFSET($B888,0,$A888)+1,OFFSET($B888,1,$A888,ROW($A$1504)-ROW($A888)),0))</f>
        <v>0</v>
      </c>
      <c r="J888" s="132" t="s">
        <v>29</v>
      </c>
      <c r="K888" s="121" t="str">
        <f ca="1">IF($A888=0,"-",CONCATENATE(C888&amp;".",IF(AND($A$5&gt;=2,$A888&gt;=2),D888&amp;".",""),IF(AND($A$5&gt;=3,$A888&gt;=3),E888&amp;".",""),IF(AND($A$5&gt;=4,$A888&gt;=4),F888&amp;".",""),IF($A888="S",G888&amp;".","")))</f>
        <v>10.6.6.</v>
      </c>
      <c r="L888" s="137" t="str">
        <f ca="1">IF(NOT(ISERROR($Y888)),IF($Y888&lt;&gt;FALSE,INDEX(Banco,$Y888,4),""),"")</f>
        <v>Cotação</v>
      </c>
      <c r="M888" s="122" t="s">
        <v>80</v>
      </c>
      <c r="N888" s="139" t="s">
        <v>256</v>
      </c>
      <c r="O888" s="137" t="str">
        <f ca="1">IF(NOT(ISERROR($Y888)),IF($Y888&lt;&gt;FALSE,INDEX(Banco,$Y888,5),""),"")</f>
        <v>Instrutor/Monitor (Educação Fisíca)</v>
      </c>
      <c r="P888" s="138" t="str">
        <f ca="1">IF(NOT(ISERROR($Y888)),IF($Y888&lt;&gt;FALSE,INDEX(Banco,$Y888,6),""),"")</f>
        <v>Horas</v>
      </c>
      <c r="Q888" s="134">
        <v>3</v>
      </c>
      <c r="R888" s="124">
        <f ca="1">IF(NOT(ISERROR($Y888)),IF($Y888&lt;&gt;FALSE,INDEX(Banco,$Y888,7),0),0)</f>
        <v>100</v>
      </c>
      <c r="S888" s="136" t="s">
        <v>62</v>
      </c>
      <c r="T888" s="123">
        <f ca="1">IF($J888=$G$2,ROUND(ROUND($R888,2)*IF($R$9="Preço Unitário (R$)",1,1+$AA888),2),0)</f>
        <v>125</v>
      </c>
      <c r="U888" s="126">
        <f ca="1">IF($A888="S",VTOTAL1,IF($A888=0,0,ROUND(SomaAgrup,2)))</f>
        <v>375</v>
      </c>
      <c r="V888" s="1"/>
      <c r="W888" s="39" t="str">
        <f ca="1">IF(OR($A888=0,$A888="S",$A888&gt;CFF!$A$9),"",MAX(W$11:OFFSET(W888,-1,0))+1)</f>
        <v/>
      </c>
      <c r="X888" s="4" t="str">
        <f>IF(AND($J888=$G$2,$N888&lt;&gt;"",$M888&lt;&gt;""),CONCATENATE($M888,"-",$N888))</f>
        <v>Serv. Terc.-017</v>
      </c>
      <c r="Y888" s="39">
        <f ca="1">IF(X888&lt;&gt;FALSE,MATCH(X888,OFFSET(Banco,0,0,,1),0))</f>
        <v>97</v>
      </c>
      <c r="Z888" s="1"/>
      <c r="AA888" s="133">
        <f>IF($J888=$G$2,ROUND(IF(ISNUMBER(S888),S888,IF(LEFT(S888,2)="DI",HLOOKUP(S888,DADOS!$T$29:$X$30,2,FALSE),0)),4),"")</f>
        <v>0.25</v>
      </c>
      <c r="AB888" s="2"/>
    </row>
    <row r="889" spans="1:28">
      <c r="A889" t="str">
        <f t="shared" si="1109"/>
        <v>S</v>
      </c>
      <c r="B889">
        <f t="shared" si="1110"/>
        <v>0</v>
      </c>
      <c r="C889">
        <f t="shared" ca="1" si="1111"/>
        <v>10</v>
      </c>
      <c r="D889">
        <f t="shared" ca="1" si="1112"/>
        <v>6</v>
      </c>
      <c r="E889">
        <f t="shared" ca="1" si="1113"/>
        <v>0</v>
      </c>
      <c r="F889">
        <f t="shared" ca="1" si="1114"/>
        <v>0</v>
      </c>
      <c r="G889">
        <f t="shared" ca="1" si="1115"/>
        <v>7</v>
      </c>
      <c r="H889">
        <f ca="1">IF(OR($A889="S",$A889=0),0,MATCH(0,OFFSET($B889,1,$A889,ROW($A$1504)-ROW($A889)),0))</f>
        <v>0</v>
      </c>
      <c r="I889">
        <f ca="1">IF(OR($A889="S",$A889=0),0,MATCH(OFFSET($B889,0,$A889)+1,OFFSET($B889,1,$A889,ROW($A$1504)-ROW($A889)),0))</f>
        <v>0</v>
      </c>
      <c r="J889" s="132" t="s">
        <v>29</v>
      </c>
      <c r="K889" s="121" t="str">
        <f t="shared" ca="1" si="1116"/>
        <v>10.6.7.</v>
      </c>
      <c r="L889" s="137" t="str">
        <f t="shared" ca="1" si="1117"/>
        <v>Cotação</v>
      </c>
      <c r="M889" s="122" t="s">
        <v>80</v>
      </c>
      <c r="N889" s="139" t="s">
        <v>152</v>
      </c>
      <c r="O889" s="137" t="str">
        <f t="shared" ca="1" si="1118"/>
        <v>Carro de som com gravação de vinheta</v>
      </c>
      <c r="P889" s="138" t="str">
        <f t="shared" ca="1" si="1119"/>
        <v>Horas</v>
      </c>
      <c r="Q889" s="134">
        <v>3</v>
      </c>
      <c r="R889" s="124">
        <f t="shared" ca="1" si="1120"/>
        <v>200</v>
      </c>
      <c r="S889" s="136" t="s">
        <v>62</v>
      </c>
      <c r="T889" s="123">
        <f t="shared" ca="1" si="1121"/>
        <v>250</v>
      </c>
      <c r="U889" s="126">
        <f t="shared" ca="1" si="1122"/>
        <v>750</v>
      </c>
      <c r="V889" s="1"/>
      <c r="W889" s="39" t="str">
        <f ca="1">IF(OR($A889=0,$A889="S",$A889&gt;CFF!$A$9),"",MAX(W$11:OFFSET(W889,-1,0))+1)</f>
        <v/>
      </c>
      <c r="X889" s="4" t="str">
        <f t="shared" si="1123"/>
        <v>Serv. Terc.-002</v>
      </c>
      <c r="Y889" s="39">
        <f t="shared" ca="1" si="1124"/>
        <v>82</v>
      </c>
      <c r="Z889" s="1"/>
      <c r="AA889" s="133">
        <f>IF($J889=$G$2,ROUND(IF(ISNUMBER(S889),S889,IF(LEFT(S889,2)="DI",HLOOKUP(S889,DADOS!$T$29:$X$30,2,FALSE),0)),4),"")</f>
        <v>0.25</v>
      </c>
      <c r="AB889" s="2"/>
    </row>
    <row r="890" spans="1:28">
      <c r="A890" t="str">
        <f t="shared" si="1109"/>
        <v>S</v>
      </c>
      <c r="B890">
        <f t="shared" si="1110"/>
        <v>0</v>
      </c>
      <c r="C890">
        <f t="shared" ca="1" si="1111"/>
        <v>10</v>
      </c>
      <c r="D890">
        <f t="shared" ca="1" si="1112"/>
        <v>6</v>
      </c>
      <c r="E890">
        <f t="shared" ca="1" si="1113"/>
        <v>0</v>
      </c>
      <c r="F890">
        <f t="shared" ca="1" si="1114"/>
        <v>0</v>
      </c>
      <c r="G890">
        <f t="shared" ca="1" si="1115"/>
        <v>8</v>
      </c>
      <c r="H890">
        <f ca="1">IF(OR($A890="S",$A890=0),0,MATCH(0,OFFSET($B890,1,$A890,ROW($A$1504)-ROW($A890)),0))</f>
        <v>0</v>
      </c>
      <c r="I890">
        <f ca="1">IF(OR($A890="S",$A890=0),0,MATCH(OFFSET($B890,0,$A890)+1,OFFSET($B890,1,$A890,ROW($A$1504)-ROW($A890)),0))</f>
        <v>0</v>
      </c>
      <c r="J890" s="132" t="s">
        <v>29</v>
      </c>
      <c r="K890" s="121" t="str">
        <f t="shared" ca="1" si="1116"/>
        <v>10.6.8.</v>
      </c>
      <c r="L890" s="137" t="str">
        <f t="shared" ca="1" si="1117"/>
        <v>Cotação</v>
      </c>
      <c r="M890" s="122" t="s">
        <v>80</v>
      </c>
      <c r="N890" s="139" t="s">
        <v>151</v>
      </c>
      <c r="O890" s="137" t="str">
        <f t="shared" ca="1" si="1118"/>
        <v>Locação de mesas</v>
      </c>
      <c r="P890" s="138" t="str">
        <f t="shared" ca="1" si="1119"/>
        <v>Unidade</v>
      </c>
      <c r="Q890" s="134">
        <v>20</v>
      </c>
      <c r="R890" s="124">
        <f t="shared" ca="1" si="1120"/>
        <v>3</v>
      </c>
      <c r="S890" s="136" t="s">
        <v>62</v>
      </c>
      <c r="T890" s="123">
        <f t="shared" ca="1" si="1121"/>
        <v>3.75</v>
      </c>
      <c r="U890" s="126">
        <f t="shared" ca="1" si="1122"/>
        <v>75</v>
      </c>
      <c r="V890" s="1"/>
      <c r="W890" s="39" t="str">
        <f ca="1">IF(OR($A890=0,$A890="S",$A890&gt;CFF!$A$9),"",MAX(W$11:OFFSET(W890,-1,0))+1)</f>
        <v/>
      </c>
      <c r="X890" s="4" t="str">
        <f t="shared" si="1123"/>
        <v>Serv. Terc.-003</v>
      </c>
      <c r="Y890" s="39">
        <f t="shared" ca="1" si="1124"/>
        <v>83</v>
      </c>
      <c r="Z890" s="1"/>
      <c r="AA890" s="133">
        <f>IF($J890=$G$2,ROUND(IF(ISNUMBER(S890),S890,IF(LEFT(S890,2)="DI",HLOOKUP(S890,DADOS!$T$29:$X$30,2,FALSE),0)),4),"")</f>
        <v>0.25</v>
      </c>
      <c r="AB890" s="2"/>
    </row>
    <row r="891" spans="1:28">
      <c r="A891" t="str">
        <f t="shared" si="1109"/>
        <v>S</v>
      </c>
      <c r="B891">
        <f t="shared" si="1110"/>
        <v>0</v>
      </c>
      <c r="C891">
        <f t="shared" ca="1" si="1111"/>
        <v>10</v>
      </c>
      <c r="D891">
        <f t="shared" ca="1" si="1112"/>
        <v>6</v>
      </c>
      <c r="E891">
        <f t="shared" ca="1" si="1113"/>
        <v>0</v>
      </c>
      <c r="F891">
        <f t="shared" ca="1" si="1114"/>
        <v>0</v>
      </c>
      <c r="G891">
        <f t="shared" ca="1" si="1115"/>
        <v>9</v>
      </c>
      <c r="H891">
        <f ca="1">IF(OR($A891="S",$A891=0),0,MATCH(0,OFFSET($B891,1,$A891,ROW($A$1504)-ROW($A891)),0))</f>
        <v>0</v>
      </c>
      <c r="I891">
        <f ca="1">IF(OR($A891="S",$A891=0),0,MATCH(OFFSET($B891,0,$A891)+1,OFFSET($B891,1,$A891,ROW($A$1504)-ROW($A891)),0))</f>
        <v>0</v>
      </c>
      <c r="J891" s="132" t="s">
        <v>29</v>
      </c>
      <c r="K891" s="121" t="str">
        <f t="shared" ca="1" si="1116"/>
        <v>10.6.9.</v>
      </c>
      <c r="L891" s="137" t="str">
        <f t="shared" ca="1" si="1117"/>
        <v>Cotação</v>
      </c>
      <c r="M891" s="122" t="s">
        <v>80</v>
      </c>
      <c r="N891" s="139" t="s">
        <v>153</v>
      </c>
      <c r="O891" s="137" t="str">
        <f t="shared" ca="1" si="1118"/>
        <v>Locação de cadeiras</v>
      </c>
      <c r="P891" s="138" t="str">
        <f t="shared" ca="1" si="1119"/>
        <v>Unidade</v>
      </c>
      <c r="Q891" s="134">
        <v>400</v>
      </c>
      <c r="R891" s="124">
        <f t="shared" ca="1" si="1120"/>
        <v>2</v>
      </c>
      <c r="S891" s="136" t="s">
        <v>62</v>
      </c>
      <c r="T891" s="123">
        <f t="shared" ca="1" si="1121"/>
        <v>2.5</v>
      </c>
      <c r="U891" s="126">
        <f t="shared" ca="1" si="1122"/>
        <v>1000</v>
      </c>
      <c r="V891" s="1"/>
      <c r="W891" s="39" t="str">
        <f ca="1">IF(OR($A891=0,$A891="S",$A891&gt;CFF!$A$9),"",MAX(W$11:OFFSET(W891,-1,0))+1)</f>
        <v/>
      </c>
      <c r="X891" s="4" t="str">
        <f t="shared" si="1123"/>
        <v>Serv. Terc.-004</v>
      </c>
      <c r="Y891" s="39">
        <f t="shared" ca="1" si="1124"/>
        <v>84</v>
      </c>
      <c r="Z891" s="1"/>
      <c r="AA891" s="133">
        <f>IF($J891=$G$2,ROUND(IF(ISNUMBER(S891),S891,IF(LEFT(S891,2)="DI",HLOOKUP(S891,DADOS!$T$29:$X$30,2,FALSE),0)),4),"")</f>
        <v>0.25</v>
      </c>
      <c r="AB891" s="2"/>
    </row>
    <row r="892" spans="1:28">
      <c r="A892" t="str">
        <f t="shared" si="1109"/>
        <v>S</v>
      </c>
      <c r="B892">
        <f t="shared" si="1110"/>
        <v>0</v>
      </c>
      <c r="C892">
        <f t="shared" ca="1" si="1111"/>
        <v>10</v>
      </c>
      <c r="D892">
        <f t="shared" ca="1" si="1112"/>
        <v>6</v>
      </c>
      <c r="E892">
        <f t="shared" ca="1" si="1113"/>
        <v>0</v>
      </c>
      <c r="F892">
        <f t="shared" ca="1" si="1114"/>
        <v>0</v>
      </c>
      <c r="G892">
        <f t="shared" ca="1" si="1115"/>
        <v>10</v>
      </c>
      <c r="H892">
        <f ca="1">IF(OR($A892="S",$A892=0),0,MATCH(0,OFFSET($B892,1,$A892,ROW($A$1504)-ROW($A892)),0))</f>
        <v>0</v>
      </c>
      <c r="I892">
        <f ca="1">IF(OR($A892="S",$A892=0),0,MATCH(OFFSET($B892,0,$A892)+1,OFFSET($B892,1,$A892,ROW($A$1504)-ROW($A892)),0))</f>
        <v>0</v>
      </c>
      <c r="J892" s="132" t="s">
        <v>29</v>
      </c>
      <c r="K892" s="121" t="str">
        <f t="shared" ca="1" si="1116"/>
        <v>10.6.10.</v>
      </c>
      <c r="L892" s="137" t="str">
        <f t="shared" ca="1" si="1117"/>
        <v>Cotação</v>
      </c>
      <c r="M892" s="122" t="s">
        <v>80</v>
      </c>
      <c r="N892" s="139" t="s">
        <v>154</v>
      </c>
      <c r="O892" s="137" t="str">
        <f t="shared" ca="1" si="1118"/>
        <v>Locação de caixa térmica</v>
      </c>
      <c r="P892" s="138" t="str">
        <f t="shared" ca="1" si="1119"/>
        <v>Unidade</v>
      </c>
      <c r="Q892" s="134">
        <v>2</v>
      </c>
      <c r="R892" s="124">
        <f t="shared" ca="1" si="1120"/>
        <v>40</v>
      </c>
      <c r="S892" s="136" t="s">
        <v>62</v>
      </c>
      <c r="T892" s="123">
        <f t="shared" ca="1" si="1121"/>
        <v>50</v>
      </c>
      <c r="U892" s="126">
        <f t="shared" ca="1" si="1122"/>
        <v>100</v>
      </c>
      <c r="V892" s="1"/>
      <c r="W892" s="39" t="str">
        <f ca="1">IF(OR($A892=0,$A892="S",$A892&gt;CFF!$A$9),"",MAX(W$11:OFFSET(W892,-1,0))+1)</f>
        <v/>
      </c>
      <c r="X892" s="4" t="str">
        <f t="shared" si="1123"/>
        <v>Serv. Terc.-005</v>
      </c>
      <c r="Y892" s="39">
        <f t="shared" ca="1" si="1124"/>
        <v>85</v>
      </c>
      <c r="Z892" s="1"/>
      <c r="AA892" s="133">
        <f>IF($J892=$G$2,ROUND(IF(ISNUMBER(S892),S892,IF(LEFT(S892,2)="DI",HLOOKUP(S892,DADOS!$T$29:$X$30,2,FALSE),0)),4),"")</f>
        <v>0.25</v>
      </c>
      <c r="AB892" s="2"/>
    </row>
    <row r="893" spans="1:28">
      <c r="A893" t="str">
        <f t="shared" si="1109"/>
        <v>S</v>
      </c>
      <c r="B893">
        <f t="shared" si="1110"/>
        <v>0</v>
      </c>
      <c r="C893">
        <f t="shared" ref="C893:C904" ca="1" si="1125">IF($A893=1,OFFSET(C893,-1,0)+1,OFFSET(C893,-1,0))</f>
        <v>10</v>
      </c>
      <c r="D893">
        <f t="shared" ref="D893:D904" ca="1" si="1126">IF($A893=1,0,IF($A893=2,OFFSET(D893,-1,0)+1,OFFSET(D893,-1,0)))</f>
        <v>6</v>
      </c>
      <c r="E893">
        <f t="shared" ref="E893:E904" ca="1" si="1127">IF(AND($A893&lt;=2,$A893&lt;&gt;0),0,IF($A893=3,OFFSET(E893,-1,0)+1,OFFSET(E893,-1,0)))</f>
        <v>0</v>
      </c>
      <c r="F893">
        <f t="shared" ref="F893:F904" ca="1" si="1128">IF(AND($A893&lt;=3,$A893&lt;&gt;0),0,IF($A893=4,OFFSET(F893,-1,0)+1,OFFSET(F893,-1,0)))</f>
        <v>0</v>
      </c>
      <c r="G893">
        <f t="shared" ref="G893:G904" ca="1" si="1129">IF(AND($A893&lt;=4,$A893&lt;&gt;0),0,IF($A893="S",OFFSET(G893,-1,0)+1,OFFSET(G893,-1,0)))</f>
        <v>11</v>
      </c>
      <c r="H893">
        <f ca="1">IF(OR($A893="S",$A893=0),0,MATCH(0,OFFSET($B893,1,$A893,ROW($A$1504)-ROW($A893)),0))</f>
        <v>0</v>
      </c>
      <c r="I893">
        <f ca="1">IF(OR($A893="S",$A893=0),0,MATCH(OFFSET($B893,0,$A893)+1,OFFSET($B893,1,$A893,ROW($A$1504)-ROW($A893)),0))</f>
        <v>0</v>
      </c>
      <c r="J893" s="132" t="s">
        <v>29</v>
      </c>
      <c r="K893" s="121" t="str">
        <f t="shared" ca="1" si="1116"/>
        <v>10.6.11.</v>
      </c>
      <c r="L893" s="137" t="str">
        <f t="shared" ref="L893:L904" ca="1" si="1130">IF(NOT(ISERROR($Y893)),IF($Y893&lt;&gt;FALSE,INDEX(Banco,$Y893,4),""),"")</f>
        <v>Cotação</v>
      </c>
      <c r="M893" s="122" t="s">
        <v>80</v>
      </c>
      <c r="N893" s="139" t="s">
        <v>155</v>
      </c>
      <c r="O893" s="137" t="str">
        <f t="shared" ca="1" si="1118"/>
        <v>Locação de tendas</v>
      </c>
      <c r="P893" s="138" t="str">
        <f t="shared" ref="P893:P904" ca="1" si="1131">IF(NOT(ISERROR($Y893)),IF($Y893&lt;&gt;FALSE,INDEX(Banco,$Y893,6),""),"")</f>
        <v>Unidade</v>
      </c>
      <c r="Q893" s="134">
        <v>3</v>
      </c>
      <c r="R893" s="124">
        <f t="shared" ref="R893:R904" ca="1" si="1132">IF(NOT(ISERROR($Y893)),IF($Y893&lt;&gt;FALSE,INDEX(Banco,$Y893,7),0),0)</f>
        <v>250</v>
      </c>
      <c r="S893" s="136" t="s">
        <v>62</v>
      </c>
      <c r="T893" s="123">
        <f t="shared" ref="T893:T904" ca="1" si="1133">IF($J893=$G$2,ROUND(ROUND($R893,2)*IF($R$9="Preço Unitário (R$)",1,1+$AA893),2),0)</f>
        <v>312.5</v>
      </c>
      <c r="U893" s="126">
        <f t="shared" ref="U893:U904" ca="1" si="1134">IF($A893="S",VTOTAL1,IF($A893=0,0,ROUND(SomaAgrup,2)))</f>
        <v>937.5</v>
      </c>
      <c r="V893" s="1"/>
      <c r="W893" s="39" t="str">
        <f ca="1">IF(OR($A893=0,$A893="S",$A893&gt;CFF!$A$9),"",MAX(W$11:OFFSET(W893,-1,0))+1)</f>
        <v/>
      </c>
      <c r="X893" s="4" t="str">
        <f t="shared" ref="X893:X904" si="1135">IF(AND($J893=$G$2,$N893&lt;&gt;"",$M893&lt;&gt;""),CONCATENATE($M893,"-",$N893))</f>
        <v>Serv. Terc.-006</v>
      </c>
      <c r="Y893" s="39">
        <f t="shared" ca="1" si="1124"/>
        <v>86</v>
      </c>
      <c r="Z893" s="1"/>
      <c r="AA893" s="133">
        <f>IF($J893=$G$2,ROUND(IF(ISNUMBER(S893),S893,IF(LEFT(S893,2)="DI",HLOOKUP(S893,DADOS!$T$29:$X$30,2,FALSE),0)),4),"")</f>
        <v>0.25</v>
      </c>
      <c r="AB893" s="2"/>
    </row>
    <row r="894" spans="1:28">
      <c r="A894" t="str">
        <f t="shared" si="1109"/>
        <v>S</v>
      </c>
      <c r="B894">
        <f t="shared" si="1110"/>
        <v>0</v>
      </c>
      <c r="C894">
        <f t="shared" ca="1" si="1125"/>
        <v>10</v>
      </c>
      <c r="D894">
        <f t="shared" ca="1" si="1126"/>
        <v>6</v>
      </c>
      <c r="E894">
        <f t="shared" ca="1" si="1127"/>
        <v>0</v>
      </c>
      <c r="F894">
        <f t="shared" ca="1" si="1128"/>
        <v>0</v>
      </c>
      <c r="G894">
        <f t="shared" ca="1" si="1129"/>
        <v>12</v>
      </c>
      <c r="H894">
        <f ca="1">IF(OR($A894="S",$A894=0),0,MATCH(0,OFFSET($B894,1,$A894,ROW($A$1504)-ROW($A894)),0))</f>
        <v>0</v>
      </c>
      <c r="I894">
        <f ca="1">IF(OR($A894="S",$A894=0),0,MATCH(OFFSET($B894,0,$A894)+1,OFFSET($B894,1,$A894,ROW($A$1504)-ROW($A894)),0))</f>
        <v>0</v>
      </c>
      <c r="J894" s="132" t="s">
        <v>29</v>
      </c>
      <c r="K894" s="121" t="str">
        <f t="shared" ca="1" si="1116"/>
        <v>10.6.12.</v>
      </c>
      <c r="L894" s="137" t="str">
        <f t="shared" ca="1" si="1130"/>
        <v>Cotação</v>
      </c>
      <c r="M894" s="122" t="s">
        <v>80</v>
      </c>
      <c r="N894" s="139" t="s">
        <v>157</v>
      </c>
      <c r="O894" s="137" t="str">
        <f t="shared" ca="1" si="1118"/>
        <v>Locação de pula-pula com monitor</v>
      </c>
      <c r="P894" s="138" t="str">
        <f t="shared" ca="1" si="1131"/>
        <v>Unidade</v>
      </c>
      <c r="Q894" s="134">
        <v>2</v>
      </c>
      <c r="R894" s="124">
        <f t="shared" ca="1" si="1132"/>
        <v>220</v>
      </c>
      <c r="S894" s="136" t="s">
        <v>62</v>
      </c>
      <c r="T894" s="123">
        <f t="shared" ca="1" si="1133"/>
        <v>275</v>
      </c>
      <c r="U894" s="126">
        <f t="shared" ca="1" si="1134"/>
        <v>550</v>
      </c>
      <c r="V894" s="1"/>
      <c r="W894" s="39" t="str">
        <f ca="1">IF(OR($A894=0,$A894="S",$A894&gt;CFF!$A$9),"",MAX(W$11:OFFSET(W894,-1,0))+1)</f>
        <v/>
      </c>
      <c r="X894" s="4" t="str">
        <f t="shared" si="1135"/>
        <v>Serv. Terc.-008</v>
      </c>
      <c r="Y894" s="39">
        <f t="shared" ca="1" si="1124"/>
        <v>88</v>
      </c>
      <c r="Z894" s="1"/>
      <c r="AA894" s="133">
        <f>IF($J894=$G$2,ROUND(IF(ISNUMBER(S894),S894,IF(LEFT(S894,2)="DI",HLOOKUP(S894,DADOS!$T$29:$X$30,2,FALSE),0)),4),"")</f>
        <v>0.25</v>
      </c>
      <c r="AB894" s="2"/>
    </row>
    <row r="895" spans="1:28">
      <c r="A895" t="str">
        <f t="shared" si="1109"/>
        <v>S</v>
      </c>
      <c r="B895">
        <f t="shared" si="1110"/>
        <v>0</v>
      </c>
      <c r="C895">
        <f t="shared" ca="1" si="1125"/>
        <v>10</v>
      </c>
      <c r="D895">
        <f t="shared" ca="1" si="1126"/>
        <v>6</v>
      </c>
      <c r="E895">
        <f t="shared" ca="1" si="1127"/>
        <v>0</v>
      </c>
      <c r="F895">
        <f t="shared" ca="1" si="1128"/>
        <v>0</v>
      </c>
      <c r="G895">
        <f t="shared" ca="1" si="1129"/>
        <v>13</v>
      </c>
      <c r="H895">
        <f ca="1">IF(OR($A895="S",$A895=0),0,MATCH(0,OFFSET($B895,1,$A895,ROW($A$1504)-ROW($A895)),0))</f>
        <v>0</v>
      </c>
      <c r="I895">
        <f ca="1">IF(OR($A895="S",$A895=0),0,MATCH(OFFSET($B895,0,$A895)+1,OFFSET($B895,1,$A895,ROW($A$1504)-ROW($A895)),0))</f>
        <v>0</v>
      </c>
      <c r="J895" s="132" t="s">
        <v>29</v>
      </c>
      <c r="K895" s="121" t="str">
        <f t="shared" ca="1" si="1116"/>
        <v>10.6.13.</v>
      </c>
      <c r="L895" s="137" t="str">
        <f t="shared" ca="1" si="1130"/>
        <v>Cotação</v>
      </c>
      <c r="M895" s="122" t="s">
        <v>80</v>
      </c>
      <c r="N895" s="139" t="s">
        <v>161</v>
      </c>
      <c r="O895" s="137" t="str">
        <f t="shared" ca="1" si="1118"/>
        <v>Água (garrafão de 20 litros)</v>
      </c>
      <c r="P895" s="138" t="str">
        <f t="shared" ca="1" si="1131"/>
        <v>Unidade</v>
      </c>
      <c r="Q895" s="134">
        <v>2</v>
      </c>
      <c r="R895" s="124">
        <f t="shared" ca="1" si="1132"/>
        <v>10</v>
      </c>
      <c r="S895" s="136" t="s">
        <v>62</v>
      </c>
      <c r="T895" s="123">
        <f t="shared" ca="1" si="1133"/>
        <v>12.5</v>
      </c>
      <c r="U895" s="126">
        <f t="shared" ca="1" si="1134"/>
        <v>25</v>
      </c>
      <c r="V895" s="1"/>
      <c r="W895" s="39" t="str">
        <f ca="1">IF(OR($A895=0,$A895="S",$A895&gt;CFF!$A$9),"",MAX(W$11:OFFSET(W895,-1,0))+1)</f>
        <v/>
      </c>
      <c r="X895" s="4" t="str">
        <f t="shared" si="1135"/>
        <v>Serv. Terc.-012</v>
      </c>
      <c r="Y895" s="39">
        <f t="shared" ca="1" si="1124"/>
        <v>92</v>
      </c>
      <c r="Z895" s="1"/>
      <c r="AA895" s="133">
        <f>IF($J895=$G$2,ROUND(IF(ISNUMBER(S895),S895,IF(LEFT(S895,2)="DI",HLOOKUP(S895,DADOS!$T$29:$X$30,2,FALSE),0)),4),"")</f>
        <v>0.25</v>
      </c>
      <c r="AB895" s="2"/>
    </row>
    <row r="896" spans="1:28">
      <c r="A896" t="str">
        <f t="shared" si="1109"/>
        <v>S</v>
      </c>
      <c r="B896">
        <f t="shared" si="1110"/>
        <v>0</v>
      </c>
      <c r="C896">
        <f t="shared" ca="1" si="1125"/>
        <v>10</v>
      </c>
      <c r="D896">
        <f t="shared" ca="1" si="1126"/>
        <v>6</v>
      </c>
      <c r="E896">
        <f t="shared" ca="1" si="1127"/>
        <v>0</v>
      </c>
      <c r="F896">
        <f t="shared" ca="1" si="1128"/>
        <v>0</v>
      </c>
      <c r="G896">
        <f t="shared" ca="1" si="1129"/>
        <v>14</v>
      </c>
      <c r="H896">
        <f ca="1">IF(OR($A896="S",$A896=0),0,MATCH(0,OFFSET($B896,1,$A896,ROW($A$1504)-ROW($A896)),0))</f>
        <v>0</v>
      </c>
      <c r="I896">
        <f ca="1">IF(OR($A896="S",$A896=0),0,MATCH(OFFSET($B896,0,$A896)+1,OFFSET($B896,1,$A896,ROW($A$1504)-ROW($A896)),0))</f>
        <v>0</v>
      </c>
      <c r="J896" s="132" t="s">
        <v>29</v>
      </c>
      <c r="K896" s="121" t="str">
        <f t="shared" ca="1" si="1116"/>
        <v>10.6.14.</v>
      </c>
      <c r="L896" s="137" t="str">
        <f t="shared" ca="1" si="1130"/>
        <v xml:space="preserve">Cotação </v>
      </c>
      <c r="M896" s="122" t="s">
        <v>80</v>
      </c>
      <c r="N896" s="139" t="s">
        <v>160</v>
      </c>
      <c r="O896" s="137" t="str">
        <f t="shared" ca="1" si="1118"/>
        <v>Barra de gelo</v>
      </c>
      <c r="P896" s="138" t="str">
        <f t="shared" ca="1" si="1131"/>
        <v>Unidade</v>
      </c>
      <c r="Q896" s="134">
        <v>4</v>
      </c>
      <c r="R896" s="124">
        <f t="shared" ca="1" si="1132"/>
        <v>12</v>
      </c>
      <c r="S896" s="136" t="s">
        <v>62</v>
      </c>
      <c r="T896" s="123">
        <f t="shared" ca="1" si="1133"/>
        <v>15</v>
      </c>
      <c r="U896" s="126">
        <f t="shared" ca="1" si="1134"/>
        <v>60</v>
      </c>
      <c r="V896" s="1"/>
      <c r="W896" s="39" t="str">
        <f ca="1">IF(OR($A896=0,$A896="S",$A896&gt;CFF!$A$9),"",MAX(W$11:OFFSET(W896,-1,0))+1)</f>
        <v/>
      </c>
      <c r="X896" s="4" t="str">
        <f t="shared" si="1135"/>
        <v>Serv. Terc.-011</v>
      </c>
      <c r="Y896" s="39">
        <f t="shared" ca="1" si="1124"/>
        <v>91</v>
      </c>
      <c r="Z896" s="1"/>
      <c r="AA896" s="133">
        <f>IF($J896=$G$2,ROUND(IF(ISNUMBER(S896),S896,IF(LEFT(S896,2)="DI",HLOOKUP(S896,DADOS!$T$29:$X$30,2,FALSE),0)),4),"")</f>
        <v>0.25</v>
      </c>
      <c r="AB896" s="2"/>
    </row>
    <row r="897" spans="1:28">
      <c r="A897" t="str">
        <f t="shared" si="1109"/>
        <v>S</v>
      </c>
      <c r="B897">
        <f t="shared" si="1110"/>
        <v>0</v>
      </c>
      <c r="C897">
        <f t="shared" ca="1" si="1125"/>
        <v>10</v>
      </c>
      <c r="D897">
        <f t="shared" ca="1" si="1126"/>
        <v>6</v>
      </c>
      <c r="E897">
        <f t="shared" ca="1" si="1127"/>
        <v>0</v>
      </c>
      <c r="F897">
        <f t="shared" ca="1" si="1128"/>
        <v>0</v>
      </c>
      <c r="G897">
        <f t="shared" ca="1" si="1129"/>
        <v>15</v>
      </c>
      <c r="H897">
        <f ca="1">IF(OR($A897="S",$A897=0),0,MATCH(0,OFFSET($B897,1,$A897,ROW($A$1504)-ROW($A897)),0))</f>
        <v>0</v>
      </c>
      <c r="I897">
        <f ca="1">IF(OR($A897="S",$A897=0),0,MATCH(OFFSET($B897,0,$A897)+1,OFFSET($B897,1,$A897,ROW($A$1504)-ROW($A897)),0))</f>
        <v>0</v>
      </c>
      <c r="J897" s="132" t="s">
        <v>29</v>
      </c>
      <c r="K897" s="121" t="str">
        <f t="shared" ca="1" si="1116"/>
        <v>10.6.15.</v>
      </c>
      <c r="L897" s="137" t="str">
        <f t="shared" ca="1" si="1130"/>
        <v>Cotação</v>
      </c>
      <c r="M897" s="122" t="s">
        <v>80</v>
      </c>
      <c r="N897" s="139" t="s">
        <v>150</v>
      </c>
      <c r="O897" s="137" t="str">
        <f t="shared" ca="1" si="1118"/>
        <v>Sucos</v>
      </c>
      <c r="P897" s="138" t="str">
        <f t="shared" ca="1" si="1131"/>
        <v>Unidade</v>
      </c>
      <c r="Q897" s="134">
        <v>12</v>
      </c>
      <c r="R897" s="124">
        <f t="shared" ca="1" si="1132"/>
        <v>6.4</v>
      </c>
      <c r="S897" s="136" t="s">
        <v>62</v>
      </c>
      <c r="T897" s="123">
        <f t="shared" ca="1" si="1133"/>
        <v>8</v>
      </c>
      <c r="U897" s="126">
        <f t="shared" ca="1" si="1134"/>
        <v>96</v>
      </c>
      <c r="V897" s="1"/>
      <c r="W897" s="39" t="str">
        <f ca="1">IF(OR($A897=0,$A897="S",$A897&gt;CFF!$A$9),"",MAX(W$11:OFFSET(W897,-1,0))+1)</f>
        <v/>
      </c>
      <c r="X897" s="4" t="str">
        <f t="shared" si="1135"/>
        <v>Serv. Terc.-013</v>
      </c>
      <c r="Y897" s="39">
        <f t="shared" ca="1" si="1124"/>
        <v>93</v>
      </c>
      <c r="Z897" s="1"/>
      <c r="AA897" s="133">
        <f>IF($J897=$G$2,ROUND(IF(ISNUMBER(S897),S897,IF(LEFT(S897,2)="DI",HLOOKUP(S897,DADOS!$T$29:$X$30,2,FALSE),0)),4),"")</f>
        <v>0.25</v>
      </c>
      <c r="AB897" s="2"/>
    </row>
    <row r="898" spans="1:28">
      <c r="A898" t="str">
        <f>CHOOSE(1+LOG(1+2*(J898=$C$2)+4*(J898=$D$2)+8*(J898=$E$2)+16*(J898=$F$2)+32*(J898=$G$2),2),0,1,2,3,4,"S")</f>
        <v>S</v>
      </c>
      <c r="B898">
        <f>IF(OR(A898="S",A898=0),0,IF(ISERROR(I898),H898,SMALL(H898:I898,1)))</f>
        <v>0</v>
      </c>
      <c r="C898">
        <f ca="1">IF($A898=1,OFFSET(C898,-1,0)+1,OFFSET(C898,-1,0))</f>
        <v>10</v>
      </c>
      <c r="D898">
        <f ca="1">IF($A898=1,0,IF($A898=2,OFFSET(D898,-1,0)+1,OFFSET(D898,-1,0)))</f>
        <v>6</v>
      </c>
      <c r="E898">
        <f ca="1">IF(AND($A898&lt;=2,$A898&lt;&gt;0),0,IF($A898=3,OFFSET(E898,-1,0)+1,OFFSET(E898,-1,0)))</f>
        <v>0</v>
      </c>
      <c r="F898">
        <f ca="1">IF(AND($A898&lt;=3,$A898&lt;&gt;0),0,IF($A898=4,OFFSET(F898,-1,0)+1,OFFSET(F898,-1,0)))</f>
        <v>0</v>
      </c>
      <c r="G898">
        <f ca="1">IF(AND($A898&lt;=4,$A898&lt;&gt;0),0,IF($A898="S",OFFSET(G898,-1,0)+1,OFFSET(G898,-1,0)))</f>
        <v>16</v>
      </c>
      <c r="H898">
        <f ca="1">IF(OR($A898="S",$A898=0),0,MATCH(0,OFFSET($B898,1,$A898,ROW($A$1504)-ROW($A898)),0))</f>
        <v>0</v>
      </c>
      <c r="I898">
        <f ca="1">IF(OR($A898="S",$A898=0),0,MATCH(OFFSET($B898,0,$A898)+1,OFFSET($B898,1,$A898,ROW($A$1504)-ROW($A898)),0))</f>
        <v>0</v>
      </c>
      <c r="J898" s="132" t="s">
        <v>29</v>
      </c>
      <c r="K898" s="121" t="str">
        <f ca="1">IF($A898=0,"-",CONCATENATE(C898&amp;".",IF(AND($A$5&gt;=2,$A898&gt;=2),D898&amp;".",""),IF(AND($A$5&gt;=3,$A898&gt;=3),E898&amp;".",""),IF(AND($A$5&gt;=4,$A898&gt;=4),F898&amp;".",""),IF($A898="S",G898&amp;".","")))</f>
        <v>10.6.16.</v>
      </c>
      <c r="L898" s="137" t="str">
        <f ca="1">IF(NOT(ISERROR($Y898)),IF($Y898&lt;&gt;FALSE,INDEX(Banco,$Y898,4),""),"")</f>
        <v>Cotação</v>
      </c>
      <c r="M898" s="122" t="s">
        <v>80</v>
      </c>
      <c r="N898" s="139" t="s">
        <v>171</v>
      </c>
      <c r="O898" s="137" t="str">
        <f ca="1">IF(NOT(ISERROR($Y898)),IF($Y898&lt;&gt;FALSE,INDEX(Banco,$Y898,5),""),"")</f>
        <v xml:space="preserve">Refrigerantes (02 litros) </v>
      </c>
      <c r="P898" s="138" t="str">
        <f ca="1">IF(NOT(ISERROR($Y898)),IF($Y898&lt;&gt;FALSE,INDEX(Banco,$Y898,6),""),"")</f>
        <v>Unidade</v>
      </c>
      <c r="Q898" s="134">
        <v>20</v>
      </c>
      <c r="R898" s="124">
        <f ca="1">IF(NOT(ISERROR($Y898)),IF($Y898&lt;&gt;FALSE,INDEX(Banco,$Y898,7),0),0)</f>
        <v>6</v>
      </c>
      <c r="S898" s="136" t="s">
        <v>62</v>
      </c>
      <c r="T898" s="123">
        <f ca="1">IF($J898=$G$2,ROUND(ROUND($R898,2)*IF($R$9="Preço Unitário (R$)",1,1+$AA898),2),0)</f>
        <v>7.5</v>
      </c>
      <c r="U898" s="126">
        <f ca="1">IF($A898="S",VTOTAL1,IF($A898=0,0,ROUND(SomaAgrup,2)))</f>
        <v>150</v>
      </c>
      <c r="V898" s="1"/>
      <c r="W898" s="39" t="str">
        <f ca="1">IF(OR($A898=0,$A898="S",$A898&gt;CFF!$A$9),"",MAX(W$11:OFFSET(W898,-1,0))+1)</f>
        <v/>
      </c>
      <c r="X898" s="4" t="str">
        <f>IF(AND($J898=$G$2,$N898&lt;&gt;"",$M898&lt;&gt;""),CONCATENATE($M898,"-",$N898))</f>
        <v>Serv. Terc.-027</v>
      </c>
      <c r="Y898" s="39">
        <f ca="1">IF(X898&lt;&gt;FALSE,MATCH(X898,OFFSET(Banco,0,0,,1),0))</f>
        <v>107</v>
      </c>
      <c r="Z898" s="1"/>
      <c r="AA898" s="133">
        <f>IF($J898=$G$2,ROUND(IF(ISNUMBER(S898),S898,IF(LEFT(S898,2)="DI",HLOOKUP(S898,DADOS!$T$29:$X$30,2,FALSE),0)),4),"")</f>
        <v>0.25</v>
      </c>
      <c r="AB898" s="2"/>
    </row>
    <row r="899" spans="1:28">
      <c r="A899" t="str">
        <f t="shared" si="1109"/>
        <v>S</v>
      </c>
      <c r="B899">
        <f t="shared" si="1110"/>
        <v>0</v>
      </c>
      <c r="C899">
        <f t="shared" ca="1" si="1125"/>
        <v>10</v>
      </c>
      <c r="D899">
        <f t="shared" ca="1" si="1126"/>
        <v>6</v>
      </c>
      <c r="E899">
        <f t="shared" ca="1" si="1127"/>
        <v>0</v>
      </c>
      <c r="F899">
        <f t="shared" ca="1" si="1128"/>
        <v>0</v>
      </c>
      <c r="G899">
        <f t="shared" ca="1" si="1129"/>
        <v>17</v>
      </c>
      <c r="H899">
        <f ca="1">IF(OR($A899="S",$A899=0),0,MATCH(0,OFFSET($B899,1,$A899,ROW($A$1504)-ROW($A899)),0))</f>
        <v>0</v>
      </c>
      <c r="I899">
        <f ca="1">IF(OR($A899="S",$A899=0),0,MATCH(OFFSET($B899,0,$A899)+1,OFFSET($B899,1,$A899,ROW($A$1504)-ROW($A899)),0))</f>
        <v>0</v>
      </c>
      <c r="J899" s="132" t="s">
        <v>29</v>
      </c>
      <c r="K899" s="121" t="str">
        <f t="shared" ca="1" si="1116"/>
        <v>10.6.17.</v>
      </c>
      <c r="L899" s="137" t="str">
        <f t="shared" ca="1" si="1130"/>
        <v xml:space="preserve">Cotação </v>
      </c>
      <c r="M899" s="122" t="s">
        <v>80</v>
      </c>
      <c r="N899" s="139" t="s">
        <v>159</v>
      </c>
      <c r="O899" s="137" t="str">
        <f ca="1">IF(NOT(ISERROR($Y899)),IF($Y899&lt;&gt;FALSE,INDEX(Banco,$Y899,5),""),"")</f>
        <v>Brindes ( descrição nos orçamentos e PTS)</v>
      </c>
      <c r="P899" s="138" t="str">
        <f t="shared" ca="1" si="1131"/>
        <v>Unidade</v>
      </c>
      <c r="Q899" s="134">
        <v>4</v>
      </c>
      <c r="R899" s="124">
        <f t="shared" ca="1" si="1132"/>
        <v>120</v>
      </c>
      <c r="S899" s="136" t="s">
        <v>62</v>
      </c>
      <c r="T899" s="123">
        <f t="shared" ca="1" si="1133"/>
        <v>150</v>
      </c>
      <c r="U899" s="126">
        <f t="shared" ca="1" si="1134"/>
        <v>600</v>
      </c>
      <c r="V899" s="1"/>
      <c r="W899" s="39" t="str">
        <f ca="1">IF(OR($A899=0,$A899="S",$A899&gt;CFF!$A$9),"",MAX(W$11:OFFSET(W899,-1,0))+1)</f>
        <v/>
      </c>
      <c r="X899" s="4" t="str">
        <f t="shared" si="1135"/>
        <v>Serv. Terc.-010</v>
      </c>
      <c r="Y899" s="39">
        <f t="shared" ca="1" si="1124"/>
        <v>90</v>
      </c>
      <c r="Z899" s="1"/>
      <c r="AA899" s="133">
        <f>IF($J899=$G$2,ROUND(IF(ISNUMBER(S899),S899,IF(LEFT(S899,2)="DI",HLOOKUP(S899,DADOS!$T$29:$X$30,2,FALSE),0)),4),"")</f>
        <v>0.25</v>
      </c>
      <c r="AB899" s="2"/>
    </row>
    <row r="900" spans="1:28">
      <c r="A900" t="str">
        <f t="shared" si="1109"/>
        <v>S</v>
      </c>
      <c r="B900">
        <f t="shared" si="1110"/>
        <v>0</v>
      </c>
      <c r="C900">
        <f t="shared" ca="1" si="1125"/>
        <v>10</v>
      </c>
      <c r="D900">
        <f t="shared" ca="1" si="1126"/>
        <v>6</v>
      </c>
      <c r="E900">
        <f t="shared" ca="1" si="1127"/>
        <v>0</v>
      </c>
      <c r="F900">
        <f t="shared" ca="1" si="1128"/>
        <v>0</v>
      </c>
      <c r="G900">
        <f t="shared" ca="1" si="1129"/>
        <v>18</v>
      </c>
      <c r="H900">
        <f ca="1">IF(OR($A900="S",$A900=0),0,MATCH(0,OFFSET($B900,1,$A900,ROW($A$1504)-ROW($A900)),0))</f>
        <v>0</v>
      </c>
      <c r="I900">
        <f ca="1">IF(OR($A900="S",$A900=0),0,MATCH(OFFSET($B900,0,$A900)+1,OFFSET($B900,1,$A900,ROW($A$1504)-ROW($A900)),0))</f>
        <v>0</v>
      </c>
      <c r="J900" s="132" t="s">
        <v>29</v>
      </c>
      <c r="K900" s="121" t="str">
        <f t="shared" ca="1" si="1116"/>
        <v>10.6.18.</v>
      </c>
      <c r="L900" s="137" t="str">
        <f t="shared" ca="1" si="1130"/>
        <v>Cotação</v>
      </c>
      <c r="M900" s="122" t="s">
        <v>80</v>
      </c>
      <c r="N900" s="139" t="s">
        <v>162</v>
      </c>
      <c r="O900" s="137" t="str">
        <f t="shared" ca="1" si="1118"/>
        <v>Coffee break (salgados)</v>
      </c>
      <c r="P900" s="138" t="str">
        <f t="shared" ca="1" si="1131"/>
        <v>Centro</v>
      </c>
      <c r="Q900" s="134">
        <v>15</v>
      </c>
      <c r="R900" s="124">
        <f t="shared" ca="1" si="1132"/>
        <v>65</v>
      </c>
      <c r="S900" s="136" t="s">
        <v>62</v>
      </c>
      <c r="T900" s="123">
        <f t="shared" ca="1" si="1133"/>
        <v>81.25</v>
      </c>
      <c r="U900" s="126">
        <f t="shared" ca="1" si="1134"/>
        <v>1218.75</v>
      </c>
      <c r="V900" s="1"/>
      <c r="W900" s="39" t="str">
        <f ca="1">IF(OR($A900=0,$A900="S",$A900&gt;CFF!$A$9),"",MAX(W$11:OFFSET(W900,-1,0))+1)</f>
        <v/>
      </c>
      <c r="X900" s="4" t="str">
        <f t="shared" si="1135"/>
        <v>Serv. Terc.-015</v>
      </c>
      <c r="Y900" s="39">
        <f t="shared" ca="1" si="1124"/>
        <v>95</v>
      </c>
      <c r="Z900" s="1"/>
      <c r="AA900" s="133">
        <f>IF($J900=$G$2,ROUND(IF(ISNUMBER(S900),S900,IF(LEFT(S900,2)="DI",HLOOKUP(S900,DADOS!$T$29:$X$30,2,FALSE),0)),4),"")</f>
        <v>0.25</v>
      </c>
      <c r="AB900" s="2"/>
    </row>
    <row r="901" spans="1:28">
      <c r="A901" t="str">
        <f t="shared" ref="A901:A910" si="1136">CHOOSE(1+LOG(1+2*(J901=$C$2)+4*(J901=$D$2)+8*(J901=$E$2)+16*(J901=$F$2)+32*(J901=$G$2),2),0,1,2,3,4,"S")</f>
        <v>S</v>
      </c>
      <c r="B901">
        <f t="shared" ref="B901:B910" si="1137">IF(OR(A901="S",A901=0),0,IF(ISERROR(I901),H901,SMALL(H901:I901,1)))</f>
        <v>0</v>
      </c>
      <c r="C901">
        <f t="shared" ca="1" si="1125"/>
        <v>10</v>
      </c>
      <c r="D901">
        <f t="shared" ca="1" si="1126"/>
        <v>6</v>
      </c>
      <c r="E901">
        <f t="shared" ca="1" si="1127"/>
        <v>0</v>
      </c>
      <c r="F901">
        <f t="shared" ca="1" si="1128"/>
        <v>0</v>
      </c>
      <c r="G901">
        <f t="shared" ca="1" si="1129"/>
        <v>19</v>
      </c>
      <c r="H901">
        <f ca="1">IF(OR($A901="S",$A901=0),0,MATCH(0,OFFSET($B901,1,$A901,ROW($A$1504)-ROW($A901)),0))</f>
        <v>0</v>
      </c>
      <c r="I901">
        <f ca="1">IF(OR($A901="S",$A901=0),0,MATCH(OFFSET($B901,0,$A901)+1,OFFSET($B901,1,$A901,ROW($A$1504)-ROW($A901)),0))</f>
        <v>0</v>
      </c>
      <c r="J901" s="132" t="s">
        <v>29</v>
      </c>
      <c r="K901" s="121" t="str">
        <f t="shared" ref="K901:K910" ca="1" si="1138">IF($A901=0,"-",CONCATENATE(C901&amp;".",IF(AND($A$5&gt;=2,$A901&gt;=2),D901&amp;".",""),IF(AND($A$5&gt;=3,$A901&gt;=3),E901&amp;".",""),IF(AND($A$5&gt;=4,$A901&gt;=4),F901&amp;".",""),IF($A901="S",G901&amp;".","")))</f>
        <v>10.6.19.</v>
      </c>
      <c r="L901" s="137" t="str">
        <f t="shared" ca="1" si="1130"/>
        <v>Cotação</v>
      </c>
      <c r="M901" s="122" t="s">
        <v>79</v>
      </c>
      <c r="N901" s="139" t="s">
        <v>163</v>
      </c>
      <c r="O901" s="137" t="str">
        <f ca="1">IF(NOT(ISERROR($Y901)),IF($Y901&lt;&gt;FALSE,INDEX(Banco,$Y901,5),""),"")</f>
        <v>Guloseimas (balas e pirulito)</v>
      </c>
      <c r="P901" s="138" t="str">
        <f t="shared" ca="1" si="1131"/>
        <v>Pacote</v>
      </c>
      <c r="Q901" s="134">
        <v>8</v>
      </c>
      <c r="R901" s="124">
        <f t="shared" ca="1" si="1132"/>
        <v>12</v>
      </c>
      <c r="S901" s="136" t="s">
        <v>62</v>
      </c>
      <c r="T901" s="123">
        <f t="shared" ca="1" si="1133"/>
        <v>15</v>
      </c>
      <c r="U901" s="126">
        <f t="shared" ca="1" si="1134"/>
        <v>120</v>
      </c>
      <c r="V901" s="1"/>
      <c r="W901" s="39" t="str">
        <f ca="1">IF(OR($A901=0,$A901="S",$A901&gt;CFF!$A$9),"",MAX(W$11:OFFSET(W901,-1,0))+1)</f>
        <v/>
      </c>
      <c r="X901" s="4" t="str">
        <f t="shared" si="1135"/>
        <v>Rec. Materiais-020</v>
      </c>
      <c r="Y901" s="39">
        <f t="shared" ref="Y901:Y910" ca="1" si="1139">IF(X901&lt;&gt;FALSE,MATCH(X901,OFFSET(Banco,0,0,,1),0))</f>
        <v>29</v>
      </c>
      <c r="Z901" s="1"/>
      <c r="AA901" s="133">
        <f>IF($J901=$G$2,ROUND(IF(ISNUMBER(S901),S901,IF(LEFT(S901,2)="DI",HLOOKUP(S901,DADOS!$T$29:$X$30,2,FALSE),0)),4),"")</f>
        <v>0.25</v>
      </c>
      <c r="AB901" s="2"/>
    </row>
    <row r="902" spans="1:28">
      <c r="A902" t="str">
        <f t="shared" si="1136"/>
        <v>S</v>
      </c>
      <c r="B902">
        <f t="shared" si="1137"/>
        <v>0</v>
      </c>
      <c r="C902">
        <f ca="1">IF($A902=1,OFFSET(C902,-1,0)+1,OFFSET(C902,-1,0))</f>
        <v>10</v>
      </c>
      <c r="D902">
        <f ca="1">IF($A902=1,0,IF($A902=2,OFFSET(D902,-1,0)+1,OFFSET(D902,-1,0)))</f>
        <v>6</v>
      </c>
      <c r="E902">
        <f ca="1">IF(AND($A902&lt;=2,$A902&lt;&gt;0),0,IF($A902=3,OFFSET(E902,-1,0)+1,OFFSET(E902,-1,0)))</f>
        <v>0</v>
      </c>
      <c r="F902">
        <f ca="1">IF(AND($A902&lt;=3,$A902&lt;&gt;0),0,IF($A902=4,OFFSET(F902,-1,0)+1,OFFSET(F902,-1,0)))</f>
        <v>0</v>
      </c>
      <c r="G902">
        <f ca="1">IF(AND($A902&lt;=4,$A902&lt;&gt;0),0,IF($A902="S",OFFSET(G902,-1,0)+1,OFFSET(G902,-1,0)))</f>
        <v>20</v>
      </c>
      <c r="H902">
        <f ca="1">IF(OR($A902="S",$A902=0),0,MATCH(0,OFFSET($B902,1,$A902,ROW($A$1504)-ROW($A902)),0))</f>
        <v>0</v>
      </c>
      <c r="I902">
        <f ca="1">IF(OR($A902="S",$A902=0),0,MATCH(OFFSET($B902,0,$A902)+1,OFFSET($B902,1,$A902,ROW($A$1504)-ROW($A902)),0))</f>
        <v>0</v>
      </c>
      <c r="J902" s="132" t="s">
        <v>29</v>
      </c>
      <c r="K902" s="121" t="str">
        <f t="shared" ca="1" si="1138"/>
        <v>10.6.20.</v>
      </c>
      <c r="L902" s="137" t="str">
        <f ca="1">IF(NOT(ISERROR($Y902)),IF($Y902&lt;&gt;FALSE,INDEX(Banco,$Y902,4),""),"")</f>
        <v>COREN</v>
      </c>
      <c r="M902" s="122" t="s">
        <v>80</v>
      </c>
      <c r="N902" s="139" t="s">
        <v>246</v>
      </c>
      <c r="O902" s="137" t="str">
        <f ca="1">IF(NOT(ISERROR($Y902)),IF($Y902&lt;&gt;FALSE,INDEX(Banco,$Y902,5),""),"")</f>
        <v>Enfermeiro padrão</v>
      </c>
      <c r="P902" s="138" t="str">
        <f ca="1">IF(NOT(ISERROR($Y902)),IF($Y902&lt;&gt;FALSE,INDEX(Banco,$Y902,6),""),"")</f>
        <v>Unidade</v>
      </c>
      <c r="Q902" s="134">
        <v>4</v>
      </c>
      <c r="R902" s="124">
        <f ca="1">IF(NOT(ISERROR($Y902)),IF($Y902&lt;&gt;FALSE,INDEX(Banco,$Y902,7),0),0)</f>
        <v>123.02</v>
      </c>
      <c r="S902" s="136" t="s">
        <v>62</v>
      </c>
      <c r="T902" s="123">
        <f ca="1">IF($J902=$G$2,ROUND(ROUND($R902,2)*IF($R$9="Preço Unitário (R$)",1,1+$AA902),2),0)</f>
        <v>153.78</v>
      </c>
      <c r="U902" s="126">
        <f ca="1">IF($A902="S",VTOTAL1,IF($A902=0,0,ROUND(SomaAgrup,2)))</f>
        <v>615.12</v>
      </c>
      <c r="V902" s="1"/>
      <c r="W902" s="39" t="str">
        <f ca="1">IF(OR($A902=0,$A902="S",$A902&gt;CFF!$A$9),"",MAX(W$11:OFFSET(W902,-1,0))+1)</f>
        <v/>
      </c>
      <c r="X902" s="4" t="str">
        <f>IF(AND($J902=$G$2,$N902&lt;&gt;"",$M902&lt;&gt;""),CONCATENATE($M902,"-",$N902))</f>
        <v>Serv. Terc.-080</v>
      </c>
      <c r="Y902" s="39">
        <f t="shared" ca="1" si="1139"/>
        <v>160</v>
      </c>
      <c r="Z902" s="1"/>
      <c r="AA902" s="133">
        <f>IF($J902=$G$2,ROUND(IF(ISNUMBER(S902),S902,IF(LEFT(S902,2)="DI",HLOOKUP(S902,DADOS!$T$29:$X$30,2,FALSE),0)),4),"")</f>
        <v>0.25</v>
      </c>
      <c r="AB902" s="2"/>
    </row>
    <row r="903" spans="1:28">
      <c r="A903" t="str">
        <f t="shared" si="1136"/>
        <v>S</v>
      </c>
      <c r="B903">
        <f t="shared" si="1137"/>
        <v>0</v>
      </c>
      <c r="C903">
        <f t="shared" ca="1" si="1125"/>
        <v>10</v>
      </c>
      <c r="D903">
        <f t="shared" ca="1" si="1126"/>
        <v>6</v>
      </c>
      <c r="E903">
        <f t="shared" ca="1" si="1127"/>
        <v>0</v>
      </c>
      <c r="F903">
        <f t="shared" ca="1" si="1128"/>
        <v>0</v>
      </c>
      <c r="G903">
        <f t="shared" ca="1" si="1129"/>
        <v>21</v>
      </c>
      <c r="H903">
        <f ca="1">IF(OR($A903="S",$A903=0),0,MATCH(0,OFFSET($B903,1,$A903,ROW($A$1504)-ROW($A903)),0))</f>
        <v>0</v>
      </c>
      <c r="I903">
        <f ca="1">IF(OR($A903="S",$A903=0),0,MATCH(OFFSET($B903,0,$A903)+1,OFFSET($B903,1,$A903,ROW($A$1504)-ROW($A903)),0))</f>
        <v>0</v>
      </c>
      <c r="J903" s="132" t="s">
        <v>29</v>
      </c>
      <c r="K903" s="121" t="str">
        <f t="shared" ca="1" si="1138"/>
        <v>10.6.21.</v>
      </c>
      <c r="L903" s="137" t="str">
        <f t="shared" ca="1" si="1130"/>
        <v>Cotação</v>
      </c>
      <c r="M903" s="122" t="s">
        <v>79</v>
      </c>
      <c r="N903" s="139" t="s">
        <v>165</v>
      </c>
      <c r="O903" s="137" t="str">
        <f ca="1">IF(NOT(ISERROR($Y903)),IF($Y903&lt;&gt;FALSE,INDEX(Banco,$Y903,5),""),"")</f>
        <v>Papel de presente</v>
      </c>
      <c r="P903" s="138" t="str">
        <f t="shared" ca="1" si="1131"/>
        <v>Folhas</v>
      </c>
      <c r="Q903" s="134">
        <v>16</v>
      </c>
      <c r="R903" s="124">
        <f t="shared" ca="1" si="1132"/>
        <v>1.5</v>
      </c>
      <c r="S903" s="136" t="s">
        <v>62</v>
      </c>
      <c r="T903" s="123">
        <f t="shared" ca="1" si="1133"/>
        <v>1.88</v>
      </c>
      <c r="U903" s="126">
        <f t="shared" ca="1" si="1134"/>
        <v>30.08</v>
      </c>
      <c r="V903" s="1"/>
      <c r="W903" s="39" t="str">
        <f ca="1">IF(OR($A903=0,$A903="S",$A903&gt;CFF!$A$9),"",MAX(W$11:OFFSET(W903,-1,0))+1)</f>
        <v/>
      </c>
      <c r="X903" s="4" t="str">
        <f t="shared" si="1135"/>
        <v>Rec. Materiais-021</v>
      </c>
      <c r="Y903" s="39">
        <f t="shared" ca="1" si="1139"/>
        <v>30</v>
      </c>
      <c r="Z903" s="1"/>
      <c r="AA903" s="133">
        <f>IF($J903=$G$2,ROUND(IF(ISNUMBER(S903),S903,IF(LEFT(S903,2)="DI",HLOOKUP(S903,DADOS!$T$29:$X$30,2,FALSE),0)),4),"")</f>
        <v>0.25</v>
      </c>
      <c r="AB903" s="2"/>
    </row>
    <row r="904" spans="1:28">
      <c r="A904" t="str">
        <f t="shared" si="1136"/>
        <v>S</v>
      </c>
      <c r="B904">
        <f t="shared" si="1137"/>
        <v>0</v>
      </c>
      <c r="C904">
        <f t="shared" ca="1" si="1125"/>
        <v>10</v>
      </c>
      <c r="D904">
        <f t="shared" ca="1" si="1126"/>
        <v>6</v>
      </c>
      <c r="E904">
        <f t="shared" ca="1" si="1127"/>
        <v>0</v>
      </c>
      <c r="F904">
        <f t="shared" ca="1" si="1128"/>
        <v>0</v>
      </c>
      <c r="G904">
        <f t="shared" ca="1" si="1129"/>
        <v>22</v>
      </c>
      <c r="H904">
        <f ca="1">IF(OR($A904="S",$A904=0),0,MATCH(0,OFFSET($B904,1,$A904,ROW($A$1504)-ROW($A904)),0))</f>
        <v>0</v>
      </c>
      <c r="I904">
        <f ca="1">IF(OR($A904="S",$A904=0),0,MATCH(OFFSET($B904,0,$A904)+1,OFFSET($B904,1,$A904,ROW($A$1504)-ROW($A904)),0))</f>
        <v>0</v>
      </c>
      <c r="J904" s="132" t="s">
        <v>29</v>
      </c>
      <c r="K904" s="121" t="str">
        <f t="shared" ca="1" si="1138"/>
        <v>10.6.22.</v>
      </c>
      <c r="L904" s="137" t="str">
        <f t="shared" ca="1" si="1130"/>
        <v>Cotação</v>
      </c>
      <c r="M904" s="122" t="s">
        <v>79</v>
      </c>
      <c r="N904" s="139" t="s">
        <v>170</v>
      </c>
      <c r="O904" s="137" t="str">
        <f ca="1">IF(NOT(ISERROR($Y904)),IF($Y904&lt;&gt;FALSE,INDEX(Banco,$Y904,5),""),"")</f>
        <v>Saco de lixo (100 litros)</v>
      </c>
      <c r="P904" s="138" t="str">
        <f t="shared" ca="1" si="1131"/>
        <v>Pacote</v>
      </c>
      <c r="Q904" s="134">
        <v>2</v>
      </c>
      <c r="R904" s="124">
        <f t="shared" ca="1" si="1132"/>
        <v>15</v>
      </c>
      <c r="S904" s="136" t="s">
        <v>62</v>
      </c>
      <c r="T904" s="123">
        <f t="shared" ca="1" si="1133"/>
        <v>18.75</v>
      </c>
      <c r="U904" s="126">
        <f t="shared" ca="1" si="1134"/>
        <v>37.5</v>
      </c>
      <c r="V904" s="1"/>
      <c r="W904" s="39" t="str">
        <f ca="1">IF(OR($A904=0,$A904="S",$A904&gt;CFF!$A$9),"",MAX(W$11:OFFSET(W904,-1,0))+1)</f>
        <v/>
      </c>
      <c r="X904" s="4" t="str">
        <f t="shared" si="1135"/>
        <v>Rec. Materiais-026</v>
      </c>
      <c r="Y904" s="39">
        <f t="shared" ca="1" si="1139"/>
        <v>35</v>
      </c>
      <c r="Z904" s="1"/>
      <c r="AA904" s="133">
        <f>IF($J904=$G$2,ROUND(IF(ISNUMBER(S904),S904,IF(LEFT(S904,2)="DI",HLOOKUP(S904,DADOS!$T$29:$X$30,2,FALSE),0)),4),"")</f>
        <v>0.25</v>
      </c>
      <c r="AB904" s="2"/>
    </row>
    <row r="905" spans="1:28">
      <c r="A905" t="str">
        <f t="shared" si="1136"/>
        <v>S</v>
      </c>
      <c r="B905">
        <f t="shared" si="1137"/>
        <v>0</v>
      </c>
      <c r="C905">
        <f ca="1">IF($A905=1,OFFSET(C905,-1,0)+1,OFFSET(C905,-1,0))</f>
        <v>10</v>
      </c>
      <c r="D905">
        <f ca="1">IF($A905=1,0,IF($A905=2,OFFSET(D905,-1,0)+1,OFFSET(D905,-1,0)))</f>
        <v>6</v>
      </c>
      <c r="E905">
        <f ca="1">IF(AND($A905&lt;=2,$A905&lt;&gt;0),0,IF($A905=3,OFFSET(E905,-1,0)+1,OFFSET(E905,-1,0)))</f>
        <v>0</v>
      </c>
      <c r="F905">
        <f ca="1">IF(AND($A905&lt;=3,$A905&lt;&gt;0),0,IF($A905=4,OFFSET(F905,-1,0)+1,OFFSET(F905,-1,0)))</f>
        <v>0</v>
      </c>
      <c r="G905">
        <f ca="1">IF(AND($A905&lt;=4,$A905&lt;&gt;0),0,IF($A905="S",OFFSET(G905,-1,0)+1,OFFSET(G905,-1,0)))</f>
        <v>23</v>
      </c>
      <c r="H905">
        <f ca="1">IF(OR($A905="S",$A905=0),0,MATCH(0,OFFSET($B905,1,$A905,ROW($A$1504)-ROW($A905)),0))</f>
        <v>0</v>
      </c>
      <c r="I905">
        <f ca="1">IF(OR($A905="S",$A905=0),0,MATCH(OFFSET($B905,0,$A905)+1,OFFSET($B905,1,$A905,ROW($A$1504)-ROW($A905)),0))</f>
        <v>0</v>
      </c>
      <c r="J905" s="132" t="s">
        <v>29</v>
      </c>
      <c r="K905" s="121" t="str">
        <f t="shared" ca="1" si="1138"/>
        <v>10.6.23.</v>
      </c>
      <c r="L905" s="137" t="str">
        <f ca="1">IF(NOT(ISERROR($Y905)),IF($Y905&lt;&gt;FALSE,INDEX(Banco,$Y905,4),""),"")</f>
        <v>Cotação</v>
      </c>
      <c r="M905" s="122" t="s">
        <v>79</v>
      </c>
      <c r="N905" s="139" t="s">
        <v>164</v>
      </c>
      <c r="O905" s="137" t="str">
        <f ca="1">IF(NOT(ISERROR($Y905)),IF($Y905&lt;&gt;FALSE,INDEX(Banco,$Y905,5),""),"")</f>
        <v>Copos descartáveis (2500 unidades)</v>
      </c>
      <c r="P905" s="138" t="str">
        <f ca="1">IF(NOT(ISERROR($Y905)),IF($Y905&lt;&gt;FALSE,INDEX(Banco,$Y905,6),""),"")</f>
        <v>Caixa</v>
      </c>
      <c r="Q905" s="134">
        <v>1</v>
      </c>
      <c r="R905" s="124">
        <f ca="1">IF(NOT(ISERROR($Y905)),IF($Y905&lt;&gt;FALSE,INDEX(Banco,$Y905,7),0),0)</f>
        <v>77.400000000000006</v>
      </c>
      <c r="S905" s="136" t="s">
        <v>62</v>
      </c>
      <c r="T905" s="123">
        <f ca="1">IF($J905=$G$2,ROUND(ROUND($R905,2)*IF($R$9="Preço Unitário (R$)",1,1+$AA905),2),0)</f>
        <v>96.75</v>
      </c>
      <c r="U905" s="126">
        <f ca="1">IF($A905="S",VTOTAL1,IF($A905=0,0,ROUND(SomaAgrup,2)))</f>
        <v>96.75</v>
      </c>
      <c r="V905" s="1"/>
      <c r="W905" s="39" t="str">
        <f ca="1">IF(OR($A905=0,$A905="S",$A905&gt;CFF!$A$9),"",MAX(W$11:OFFSET(W905,-1,0))+1)</f>
        <v/>
      </c>
      <c r="X905" s="4" t="str">
        <f>IF(AND($J905=$G$2,$N905&lt;&gt;"",$M905&lt;&gt;""),CONCATENATE($M905,"-",$N905))</f>
        <v>Rec. Materiais-019</v>
      </c>
      <c r="Y905" s="39">
        <f t="shared" ca="1" si="1139"/>
        <v>28</v>
      </c>
      <c r="Z905" s="1"/>
      <c r="AA905" s="133">
        <f>IF($J905=$G$2,ROUND(IF(ISNUMBER(S905),S905,IF(LEFT(S905,2)="DI",HLOOKUP(S905,DADOS!$T$29:$X$30,2,FALSE),0)),4),"")</f>
        <v>0.25</v>
      </c>
      <c r="AB905" s="2"/>
    </row>
    <row r="906" spans="1:28" ht="25.5">
      <c r="A906">
        <f>CHOOSE(1+LOG(1+2*(J906=$C$2)+4*(J906=$D$2)+8*(J906=$E$2)+16*(J906=$F$2)+32*(J906=$G$2),2),0,1,2,3,4,"S")</f>
        <v>2</v>
      </c>
      <c r="B906">
        <f ca="1">IF(OR(A906="S",A906=0),0,IF(ISERROR(I906),H906,SMALL(H906:I906,1)))</f>
        <v>19</v>
      </c>
      <c r="C906">
        <f ca="1">IF($A906=1,OFFSET(C906,-1,0)+1,OFFSET(C906,-1,0))</f>
        <v>10</v>
      </c>
      <c r="D906">
        <f ca="1">IF($A906=1,0,IF($A906=2,OFFSET(D906,-1,0)+1,OFFSET(D906,-1,0)))</f>
        <v>7</v>
      </c>
      <c r="E906">
        <f ca="1">IF(AND($A906&lt;=2,$A906&lt;&gt;0),0,IF($A906=3,OFFSET(E906,-1,0)+1,OFFSET(E906,-1,0)))</f>
        <v>0</v>
      </c>
      <c r="F906">
        <f ca="1">IF(AND($A906&lt;=3,$A906&lt;&gt;0),0,IF($A906=4,OFFSET(F906,-1,0)+1,OFFSET(F906,-1,0)))</f>
        <v>0</v>
      </c>
      <c r="G906">
        <f ca="1">IF(AND($A906&lt;=4,$A906&lt;&gt;0),0,IF($A906="S",OFFSET(G906,-1,0)+1,OFFSET(G906,-1,0)))</f>
        <v>0</v>
      </c>
      <c r="H906">
        <f ca="1">IF(OR($A906="S",$A906=0),0,MATCH(0,OFFSET($B906,1,$A906,ROW($A$1504)-ROW($A906)),0))</f>
        <v>38</v>
      </c>
      <c r="I906">
        <f ca="1">IF(OR($A906="S",$A906=0),0,MATCH(OFFSET($B906,0,$A906)+1,OFFSET($B906,1,$A906,ROW($A$1504)-ROW($A906)),0))</f>
        <v>19</v>
      </c>
      <c r="J906" s="132" t="s">
        <v>68</v>
      </c>
      <c r="K906" s="121" t="str">
        <f ca="1">IF($A906=0,"-",CONCATENATE(C906&amp;".",IF(AND($A$5&gt;=2,$A906&gt;=2),D906&amp;".",""),IF(AND($A$5&gt;=3,$A906&gt;=3),E906&amp;".",""),IF(AND($A$5&gt;=4,$A906&gt;=4),F906&amp;".",""),IF($A906="S",G906&amp;".","")))</f>
        <v>10.7.</v>
      </c>
      <c r="L906" s="137" t="str">
        <f ca="1">IF(NOT(ISERROR($Y906)),IF($Y906&lt;&gt;FALSE,INDEX(Banco,$Y906,4),""),"")</f>
        <v/>
      </c>
      <c r="M906" s="122"/>
      <c r="N906" s="139"/>
      <c r="O906" s="137" t="s">
        <v>417</v>
      </c>
      <c r="P906" s="138" t="str">
        <f ca="1">IF(NOT(ISERROR($Y906)),IF($Y906&lt;&gt;FALSE,INDEX(Banco,$Y906,6),""),"")</f>
        <v/>
      </c>
      <c r="Q906" s="134"/>
      <c r="R906" s="124">
        <f ca="1">IF(NOT(ISERROR($Y906)),IF($Y906&lt;&gt;FALSE,INDEX(Banco,$Y906,7),0),0)</f>
        <v>0</v>
      </c>
      <c r="S906" s="136" t="s">
        <v>62</v>
      </c>
      <c r="T906" s="123">
        <f>IF($J906=$G$2,ROUND(ROUND($R906,2)*IF($R$9="Preço Unitário (R$)",1,1+$AA906),2),0)</f>
        <v>0</v>
      </c>
      <c r="U906" s="126">
        <f ca="1">IF($A906="S",VTOTAL1,IF($A906=0,0,ROUND(SomaAgrup,2)))</f>
        <v>7121.19</v>
      </c>
      <c r="V906" s="1"/>
      <c r="W906" s="39">
        <f ca="1">IF(OR($A906=0,$A906="S",$A906&gt;CFF!$A$9),"",MAX(W$11:OFFSET(W906,-1,0))+1)</f>
        <v>80</v>
      </c>
      <c r="X906" s="4" t="b">
        <f>IF(AND($J906=$G$2,$N906&lt;&gt;"",$M906&lt;&gt;""),CONCATENATE($M906,"-",$N906))</f>
        <v>0</v>
      </c>
      <c r="Y906" s="39" t="b">
        <f ca="1">IF(X906&lt;&gt;FALSE,MATCH(X906,OFFSET(Banco,0,0,,1),0))</f>
        <v>0</v>
      </c>
      <c r="Z906" s="1"/>
      <c r="AA906" s="133" t="str">
        <f>IF($J906=$G$2,ROUND(IF(ISNUMBER(S906),S906,IF(LEFT(S906,2)="DI",HLOOKUP(S906,DADOS!$T$29:$X$30,2,FALSE),0)),4),"")</f>
        <v/>
      </c>
      <c r="AB906" s="2"/>
    </row>
    <row r="907" spans="1:28">
      <c r="A907" t="str">
        <f t="shared" si="1136"/>
        <v>S</v>
      </c>
      <c r="B907">
        <f t="shared" si="1137"/>
        <v>0</v>
      </c>
      <c r="C907">
        <f t="shared" ref="C907:C914" ca="1" si="1140">IF($A907=1,OFFSET(C907,-1,0)+1,OFFSET(C907,-1,0))</f>
        <v>10</v>
      </c>
      <c r="D907">
        <f t="shared" ref="D907:D914" ca="1" si="1141">IF($A907=1,0,IF($A907=2,OFFSET(D907,-1,0)+1,OFFSET(D907,-1,0)))</f>
        <v>7</v>
      </c>
      <c r="E907">
        <f t="shared" ref="E907:E914" ca="1" si="1142">IF(AND($A907&lt;=2,$A907&lt;&gt;0),0,IF($A907=3,OFFSET(E907,-1,0)+1,OFFSET(E907,-1,0)))</f>
        <v>0</v>
      </c>
      <c r="F907">
        <f t="shared" ref="F907:F914" ca="1" si="1143">IF(AND($A907&lt;=3,$A907&lt;&gt;0),0,IF($A907=4,OFFSET(F907,-1,0)+1,OFFSET(F907,-1,0)))</f>
        <v>0</v>
      </c>
      <c r="G907">
        <f t="shared" ref="G907:G914" ca="1" si="1144">IF(AND($A907&lt;=4,$A907&lt;&gt;0),0,IF($A907="S",OFFSET(G907,-1,0)+1,OFFSET(G907,-1,0)))</f>
        <v>1</v>
      </c>
      <c r="H907">
        <f ca="1">IF(OR($A907="S",$A907=0),0,MATCH(0,OFFSET($B907,1,$A907,ROW($A$1504)-ROW($A907)),0))</f>
        <v>0</v>
      </c>
      <c r="I907">
        <f ca="1">IF(OR($A907="S",$A907=0),0,MATCH(OFFSET($B907,0,$A907)+1,OFFSET($B907,1,$A907,ROW($A$1504)-ROW($A907)),0))</f>
        <v>0</v>
      </c>
      <c r="J907" s="132" t="s">
        <v>29</v>
      </c>
      <c r="K907" s="121" t="str">
        <f t="shared" ca="1" si="1138"/>
        <v>10.7.1.</v>
      </c>
      <c r="L907" s="137" t="str">
        <f t="shared" ref="L907:L914" ca="1" si="1145">IF(NOT(ISERROR($Y907)),IF($Y907&lt;&gt;FALSE,INDEX(Banco,$Y907,4),""),"")</f>
        <v>CRESS</v>
      </c>
      <c r="M907" s="122" t="s">
        <v>78</v>
      </c>
      <c r="N907" s="139" t="s">
        <v>149</v>
      </c>
      <c r="O907" s="137" t="str">
        <f ca="1">IF(NOT(ISERROR($Y907)),IF($Y907&lt;&gt;FALSE,INDEX(Banco,$Y907,5),""),"")</f>
        <v>Responsável Técnica</v>
      </c>
      <c r="P907" s="138" t="str">
        <f t="shared" ref="P907:P914" ca="1" si="1146">IF(NOT(ISERROR($Y907)),IF($Y907&lt;&gt;FALSE,INDEX(Banco,$Y907,6),""),"")</f>
        <v>Horas</v>
      </c>
      <c r="Q907" s="134">
        <v>6</v>
      </c>
      <c r="R907" s="124">
        <f t="shared" ref="R907:R914" ca="1" si="1147">IF(NOT(ISERROR($Y907)),IF($Y907&lt;&gt;FALSE,INDEX(Banco,$Y907,7),0),0)</f>
        <v>150.28</v>
      </c>
      <c r="S907" s="136" t="s">
        <v>62</v>
      </c>
      <c r="T907" s="123">
        <f t="shared" ref="T907:T914" ca="1" si="1148">IF($J907=$G$2,ROUND(ROUND($R907,2)*IF($R$9="Preço Unitário (R$)",1,1+$AA907),2),0)</f>
        <v>187.85</v>
      </c>
      <c r="U907" s="126">
        <f t="shared" ref="U907:U914" ca="1" si="1149">IF($A907="S",VTOTAL1,IF($A907=0,0,ROUND(SomaAgrup,2)))</f>
        <v>1127.0999999999999</v>
      </c>
      <c r="V907" s="1"/>
      <c r="W907" s="39" t="str">
        <f ca="1">IF(OR($A907=0,$A907="S",$A907&gt;CFF!$A$9),"",MAX(W$11:OFFSET(W907,-1,0))+1)</f>
        <v/>
      </c>
      <c r="X907" s="4" t="str">
        <f t="shared" ref="X907:X914" si="1150">IF(AND($J907=$G$2,$N907&lt;&gt;"",$M907&lt;&gt;""),CONCATENATE($M907,"-",$N907))</f>
        <v>Rec. Humanos-001</v>
      </c>
      <c r="Y907" s="39">
        <f t="shared" ca="1" si="1139"/>
        <v>3</v>
      </c>
      <c r="Z907" s="1"/>
      <c r="AA907" s="133">
        <f>IF($J907=$G$2,ROUND(IF(ISNUMBER(S907),S907,IF(LEFT(S907,2)="DI",HLOOKUP(S907,DADOS!$T$29:$X$30,2,FALSE),0)),4),"")</f>
        <v>0.25</v>
      </c>
      <c r="AB907" s="2"/>
    </row>
    <row r="908" spans="1:28">
      <c r="A908" t="str">
        <f t="shared" si="1136"/>
        <v>S</v>
      </c>
      <c r="B908">
        <f t="shared" si="1137"/>
        <v>0</v>
      </c>
      <c r="C908">
        <f t="shared" ca="1" si="1140"/>
        <v>10</v>
      </c>
      <c r="D908">
        <f t="shared" ca="1" si="1141"/>
        <v>7</v>
      </c>
      <c r="E908">
        <f t="shared" ca="1" si="1142"/>
        <v>0</v>
      </c>
      <c r="F908">
        <f t="shared" ca="1" si="1143"/>
        <v>0</v>
      </c>
      <c r="G908">
        <f t="shared" ca="1" si="1144"/>
        <v>2</v>
      </c>
      <c r="H908">
        <f ca="1">IF(OR($A908="S",$A908=0),0,MATCH(0,OFFSET($B908,1,$A908,ROW($A$1504)-ROW($A908)),0))</f>
        <v>0</v>
      </c>
      <c r="I908">
        <f ca="1">IF(OR($A908="S",$A908=0),0,MATCH(OFFSET($B908,0,$A908)+1,OFFSET($B908,1,$A908,ROW($A$1504)-ROW($A908)),0))</f>
        <v>0</v>
      </c>
      <c r="J908" s="132" t="s">
        <v>29</v>
      </c>
      <c r="K908" s="121" t="str">
        <f t="shared" ca="1" si="1138"/>
        <v>10.7.2.</v>
      </c>
      <c r="L908" s="137" t="str">
        <f t="shared" ca="1" si="1145"/>
        <v>CRESS</v>
      </c>
      <c r="M908" s="122" t="s">
        <v>78</v>
      </c>
      <c r="N908" s="139" t="s">
        <v>152</v>
      </c>
      <c r="O908" s="137" t="str">
        <f ca="1">IF(NOT(ISERROR($Y908)),IF($Y908&lt;&gt;FALSE,INDEX(Banco,$Y908,5),""),"")</f>
        <v>Assistente Social</v>
      </c>
      <c r="P908" s="138" t="str">
        <f t="shared" ca="1" si="1146"/>
        <v>Horas</v>
      </c>
      <c r="Q908" s="134">
        <v>4</v>
      </c>
      <c r="R908" s="124">
        <f t="shared" ca="1" si="1147"/>
        <v>133.81</v>
      </c>
      <c r="S908" s="136" t="s">
        <v>62</v>
      </c>
      <c r="T908" s="123">
        <f t="shared" ca="1" si="1148"/>
        <v>167.26</v>
      </c>
      <c r="U908" s="126">
        <f t="shared" ca="1" si="1149"/>
        <v>669.04</v>
      </c>
      <c r="V908" s="1"/>
      <c r="W908" s="39" t="str">
        <f ca="1">IF(OR($A908=0,$A908="S",$A908&gt;CFF!$A$9),"",MAX(W$11:OFFSET(W908,-1,0))+1)</f>
        <v/>
      </c>
      <c r="X908" s="4" t="str">
        <f t="shared" si="1150"/>
        <v>Rec. Humanos-002</v>
      </c>
      <c r="Y908" s="39">
        <f t="shared" ca="1" si="1139"/>
        <v>4</v>
      </c>
      <c r="Z908" s="1"/>
      <c r="AA908" s="133">
        <f>IF($J908=$G$2,ROUND(IF(ISNUMBER(S908),S908,IF(LEFT(S908,2)="DI",HLOOKUP(S908,DADOS!$T$29:$X$30,2,FALSE),0)),4),"")</f>
        <v>0.25</v>
      </c>
      <c r="AB908" s="2"/>
    </row>
    <row r="909" spans="1:28">
      <c r="A909" t="str">
        <f t="shared" si="1136"/>
        <v>S</v>
      </c>
      <c r="B909">
        <f t="shared" si="1137"/>
        <v>0</v>
      </c>
      <c r="C909">
        <f t="shared" ca="1" si="1140"/>
        <v>10</v>
      </c>
      <c r="D909">
        <f t="shared" ca="1" si="1141"/>
        <v>7</v>
      </c>
      <c r="E909">
        <f t="shared" ca="1" si="1142"/>
        <v>0</v>
      </c>
      <c r="F909">
        <f t="shared" ca="1" si="1143"/>
        <v>0</v>
      </c>
      <c r="G909">
        <f t="shared" ca="1" si="1144"/>
        <v>3</v>
      </c>
      <c r="H909">
        <f ca="1">IF(OR($A909="S",$A909=0),0,MATCH(0,OFFSET($B909,1,$A909,ROW($A$1504)-ROW($A909)),0))</f>
        <v>0</v>
      </c>
      <c r="I909">
        <f ca="1">IF(OR($A909="S",$A909=0),0,MATCH(OFFSET($B909,0,$A909)+1,OFFSET($B909,1,$A909,ROW($A$1504)-ROW($A909)),0))</f>
        <v>0</v>
      </c>
      <c r="J909" s="132" t="s">
        <v>29</v>
      </c>
      <c r="K909" s="121" t="str">
        <f t="shared" ca="1" si="1138"/>
        <v>10.7.3.</v>
      </c>
      <c r="L909" s="137" t="str">
        <f t="shared" ca="1" si="1145"/>
        <v>Cotação</v>
      </c>
      <c r="M909" s="122" t="s">
        <v>78</v>
      </c>
      <c r="N909" s="139" t="s">
        <v>151</v>
      </c>
      <c r="O909" s="137" t="str">
        <f ca="1">IF(NOT(ISERROR($Y909)),IF($Y909&lt;&gt;FALSE,INDEX(Banco,$Y909,5),""),"")</f>
        <v xml:space="preserve">Administrador (Técnico de Apoio) </v>
      </c>
      <c r="P909" s="138" t="str">
        <f t="shared" ca="1" si="1146"/>
        <v>Horas</v>
      </c>
      <c r="Q909" s="134">
        <v>4</v>
      </c>
      <c r="R909" s="124">
        <f t="shared" ca="1" si="1147"/>
        <v>103.65</v>
      </c>
      <c r="S909" s="136" t="s">
        <v>62</v>
      </c>
      <c r="T909" s="123">
        <f t="shared" ca="1" si="1148"/>
        <v>129.56</v>
      </c>
      <c r="U909" s="126">
        <f t="shared" ca="1" si="1149"/>
        <v>518.24</v>
      </c>
      <c r="V909" s="1"/>
      <c r="W909" s="39" t="str">
        <f ca="1">IF(OR($A909=0,$A909="S",$A909&gt;CFF!$A$9),"",MAX(W$11:OFFSET(W909,-1,0))+1)</f>
        <v/>
      </c>
      <c r="X909" s="4" t="str">
        <f t="shared" si="1150"/>
        <v>Rec. Humanos-003</v>
      </c>
      <c r="Y909" s="39">
        <f t="shared" ca="1" si="1139"/>
        <v>5</v>
      </c>
      <c r="Z909" s="1"/>
      <c r="AA909" s="133">
        <f>IF($J909=$G$2,ROUND(IF(ISNUMBER(S909),S909,IF(LEFT(S909,2)="DI",HLOOKUP(S909,DADOS!$T$29:$X$30,2,FALSE),0)),4),"")</f>
        <v>0.25</v>
      </c>
      <c r="AB909" s="2"/>
    </row>
    <row r="910" spans="1:28">
      <c r="A910" t="str">
        <f t="shared" si="1136"/>
        <v>S</v>
      </c>
      <c r="B910">
        <f t="shared" si="1137"/>
        <v>0</v>
      </c>
      <c r="C910">
        <f t="shared" ca="1" si="1140"/>
        <v>10</v>
      </c>
      <c r="D910">
        <f t="shared" ca="1" si="1141"/>
        <v>7</v>
      </c>
      <c r="E910">
        <f t="shared" ca="1" si="1142"/>
        <v>0</v>
      </c>
      <c r="F910">
        <f t="shared" ca="1" si="1143"/>
        <v>0</v>
      </c>
      <c r="G910">
        <f t="shared" ca="1" si="1144"/>
        <v>4</v>
      </c>
      <c r="H910">
        <f ca="1">IF(OR($A910="S",$A910=0),0,MATCH(0,OFFSET($B910,1,$A910,ROW($A$1504)-ROW($A910)),0))</f>
        <v>0</v>
      </c>
      <c r="I910">
        <f ca="1">IF(OR($A910="S",$A910=0),0,MATCH(OFFSET($B910,0,$A910)+1,OFFSET($B910,1,$A910,ROW($A$1504)-ROW($A910)),0))</f>
        <v>0</v>
      </c>
      <c r="J910" s="132" t="s">
        <v>29</v>
      </c>
      <c r="K910" s="121" t="str">
        <f t="shared" ca="1" si="1138"/>
        <v>10.7.4.</v>
      </c>
      <c r="L910" s="137" t="str">
        <f t="shared" ca="1" si="1145"/>
        <v>SINE</v>
      </c>
      <c r="M910" s="122" t="s">
        <v>78</v>
      </c>
      <c r="N910" s="139" t="s">
        <v>153</v>
      </c>
      <c r="O910" s="137" t="str">
        <f ca="1">IF(NOT(ISERROR($Y910)),IF($Y910&lt;&gt;FALSE,INDEX(Banco,$Y910,5),""),"")</f>
        <v>Estagiários</v>
      </c>
      <c r="P910" s="138" t="str">
        <f t="shared" ca="1" si="1146"/>
        <v>Horas</v>
      </c>
      <c r="Q910" s="134">
        <v>10</v>
      </c>
      <c r="R910" s="124">
        <f t="shared" ca="1" si="1147"/>
        <v>9.7899999999999991</v>
      </c>
      <c r="S910" s="136" t="s">
        <v>62</v>
      </c>
      <c r="T910" s="123">
        <f t="shared" ca="1" si="1148"/>
        <v>12.24</v>
      </c>
      <c r="U910" s="126">
        <f t="shared" ca="1" si="1149"/>
        <v>122.4</v>
      </c>
      <c r="V910" s="1"/>
      <c r="W910" s="39" t="str">
        <f ca="1">IF(OR($A910=0,$A910="S",$A910&gt;CFF!$A$9),"",MAX(W$11:OFFSET(W910,-1,0))+1)</f>
        <v/>
      </c>
      <c r="X910" s="4" t="str">
        <f t="shared" si="1150"/>
        <v>Rec. Humanos-004</v>
      </c>
      <c r="Y910" s="39">
        <f t="shared" ca="1" si="1139"/>
        <v>6</v>
      </c>
      <c r="Z910" s="1"/>
      <c r="AA910" s="133">
        <f>IF($J910=$G$2,ROUND(IF(ISNUMBER(S910),S910,IF(LEFT(S910,2)="DI",HLOOKUP(S910,DADOS!$T$29:$X$30,2,FALSE),0)),4),"")</f>
        <v>0.25</v>
      </c>
      <c r="AB910" s="2"/>
    </row>
    <row r="911" spans="1:28">
      <c r="A911" t="str">
        <f t="shared" ref="A911:A917" si="1151">CHOOSE(1+LOG(1+2*(J911=$C$2)+4*(J911=$D$2)+8*(J911=$E$2)+16*(J911=$F$2)+32*(J911=$G$2),2),0,1,2,3,4,"S")</f>
        <v>S</v>
      </c>
      <c r="B911">
        <f t="shared" ref="B911:B917" si="1152">IF(OR(A911="S",A911=0),0,IF(ISERROR(I911),H911,SMALL(H911:I911,1)))</f>
        <v>0</v>
      </c>
      <c r="C911">
        <f t="shared" ca="1" si="1140"/>
        <v>10</v>
      </c>
      <c r="D911">
        <f t="shared" ca="1" si="1141"/>
        <v>7</v>
      </c>
      <c r="E911">
        <f t="shared" ca="1" si="1142"/>
        <v>0</v>
      </c>
      <c r="F911">
        <f t="shared" ca="1" si="1143"/>
        <v>0</v>
      </c>
      <c r="G911">
        <f t="shared" ca="1" si="1144"/>
        <v>5</v>
      </c>
      <c r="H911">
        <f ca="1">IF(OR($A911="S",$A911=0),0,MATCH(0,OFFSET($B911,1,$A911,ROW($A$1504)-ROW($A911)),0))</f>
        <v>0</v>
      </c>
      <c r="I911">
        <f ca="1">IF(OR($A911="S",$A911=0),0,MATCH(OFFSET($B911,0,$A911)+1,OFFSET($B911,1,$A911,ROW($A$1504)-ROW($A911)),0))</f>
        <v>0</v>
      </c>
      <c r="J911" s="132" t="s">
        <v>29</v>
      </c>
      <c r="K911" s="121" t="str">
        <f t="shared" ref="K911:K917" ca="1" si="1153">IF($A911=0,"-",CONCATENATE(C911&amp;".",IF(AND($A$5&gt;=2,$A911&gt;=2),D911&amp;".",""),IF(AND($A$5&gt;=3,$A911&gt;=3),E911&amp;".",""),IF(AND($A$5&gt;=4,$A911&gt;=4),F911&amp;".",""),IF($A911="S",G911&amp;".","")))</f>
        <v>10.7.5.</v>
      </c>
      <c r="L911" s="137" t="str">
        <f t="shared" ca="1" si="1145"/>
        <v>Cotação</v>
      </c>
      <c r="M911" s="122" t="s">
        <v>80</v>
      </c>
      <c r="N911" s="139" t="s">
        <v>149</v>
      </c>
      <c r="O911" s="137" t="str">
        <f t="shared" ref="O911:O924" ca="1" si="1154">IF(NOT(ISERROR($Y911)),IF($Y911&lt;&gt;FALSE,INDEX(Banco,$Y911,5),""),"")</f>
        <v>Fotocópias</v>
      </c>
      <c r="P911" s="138" t="str">
        <f t="shared" ca="1" si="1146"/>
        <v>Unidade</v>
      </c>
      <c r="Q911" s="134">
        <v>150</v>
      </c>
      <c r="R911" s="124">
        <f t="shared" ca="1" si="1147"/>
        <v>0.3</v>
      </c>
      <c r="S911" s="136" t="s">
        <v>62</v>
      </c>
      <c r="T911" s="123">
        <f t="shared" ca="1" si="1148"/>
        <v>0.38</v>
      </c>
      <c r="U911" s="126">
        <f t="shared" ca="1" si="1149"/>
        <v>57</v>
      </c>
      <c r="V911" s="1"/>
      <c r="W911" s="39" t="str">
        <f ca="1">IF(OR($A911=0,$A911="S",$A911&gt;CFF!$A$9),"",MAX(W$11:OFFSET(W911,-1,0))+1)</f>
        <v/>
      </c>
      <c r="X911" s="4" t="str">
        <f t="shared" si="1150"/>
        <v>Serv. Terc.-001</v>
      </c>
      <c r="Y911" s="39">
        <f t="shared" ref="Y911:Y917" ca="1" si="1155">IF(X911&lt;&gt;FALSE,MATCH(X911,OFFSET(Banco,0,0,,1),0))</f>
        <v>81</v>
      </c>
      <c r="Z911" s="1"/>
      <c r="AA911" s="133">
        <f>IF($J911=$G$2,ROUND(IF(ISNUMBER(S911),S911,IF(LEFT(S911,2)="DI",HLOOKUP(S911,DADOS!$T$29:$X$30,2,FALSE),0)),4),"")</f>
        <v>0.25</v>
      </c>
      <c r="AB911" s="2"/>
    </row>
    <row r="912" spans="1:28">
      <c r="A912" t="str">
        <f>CHOOSE(1+LOG(1+2*(J912=$C$2)+4*(J912=$D$2)+8*(J912=$E$2)+16*(J912=$F$2)+32*(J912=$G$2),2),0,1,2,3,4,"S")</f>
        <v>S</v>
      </c>
      <c r="B912">
        <f>IF(OR(A912="S",A912=0),0,IF(ISERROR(I912),H912,SMALL(H912:I912,1)))</f>
        <v>0</v>
      </c>
      <c r="C912">
        <f ca="1">IF($A912=1,OFFSET(C912,-1,0)+1,OFFSET(C912,-1,0))</f>
        <v>10</v>
      </c>
      <c r="D912">
        <f ca="1">IF($A912=1,0,IF($A912=2,OFFSET(D912,-1,0)+1,OFFSET(D912,-1,0)))</f>
        <v>7</v>
      </c>
      <c r="E912">
        <f ca="1">IF(AND($A912&lt;=2,$A912&lt;&gt;0),0,IF($A912=3,OFFSET(E912,-1,0)+1,OFFSET(E912,-1,0)))</f>
        <v>0</v>
      </c>
      <c r="F912">
        <f ca="1">IF(AND($A912&lt;=3,$A912&lt;&gt;0),0,IF($A912=4,OFFSET(F912,-1,0)+1,OFFSET(F912,-1,0)))</f>
        <v>0</v>
      </c>
      <c r="G912">
        <f ca="1">IF(AND($A912&lt;=4,$A912&lt;&gt;0),0,IF($A912="S",OFFSET(G912,-1,0)+1,OFFSET(G912,-1,0)))</f>
        <v>6</v>
      </c>
      <c r="H912">
        <f ca="1">IF(OR($A912="S",$A912=0),0,MATCH(0,OFFSET($B912,1,$A912,ROW($A$1504)-ROW($A912)),0))</f>
        <v>0</v>
      </c>
      <c r="I912">
        <f ca="1">IF(OR($A912="S",$A912=0),0,MATCH(OFFSET($B912,0,$A912)+1,OFFSET($B912,1,$A912,ROW($A$1504)-ROW($A912)),0))</f>
        <v>0</v>
      </c>
      <c r="J912" s="132" t="s">
        <v>29</v>
      </c>
      <c r="K912" s="121" t="str">
        <f ca="1">IF($A912=0,"-",CONCATENATE(C912&amp;".",IF(AND($A$5&gt;=2,$A912&gt;=2),D912&amp;".",""),IF(AND($A$5&gt;=3,$A912&gt;=3),E912&amp;".",""),IF(AND($A$5&gt;=4,$A912&gt;=4),F912&amp;".",""),IF($A912="S",G912&amp;".","")))</f>
        <v>10.7.6.</v>
      </c>
      <c r="L912" s="137" t="str">
        <f ca="1">IF(NOT(ISERROR($Y912)),IF($Y912&lt;&gt;FALSE,INDEX(Banco,$Y912,4),""),"")</f>
        <v>Cotação</v>
      </c>
      <c r="M912" s="122" t="s">
        <v>80</v>
      </c>
      <c r="N912" s="139" t="s">
        <v>256</v>
      </c>
      <c r="O912" s="137" t="str">
        <f ca="1">IF(NOT(ISERROR($Y912)),IF($Y912&lt;&gt;FALSE,INDEX(Banco,$Y912,5),""),"")</f>
        <v>Instrutor/Monitor (Educação Fisíca)</v>
      </c>
      <c r="P912" s="138" t="str">
        <f ca="1">IF(NOT(ISERROR($Y912)),IF($Y912&lt;&gt;FALSE,INDEX(Banco,$Y912,6),""),"")</f>
        <v>Horas</v>
      </c>
      <c r="Q912" s="134">
        <v>3</v>
      </c>
      <c r="R912" s="124">
        <f ca="1">IF(NOT(ISERROR($Y912)),IF($Y912&lt;&gt;FALSE,INDEX(Banco,$Y912,7),0),0)</f>
        <v>100</v>
      </c>
      <c r="S912" s="136" t="s">
        <v>62</v>
      </c>
      <c r="T912" s="123">
        <f ca="1">IF($J912=$G$2,ROUND(ROUND($R912,2)*IF($R$9="Preço Unitário (R$)",1,1+$AA912),2),0)</f>
        <v>125</v>
      </c>
      <c r="U912" s="126">
        <f ca="1">IF($A912="S",VTOTAL1,IF($A912=0,0,ROUND(SomaAgrup,2)))</f>
        <v>375</v>
      </c>
      <c r="V912" s="1"/>
      <c r="W912" s="39" t="str">
        <f ca="1">IF(OR($A912=0,$A912="S",$A912&gt;CFF!$A$9),"",MAX(W$11:OFFSET(W912,-1,0))+1)</f>
        <v/>
      </c>
      <c r="X912" s="4" t="str">
        <f>IF(AND($J912=$G$2,$N912&lt;&gt;"",$M912&lt;&gt;""),CONCATENATE($M912,"-",$N912))</f>
        <v>Serv. Terc.-017</v>
      </c>
      <c r="Y912" s="39">
        <f ca="1">IF(X912&lt;&gt;FALSE,MATCH(X912,OFFSET(Banco,0,0,,1),0))</f>
        <v>97</v>
      </c>
      <c r="Z912" s="1"/>
      <c r="AA912" s="133">
        <f>IF($J912=$G$2,ROUND(IF(ISNUMBER(S912),S912,IF(LEFT(S912,2)="DI",HLOOKUP(S912,DADOS!$T$29:$X$30,2,FALSE),0)),4),"")</f>
        <v>0.25</v>
      </c>
      <c r="AB912" s="2"/>
    </row>
    <row r="913" spans="1:28">
      <c r="A913" t="str">
        <f t="shared" si="1151"/>
        <v>S</v>
      </c>
      <c r="B913">
        <f t="shared" si="1152"/>
        <v>0</v>
      </c>
      <c r="C913">
        <f t="shared" ca="1" si="1140"/>
        <v>10</v>
      </c>
      <c r="D913">
        <f t="shared" ca="1" si="1141"/>
        <v>7</v>
      </c>
      <c r="E913">
        <f t="shared" ca="1" si="1142"/>
        <v>0</v>
      </c>
      <c r="F913">
        <f t="shared" ca="1" si="1143"/>
        <v>0</v>
      </c>
      <c r="G913">
        <f t="shared" ca="1" si="1144"/>
        <v>7</v>
      </c>
      <c r="H913">
        <f ca="1">IF(OR($A913="S",$A913=0),0,MATCH(0,OFFSET($B913,1,$A913,ROW($A$1504)-ROW($A913)),0))</f>
        <v>0</v>
      </c>
      <c r="I913">
        <f ca="1">IF(OR($A913="S",$A913=0),0,MATCH(OFFSET($B913,0,$A913)+1,OFFSET($B913,1,$A913,ROW($A$1504)-ROW($A913)),0))</f>
        <v>0</v>
      </c>
      <c r="J913" s="132" t="s">
        <v>29</v>
      </c>
      <c r="K913" s="121" t="str">
        <f t="shared" ca="1" si="1153"/>
        <v>10.7.7.</v>
      </c>
      <c r="L913" s="137" t="str">
        <f t="shared" ca="1" si="1145"/>
        <v>Cotação</v>
      </c>
      <c r="M913" s="122" t="s">
        <v>80</v>
      </c>
      <c r="N913" s="139" t="s">
        <v>152</v>
      </c>
      <c r="O913" s="137" t="str">
        <f t="shared" ca="1" si="1154"/>
        <v>Carro de som com gravação de vinheta</v>
      </c>
      <c r="P913" s="138" t="str">
        <f t="shared" ca="1" si="1146"/>
        <v>Horas</v>
      </c>
      <c r="Q913" s="134">
        <v>3</v>
      </c>
      <c r="R913" s="124">
        <f t="shared" ca="1" si="1147"/>
        <v>200</v>
      </c>
      <c r="S913" s="136" t="s">
        <v>62</v>
      </c>
      <c r="T913" s="123">
        <f t="shared" ca="1" si="1148"/>
        <v>250</v>
      </c>
      <c r="U913" s="126">
        <f t="shared" ca="1" si="1149"/>
        <v>750</v>
      </c>
      <c r="V913" s="1"/>
      <c r="W913" s="39" t="str">
        <f ca="1">IF(OR($A913=0,$A913="S",$A913&gt;CFF!$A$9),"",MAX(W$11:OFFSET(W913,-1,0))+1)</f>
        <v/>
      </c>
      <c r="X913" s="4" t="str">
        <f t="shared" si="1150"/>
        <v>Serv. Terc.-002</v>
      </c>
      <c r="Y913" s="39">
        <f t="shared" ca="1" si="1155"/>
        <v>82</v>
      </c>
      <c r="Z913" s="1"/>
      <c r="AA913" s="133">
        <f>IF($J913=$G$2,ROUND(IF(ISNUMBER(S913),S913,IF(LEFT(S913,2)="DI",HLOOKUP(S913,DADOS!$T$29:$X$30,2,FALSE),0)),4),"")</f>
        <v>0.25</v>
      </c>
      <c r="AB913" s="2"/>
    </row>
    <row r="914" spans="1:28">
      <c r="A914" t="str">
        <f t="shared" si="1151"/>
        <v>S</v>
      </c>
      <c r="B914">
        <f t="shared" si="1152"/>
        <v>0</v>
      </c>
      <c r="C914">
        <f t="shared" ca="1" si="1140"/>
        <v>10</v>
      </c>
      <c r="D914">
        <f t="shared" ca="1" si="1141"/>
        <v>7</v>
      </c>
      <c r="E914">
        <f t="shared" ca="1" si="1142"/>
        <v>0</v>
      </c>
      <c r="F914">
        <f t="shared" ca="1" si="1143"/>
        <v>0</v>
      </c>
      <c r="G914">
        <f t="shared" ca="1" si="1144"/>
        <v>8</v>
      </c>
      <c r="H914">
        <f ca="1">IF(OR($A914="S",$A914=0),0,MATCH(0,OFFSET($B914,1,$A914,ROW($A$1504)-ROW($A914)),0))</f>
        <v>0</v>
      </c>
      <c r="I914">
        <f ca="1">IF(OR($A914="S",$A914=0),0,MATCH(OFFSET($B914,0,$A914)+1,OFFSET($B914,1,$A914,ROW($A$1504)-ROW($A914)),0))</f>
        <v>0</v>
      </c>
      <c r="J914" s="132" t="s">
        <v>29</v>
      </c>
      <c r="K914" s="121" t="str">
        <f t="shared" ca="1" si="1153"/>
        <v>10.7.8.</v>
      </c>
      <c r="L914" s="137" t="str">
        <f t="shared" ca="1" si="1145"/>
        <v>Cotação</v>
      </c>
      <c r="M914" s="122" t="s">
        <v>80</v>
      </c>
      <c r="N914" s="139" t="s">
        <v>154</v>
      </c>
      <c r="O914" s="137" t="str">
        <f t="shared" ca="1" si="1154"/>
        <v>Locação de caixa térmica</v>
      </c>
      <c r="P914" s="138" t="str">
        <f t="shared" ca="1" si="1146"/>
        <v>Unidade</v>
      </c>
      <c r="Q914" s="134">
        <v>2</v>
      </c>
      <c r="R914" s="124">
        <f t="shared" ca="1" si="1147"/>
        <v>40</v>
      </c>
      <c r="S914" s="136" t="s">
        <v>62</v>
      </c>
      <c r="T914" s="123">
        <f t="shared" ca="1" si="1148"/>
        <v>50</v>
      </c>
      <c r="U914" s="126">
        <f t="shared" ca="1" si="1149"/>
        <v>100</v>
      </c>
      <c r="V914" s="1"/>
      <c r="W914" s="39" t="str">
        <f ca="1">IF(OR($A914=0,$A914="S",$A914&gt;CFF!$A$9),"",MAX(W$11:OFFSET(W914,-1,0))+1)</f>
        <v/>
      </c>
      <c r="X914" s="4" t="str">
        <f t="shared" si="1150"/>
        <v>Serv. Terc.-005</v>
      </c>
      <c r="Y914" s="39">
        <f t="shared" ca="1" si="1155"/>
        <v>85</v>
      </c>
      <c r="Z914" s="1"/>
      <c r="AA914" s="133">
        <f>IF($J914=$G$2,ROUND(IF(ISNUMBER(S914),S914,IF(LEFT(S914,2)="DI",HLOOKUP(S914,DADOS!$T$29:$X$30,2,FALSE),0)),4),"")</f>
        <v>0.25</v>
      </c>
      <c r="AB914" s="2"/>
    </row>
    <row r="915" spans="1:28">
      <c r="A915" t="str">
        <f t="shared" si="1151"/>
        <v>S</v>
      </c>
      <c r="B915">
        <f t="shared" si="1152"/>
        <v>0</v>
      </c>
      <c r="C915">
        <f t="shared" ref="C915:C963" ca="1" si="1156">IF($A915=1,OFFSET(C915,-1,0)+1,OFFSET(C915,-1,0))</f>
        <v>10</v>
      </c>
      <c r="D915">
        <f t="shared" ref="D915:D963" ca="1" si="1157">IF($A915=1,0,IF($A915=2,OFFSET(D915,-1,0)+1,OFFSET(D915,-1,0)))</f>
        <v>7</v>
      </c>
      <c r="E915">
        <f t="shared" ref="E915:E963" ca="1" si="1158">IF(AND($A915&lt;=2,$A915&lt;&gt;0),0,IF($A915=3,OFFSET(E915,-1,0)+1,OFFSET(E915,-1,0)))</f>
        <v>0</v>
      </c>
      <c r="F915">
        <f t="shared" ref="F915:F963" ca="1" si="1159">IF(AND($A915&lt;=3,$A915&lt;&gt;0),0,IF($A915=4,OFFSET(F915,-1,0)+1,OFFSET(F915,-1,0)))</f>
        <v>0</v>
      </c>
      <c r="G915">
        <f t="shared" ref="G915:G963" ca="1" si="1160">IF(AND($A915&lt;=4,$A915&lt;&gt;0),0,IF($A915="S",OFFSET(G915,-1,0)+1,OFFSET(G915,-1,0)))</f>
        <v>9</v>
      </c>
      <c r="H915">
        <f ca="1">IF(OR($A915="S",$A915=0),0,MATCH(0,OFFSET($B915,1,$A915,ROW($A$1504)-ROW($A915)),0))</f>
        <v>0</v>
      </c>
      <c r="I915">
        <f ca="1">IF(OR($A915="S",$A915=0),0,MATCH(OFFSET($B915,0,$A915)+1,OFFSET($B915,1,$A915,ROW($A$1504)-ROW($A915)),0))</f>
        <v>0</v>
      </c>
      <c r="J915" s="132" t="s">
        <v>29</v>
      </c>
      <c r="K915" s="121" t="str">
        <f t="shared" ca="1" si="1153"/>
        <v>10.7.9.</v>
      </c>
      <c r="L915" s="137" t="str">
        <f t="shared" ref="L915:L963" ca="1" si="1161">IF(NOT(ISERROR($Y915)),IF($Y915&lt;&gt;FALSE,INDEX(Banco,$Y915,4),""),"")</f>
        <v>Cotação</v>
      </c>
      <c r="M915" s="122" t="s">
        <v>80</v>
      </c>
      <c r="N915" s="139" t="s">
        <v>157</v>
      </c>
      <c r="O915" s="137" t="str">
        <f t="shared" ca="1" si="1154"/>
        <v>Locação de pula-pula com monitor</v>
      </c>
      <c r="P915" s="138" t="str">
        <f t="shared" ref="P915:P963" ca="1" si="1162">IF(NOT(ISERROR($Y915)),IF($Y915&lt;&gt;FALSE,INDEX(Banco,$Y915,6),""),"")</f>
        <v>Unidade</v>
      </c>
      <c r="Q915" s="134">
        <v>2</v>
      </c>
      <c r="R915" s="124">
        <f t="shared" ref="R915:R963" ca="1" si="1163">IF(NOT(ISERROR($Y915)),IF($Y915&lt;&gt;FALSE,INDEX(Banco,$Y915,7),0),0)</f>
        <v>220</v>
      </c>
      <c r="S915" s="136" t="s">
        <v>62</v>
      </c>
      <c r="T915" s="123">
        <f t="shared" ref="T915:T963" ca="1" si="1164">IF($J915=$G$2,ROUND(ROUND($R915,2)*IF($R$9="Preço Unitário (R$)",1,1+$AA915),2),0)</f>
        <v>275</v>
      </c>
      <c r="U915" s="126">
        <f t="shared" ref="U915:U963" ca="1" si="1165">IF($A915="S",VTOTAL1,IF($A915=0,0,ROUND(SomaAgrup,2)))</f>
        <v>550</v>
      </c>
      <c r="V915" s="1"/>
      <c r="W915" s="39" t="str">
        <f ca="1">IF(OR($A915=0,$A915="S",$A915&gt;CFF!$A$9),"",MAX(W$11:OFFSET(W915,-1,0))+1)</f>
        <v/>
      </c>
      <c r="X915" s="4" t="str">
        <f t="shared" ref="X915:X963" si="1166">IF(AND($J915=$G$2,$N915&lt;&gt;"",$M915&lt;&gt;""),CONCATENATE($M915,"-",$N915))</f>
        <v>Serv. Terc.-008</v>
      </c>
      <c r="Y915" s="39">
        <f t="shared" ca="1" si="1155"/>
        <v>88</v>
      </c>
      <c r="Z915" s="1"/>
      <c r="AA915" s="133">
        <f>IF($J915=$G$2,ROUND(IF(ISNUMBER(S915),S915,IF(LEFT(S915,2)="DI",HLOOKUP(S915,DADOS!$T$29:$X$30,2,FALSE),0)),4),"")</f>
        <v>0.25</v>
      </c>
      <c r="AB915" s="2"/>
    </row>
    <row r="916" spans="1:28">
      <c r="A916" t="str">
        <f t="shared" si="1151"/>
        <v>S</v>
      </c>
      <c r="B916">
        <f t="shared" si="1152"/>
        <v>0</v>
      </c>
      <c r="C916">
        <f t="shared" ca="1" si="1156"/>
        <v>10</v>
      </c>
      <c r="D916">
        <f t="shared" ca="1" si="1157"/>
        <v>7</v>
      </c>
      <c r="E916">
        <f t="shared" ca="1" si="1158"/>
        <v>0</v>
      </c>
      <c r="F916">
        <f t="shared" ca="1" si="1159"/>
        <v>0</v>
      </c>
      <c r="G916">
        <f t="shared" ca="1" si="1160"/>
        <v>10</v>
      </c>
      <c r="H916">
        <f ca="1">IF(OR($A916="S",$A916=0),0,MATCH(0,OFFSET($B916,1,$A916,ROW($A$1504)-ROW($A916)),0))</f>
        <v>0</v>
      </c>
      <c r="I916">
        <f ca="1">IF(OR($A916="S",$A916=0),0,MATCH(OFFSET($B916,0,$A916)+1,OFFSET($B916,1,$A916,ROW($A$1504)-ROW($A916)),0))</f>
        <v>0</v>
      </c>
      <c r="J916" s="132" t="s">
        <v>29</v>
      </c>
      <c r="K916" s="121" t="str">
        <f t="shared" ca="1" si="1153"/>
        <v>10.7.10.</v>
      </c>
      <c r="L916" s="137" t="str">
        <f t="shared" ca="1" si="1161"/>
        <v xml:space="preserve">Cotação </v>
      </c>
      <c r="M916" s="122" t="s">
        <v>80</v>
      </c>
      <c r="N916" s="139" t="s">
        <v>160</v>
      </c>
      <c r="O916" s="137" t="str">
        <f t="shared" ca="1" si="1154"/>
        <v>Barra de gelo</v>
      </c>
      <c r="P916" s="138" t="str">
        <f t="shared" ca="1" si="1162"/>
        <v>Unidade</v>
      </c>
      <c r="Q916" s="134">
        <v>4</v>
      </c>
      <c r="R916" s="124">
        <f t="shared" ca="1" si="1163"/>
        <v>12</v>
      </c>
      <c r="S916" s="136" t="s">
        <v>62</v>
      </c>
      <c r="T916" s="123">
        <f t="shared" ca="1" si="1164"/>
        <v>15</v>
      </c>
      <c r="U916" s="126">
        <f t="shared" ca="1" si="1165"/>
        <v>60</v>
      </c>
      <c r="V916" s="1"/>
      <c r="W916" s="39" t="str">
        <f ca="1">IF(OR($A916=0,$A916="S",$A916&gt;CFF!$A$9),"",MAX(W$11:OFFSET(W916,-1,0))+1)</f>
        <v/>
      </c>
      <c r="X916" s="4" t="str">
        <f t="shared" si="1166"/>
        <v>Serv. Terc.-011</v>
      </c>
      <c r="Y916" s="39">
        <f t="shared" ca="1" si="1155"/>
        <v>91</v>
      </c>
      <c r="Z916" s="1"/>
      <c r="AA916" s="133">
        <f>IF($J916=$G$2,ROUND(IF(ISNUMBER(S916),S916,IF(LEFT(S916,2)="DI",HLOOKUP(S916,DADOS!$T$29:$X$30,2,FALSE),0)),4),"")</f>
        <v>0.25</v>
      </c>
      <c r="AB916" s="2"/>
    </row>
    <row r="917" spans="1:28">
      <c r="A917" t="str">
        <f t="shared" si="1151"/>
        <v>S</v>
      </c>
      <c r="B917">
        <f t="shared" si="1152"/>
        <v>0</v>
      </c>
      <c r="C917">
        <f t="shared" ca="1" si="1156"/>
        <v>10</v>
      </c>
      <c r="D917">
        <f t="shared" ca="1" si="1157"/>
        <v>7</v>
      </c>
      <c r="E917">
        <f t="shared" ca="1" si="1158"/>
        <v>0</v>
      </c>
      <c r="F917">
        <f t="shared" ca="1" si="1159"/>
        <v>0</v>
      </c>
      <c r="G917">
        <f t="shared" ca="1" si="1160"/>
        <v>11</v>
      </c>
      <c r="H917">
        <f ca="1">IF(OR($A917="S",$A917=0),0,MATCH(0,OFFSET($B917,1,$A917,ROW($A$1504)-ROW($A917)),0))</f>
        <v>0</v>
      </c>
      <c r="I917">
        <f ca="1">IF(OR($A917="S",$A917=0),0,MATCH(OFFSET($B917,0,$A917)+1,OFFSET($B917,1,$A917,ROW($A$1504)-ROW($A917)),0))</f>
        <v>0</v>
      </c>
      <c r="J917" s="132" t="s">
        <v>29</v>
      </c>
      <c r="K917" s="121" t="str">
        <f t="shared" ca="1" si="1153"/>
        <v>10.7.11.</v>
      </c>
      <c r="L917" s="137" t="str">
        <f t="shared" ca="1" si="1161"/>
        <v>Cotação</v>
      </c>
      <c r="M917" s="122" t="s">
        <v>80</v>
      </c>
      <c r="N917" s="139" t="s">
        <v>150</v>
      </c>
      <c r="O917" s="137" t="str">
        <f t="shared" ca="1" si="1154"/>
        <v>Sucos</v>
      </c>
      <c r="P917" s="138" t="str">
        <f t="shared" ca="1" si="1162"/>
        <v>Unidade</v>
      </c>
      <c r="Q917" s="134">
        <v>12</v>
      </c>
      <c r="R917" s="124">
        <f t="shared" ca="1" si="1163"/>
        <v>6.4</v>
      </c>
      <c r="S917" s="136" t="s">
        <v>62</v>
      </c>
      <c r="T917" s="123">
        <f t="shared" ca="1" si="1164"/>
        <v>8</v>
      </c>
      <c r="U917" s="126">
        <f t="shared" ca="1" si="1165"/>
        <v>96</v>
      </c>
      <c r="V917" s="1"/>
      <c r="W917" s="39" t="str">
        <f ca="1">IF(OR($A917=0,$A917="S",$A917&gt;CFF!$A$9),"",MAX(W$11:OFFSET(W917,-1,0))+1)</f>
        <v/>
      </c>
      <c r="X917" s="4" t="str">
        <f t="shared" si="1166"/>
        <v>Serv. Terc.-013</v>
      </c>
      <c r="Y917" s="39">
        <f t="shared" ca="1" si="1155"/>
        <v>93</v>
      </c>
      <c r="Z917" s="1"/>
      <c r="AA917" s="133">
        <f>IF($J917=$G$2,ROUND(IF(ISNUMBER(S917),S917,IF(LEFT(S917,2)="DI",HLOOKUP(S917,DADOS!$T$29:$X$30,2,FALSE),0)),4),"")</f>
        <v>0.25</v>
      </c>
      <c r="AB917" s="2"/>
    </row>
    <row r="918" spans="1:28">
      <c r="A918" t="str">
        <f>CHOOSE(1+LOG(1+2*(J918=$C$2)+4*(J918=$D$2)+8*(J918=$E$2)+16*(J918=$F$2)+32*(J918=$G$2),2),0,1,2,3,4,"S")</f>
        <v>S</v>
      </c>
      <c r="B918">
        <f>IF(OR(A918="S",A918=0),0,IF(ISERROR(I918),H918,SMALL(H918:I918,1)))</f>
        <v>0</v>
      </c>
      <c r="C918">
        <f ca="1">IF($A918=1,OFFSET(C918,-1,0)+1,OFFSET(C918,-1,0))</f>
        <v>10</v>
      </c>
      <c r="D918">
        <f ca="1">IF($A918=1,0,IF($A918=2,OFFSET(D918,-1,0)+1,OFFSET(D918,-1,0)))</f>
        <v>7</v>
      </c>
      <c r="E918">
        <f ca="1">IF(AND($A918&lt;=2,$A918&lt;&gt;0),0,IF($A918=3,OFFSET(E918,-1,0)+1,OFFSET(E918,-1,0)))</f>
        <v>0</v>
      </c>
      <c r="F918">
        <f ca="1">IF(AND($A918&lt;=3,$A918&lt;&gt;0),0,IF($A918=4,OFFSET(F918,-1,0)+1,OFFSET(F918,-1,0)))</f>
        <v>0</v>
      </c>
      <c r="G918">
        <f ca="1">IF(AND($A918&lt;=4,$A918&lt;&gt;0),0,IF($A918="S",OFFSET(G918,-1,0)+1,OFFSET(G918,-1,0)))</f>
        <v>12</v>
      </c>
      <c r="H918">
        <f ca="1">IF(OR($A918="S",$A918=0),0,MATCH(0,OFFSET($B918,1,$A918,ROW($A$1504)-ROW($A918)),0))</f>
        <v>0</v>
      </c>
      <c r="I918">
        <f ca="1">IF(OR($A918="S",$A918=0),0,MATCH(OFFSET($B918,0,$A918)+1,OFFSET($B918,1,$A918,ROW($A$1504)-ROW($A918)),0))</f>
        <v>0</v>
      </c>
      <c r="J918" s="132" t="s">
        <v>29</v>
      </c>
      <c r="K918" s="121" t="str">
        <f ca="1">IF($A918=0,"-",CONCATENATE(C918&amp;".",IF(AND($A$5&gt;=2,$A918&gt;=2),D918&amp;".",""),IF(AND($A$5&gt;=3,$A918&gt;=3),E918&amp;".",""),IF(AND($A$5&gt;=4,$A918&gt;=4),F918&amp;".",""),IF($A918="S",G918&amp;".","")))</f>
        <v>10.7.12.</v>
      </c>
      <c r="L918" s="137" t="str">
        <f ca="1">IF(NOT(ISERROR($Y918)),IF($Y918&lt;&gt;FALSE,INDEX(Banco,$Y918,4),""),"")</f>
        <v>Cotação</v>
      </c>
      <c r="M918" s="122" t="s">
        <v>80</v>
      </c>
      <c r="N918" s="139" t="s">
        <v>171</v>
      </c>
      <c r="O918" s="137" t="str">
        <f ca="1">IF(NOT(ISERROR($Y918)),IF($Y918&lt;&gt;FALSE,INDEX(Banco,$Y918,5),""),"")</f>
        <v xml:space="preserve">Refrigerantes (02 litros) </v>
      </c>
      <c r="P918" s="138" t="str">
        <f ca="1">IF(NOT(ISERROR($Y918)),IF($Y918&lt;&gt;FALSE,INDEX(Banco,$Y918,6),""),"")</f>
        <v>Unidade</v>
      </c>
      <c r="Q918" s="134">
        <v>20</v>
      </c>
      <c r="R918" s="124">
        <f ca="1">IF(NOT(ISERROR($Y918)),IF($Y918&lt;&gt;FALSE,INDEX(Banco,$Y918,7),0),0)</f>
        <v>6</v>
      </c>
      <c r="S918" s="136" t="s">
        <v>62</v>
      </c>
      <c r="T918" s="123">
        <f ca="1">IF($J918=$G$2,ROUND(ROUND($R918,2)*IF($R$9="Preço Unitário (R$)",1,1+$AA918),2),0)</f>
        <v>7.5</v>
      </c>
      <c r="U918" s="126">
        <f ca="1">IF($A918="S",VTOTAL1,IF($A918=0,0,ROUND(SomaAgrup,2)))</f>
        <v>150</v>
      </c>
      <c r="V918" s="1"/>
      <c r="W918" s="39" t="str">
        <f ca="1">IF(OR($A918=0,$A918="S",$A918&gt;CFF!$A$9),"",MAX(W$11:OFFSET(W918,-1,0))+1)</f>
        <v/>
      </c>
      <c r="X918" s="4" t="str">
        <f>IF(AND($J918=$G$2,$N918&lt;&gt;"",$M918&lt;&gt;""),CONCATENATE($M918,"-",$N918))</f>
        <v>Serv. Terc.-027</v>
      </c>
      <c r="Y918" s="39">
        <f ca="1">IF(X918&lt;&gt;FALSE,MATCH(X918,OFFSET(Banco,0,0,,1),0))</f>
        <v>107</v>
      </c>
      <c r="Z918" s="1"/>
      <c r="AA918" s="133">
        <f>IF($J918=$G$2,ROUND(IF(ISNUMBER(S918),S918,IF(LEFT(S918,2)="DI",HLOOKUP(S918,DADOS!$T$29:$X$30,2,FALSE),0)),4),"")</f>
        <v>0.25</v>
      </c>
      <c r="AB918" s="2"/>
    </row>
    <row r="919" spans="1:28">
      <c r="A919" t="str">
        <f t="shared" ref="A919:A924" si="1167">CHOOSE(1+LOG(1+2*(J919=$C$2)+4*(J919=$D$2)+8*(J919=$E$2)+16*(J919=$F$2)+32*(J919=$G$2),2),0,1,2,3,4,"S")</f>
        <v>S</v>
      </c>
      <c r="B919">
        <f t="shared" ref="B919:B924" si="1168">IF(OR(A919="S",A919=0),0,IF(ISERROR(I919),H919,SMALL(H919:I919,1)))</f>
        <v>0</v>
      </c>
      <c r="C919">
        <f t="shared" ca="1" si="1156"/>
        <v>10</v>
      </c>
      <c r="D919">
        <f t="shared" ca="1" si="1157"/>
        <v>7</v>
      </c>
      <c r="E919">
        <f t="shared" ca="1" si="1158"/>
        <v>0</v>
      </c>
      <c r="F919">
        <f t="shared" ca="1" si="1159"/>
        <v>0</v>
      </c>
      <c r="G919">
        <f t="shared" ca="1" si="1160"/>
        <v>13</v>
      </c>
      <c r="H919">
        <f ca="1">IF(OR($A919="S",$A919=0),0,MATCH(0,OFFSET($B919,1,$A919,ROW($A$1504)-ROW($A919)),0))</f>
        <v>0</v>
      </c>
      <c r="I919">
        <f ca="1">IF(OR($A919="S",$A919=0),0,MATCH(OFFSET($B919,0,$A919)+1,OFFSET($B919,1,$A919,ROW($A$1504)-ROW($A919)),0))</f>
        <v>0</v>
      </c>
      <c r="J919" s="132" t="s">
        <v>29</v>
      </c>
      <c r="K919" s="121" t="str">
        <f t="shared" ref="K919:K924" ca="1" si="1169">IF($A919=0,"-",CONCATENATE(C919&amp;".",IF(AND($A$5&gt;=2,$A919&gt;=2),D919&amp;".",""),IF(AND($A$5&gt;=3,$A919&gt;=3),E919&amp;".",""),IF(AND($A$5&gt;=4,$A919&gt;=4),F919&amp;".",""),IF($A919="S",G919&amp;".","")))</f>
        <v>10.7.13.</v>
      </c>
      <c r="L919" s="137" t="str">
        <f t="shared" ca="1" si="1161"/>
        <v xml:space="preserve">Cotação </v>
      </c>
      <c r="M919" s="122" t="s">
        <v>80</v>
      </c>
      <c r="N919" s="139" t="s">
        <v>159</v>
      </c>
      <c r="O919" s="137" t="str">
        <f ca="1">IF(NOT(ISERROR($Y919)),IF($Y919&lt;&gt;FALSE,INDEX(Banco,$Y919,5),""),"")</f>
        <v>Brindes ( descrição nos orçamentos e PTS)</v>
      </c>
      <c r="P919" s="138" t="str">
        <f t="shared" ca="1" si="1162"/>
        <v>Unidade</v>
      </c>
      <c r="Q919" s="134">
        <v>4</v>
      </c>
      <c r="R919" s="124">
        <f t="shared" ca="1" si="1163"/>
        <v>120</v>
      </c>
      <c r="S919" s="136" t="s">
        <v>62</v>
      </c>
      <c r="T919" s="123">
        <f t="shared" ca="1" si="1164"/>
        <v>150</v>
      </c>
      <c r="U919" s="126">
        <f t="shared" ca="1" si="1165"/>
        <v>600</v>
      </c>
      <c r="V919" s="1"/>
      <c r="W919" s="39" t="str">
        <f ca="1">IF(OR($A919=0,$A919="S",$A919&gt;CFF!$A$9),"",MAX(W$11:OFFSET(W919,-1,0))+1)</f>
        <v/>
      </c>
      <c r="X919" s="4" t="str">
        <f t="shared" si="1166"/>
        <v>Serv. Terc.-010</v>
      </c>
      <c r="Y919" s="39">
        <f t="shared" ref="Y919:Y924" ca="1" si="1170">IF(X919&lt;&gt;FALSE,MATCH(X919,OFFSET(Banco,0,0,,1),0))</f>
        <v>90</v>
      </c>
      <c r="Z919" s="1"/>
      <c r="AA919" s="133">
        <f>IF($J919=$G$2,ROUND(IF(ISNUMBER(S919),S919,IF(LEFT(S919,2)="DI",HLOOKUP(S919,DADOS!$T$29:$X$30,2,FALSE),0)),4),"")</f>
        <v>0.25</v>
      </c>
      <c r="AB919" s="2"/>
    </row>
    <row r="920" spans="1:28">
      <c r="A920" t="str">
        <f t="shared" si="1167"/>
        <v>S</v>
      </c>
      <c r="B920">
        <f t="shared" si="1168"/>
        <v>0</v>
      </c>
      <c r="C920">
        <f t="shared" ca="1" si="1156"/>
        <v>10</v>
      </c>
      <c r="D920">
        <f t="shared" ca="1" si="1157"/>
        <v>7</v>
      </c>
      <c r="E920">
        <f t="shared" ca="1" si="1158"/>
        <v>0</v>
      </c>
      <c r="F920">
        <f t="shared" ca="1" si="1159"/>
        <v>0</v>
      </c>
      <c r="G920">
        <f t="shared" ca="1" si="1160"/>
        <v>14</v>
      </c>
      <c r="H920">
        <f ca="1">IF(OR($A920="S",$A920=0),0,MATCH(0,OFFSET($B920,1,$A920,ROW($A$1504)-ROW($A920)),0))</f>
        <v>0</v>
      </c>
      <c r="I920">
        <f ca="1">IF(OR($A920="S",$A920=0),0,MATCH(OFFSET($B920,0,$A920)+1,OFFSET($B920,1,$A920,ROW($A$1504)-ROW($A920)),0))</f>
        <v>0</v>
      </c>
      <c r="J920" s="132" t="s">
        <v>29</v>
      </c>
      <c r="K920" s="121" t="str">
        <f t="shared" ca="1" si="1169"/>
        <v>10.7.14.</v>
      </c>
      <c r="L920" s="137" t="str">
        <f t="shared" ca="1" si="1161"/>
        <v>Cotação</v>
      </c>
      <c r="M920" s="122" t="s">
        <v>80</v>
      </c>
      <c r="N920" s="139" t="s">
        <v>162</v>
      </c>
      <c r="O920" s="137" t="str">
        <f t="shared" ca="1" si="1154"/>
        <v>Coffee break (salgados)</v>
      </c>
      <c r="P920" s="138" t="str">
        <f t="shared" ca="1" si="1162"/>
        <v>Centro</v>
      </c>
      <c r="Q920" s="134">
        <v>15</v>
      </c>
      <c r="R920" s="124">
        <f t="shared" ca="1" si="1163"/>
        <v>65</v>
      </c>
      <c r="S920" s="136" t="s">
        <v>62</v>
      </c>
      <c r="T920" s="123">
        <f t="shared" ca="1" si="1164"/>
        <v>81.25</v>
      </c>
      <c r="U920" s="126">
        <f t="shared" ca="1" si="1165"/>
        <v>1218.75</v>
      </c>
      <c r="V920" s="1"/>
      <c r="W920" s="39" t="str">
        <f ca="1">IF(OR($A920=0,$A920="S",$A920&gt;CFF!$A$9),"",MAX(W$11:OFFSET(W920,-1,0))+1)</f>
        <v/>
      </c>
      <c r="X920" s="4" t="str">
        <f t="shared" si="1166"/>
        <v>Serv. Terc.-015</v>
      </c>
      <c r="Y920" s="39">
        <f t="shared" ca="1" si="1170"/>
        <v>95</v>
      </c>
      <c r="Z920" s="1"/>
      <c r="AA920" s="133">
        <f>IF($J920=$G$2,ROUND(IF(ISNUMBER(S920),S920,IF(LEFT(S920,2)="DI",HLOOKUP(S920,DADOS!$T$29:$X$30,2,FALSE),0)),4),"")</f>
        <v>0.25</v>
      </c>
      <c r="AB920" s="2"/>
    </row>
    <row r="921" spans="1:28">
      <c r="A921" t="str">
        <f>CHOOSE(1+LOG(1+2*(J921=$C$2)+4*(J921=$D$2)+8*(J921=$E$2)+16*(J921=$F$2)+32*(J921=$G$2),2),0,1,2,3,4,"S")</f>
        <v>S</v>
      </c>
      <c r="B921">
        <f>IF(OR(A921="S",A921=0),0,IF(ISERROR(I921),H921,SMALL(H921:I921,1)))</f>
        <v>0</v>
      </c>
      <c r="C921">
        <f ca="1">IF($A921=1,OFFSET(C921,-1,0)+1,OFFSET(C921,-1,0))</f>
        <v>10</v>
      </c>
      <c r="D921">
        <f ca="1">IF($A921=1,0,IF($A921=2,OFFSET(D921,-1,0)+1,OFFSET(D921,-1,0)))</f>
        <v>7</v>
      </c>
      <c r="E921">
        <f ca="1">IF(AND($A921&lt;=2,$A921&lt;&gt;0),0,IF($A921=3,OFFSET(E921,-1,0)+1,OFFSET(E921,-1,0)))</f>
        <v>0</v>
      </c>
      <c r="F921">
        <f ca="1">IF(AND($A921&lt;=3,$A921&lt;&gt;0),0,IF($A921=4,OFFSET(F921,-1,0)+1,OFFSET(F921,-1,0)))</f>
        <v>0</v>
      </c>
      <c r="G921">
        <f ca="1">IF(AND($A921&lt;=4,$A921&lt;&gt;0),0,IF($A921="S",OFFSET(G921,-1,0)+1,OFFSET(G921,-1,0)))</f>
        <v>15</v>
      </c>
      <c r="H921">
        <f ca="1">IF(OR($A921="S",$A921=0),0,MATCH(0,OFFSET($B921,1,$A921,ROW($A$1504)-ROW($A921)),0))</f>
        <v>0</v>
      </c>
      <c r="I921">
        <f ca="1">IF(OR($A921="S",$A921=0),0,MATCH(OFFSET($B921,0,$A921)+1,OFFSET($B921,1,$A921,ROW($A$1504)-ROW($A921)),0))</f>
        <v>0</v>
      </c>
      <c r="J921" s="132" t="s">
        <v>29</v>
      </c>
      <c r="K921" s="121" t="str">
        <f ca="1">IF($A921=0,"-",CONCATENATE(C921&amp;".",IF(AND($A$5&gt;=2,$A921&gt;=2),D921&amp;".",""),IF(AND($A$5&gt;=3,$A921&gt;=3),E921&amp;".",""),IF(AND($A$5&gt;=4,$A921&gt;=4),F921&amp;".",""),IF($A921="S",G921&amp;".","")))</f>
        <v>10.7.15.</v>
      </c>
      <c r="L921" s="137" t="str">
        <f ca="1">IF(NOT(ISERROR($Y921)),IF($Y921&lt;&gt;FALSE,INDEX(Banco,$Y921,4),""),"")</f>
        <v>COREN</v>
      </c>
      <c r="M921" s="122" t="s">
        <v>80</v>
      </c>
      <c r="N921" s="139" t="s">
        <v>246</v>
      </c>
      <c r="O921" s="137" t="str">
        <f ca="1">IF(NOT(ISERROR($Y921)),IF($Y921&lt;&gt;FALSE,INDEX(Banco,$Y921,5),""),"")</f>
        <v>Enfermeiro padrão</v>
      </c>
      <c r="P921" s="138" t="str">
        <f ca="1">IF(NOT(ISERROR($Y921)),IF($Y921&lt;&gt;FALSE,INDEX(Banco,$Y921,6),""),"")</f>
        <v>Unidade</v>
      </c>
      <c r="Q921" s="134">
        <v>4</v>
      </c>
      <c r="R921" s="124">
        <f ca="1">IF(NOT(ISERROR($Y921)),IF($Y921&lt;&gt;FALSE,INDEX(Banco,$Y921,7),0),0)</f>
        <v>123.02</v>
      </c>
      <c r="S921" s="136" t="s">
        <v>62</v>
      </c>
      <c r="T921" s="123">
        <f ca="1">IF($J921=$G$2,ROUND(ROUND($R921,2)*IF($R$9="Preço Unitário (R$)",1,1+$AA921),2),0)</f>
        <v>153.78</v>
      </c>
      <c r="U921" s="126">
        <f ca="1">IF($A921="S",VTOTAL1,IF($A921=0,0,ROUND(SomaAgrup,2)))</f>
        <v>615.12</v>
      </c>
      <c r="V921" s="1"/>
      <c r="W921" s="39" t="str">
        <f ca="1">IF(OR($A921=0,$A921="S",$A921&gt;CFF!$A$9),"",MAX(W$11:OFFSET(W921,-1,0))+1)</f>
        <v/>
      </c>
      <c r="X921" s="4" t="str">
        <f>IF(AND($J921=$G$2,$N921&lt;&gt;"",$M921&lt;&gt;""),CONCATENATE($M921,"-",$N921))</f>
        <v>Serv. Terc.-080</v>
      </c>
      <c r="Y921" s="39">
        <f ca="1">IF(X921&lt;&gt;FALSE,MATCH(X921,OFFSET(Banco,0,0,,1),0))</f>
        <v>160</v>
      </c>
      <c r="Z921" s="1"/>
      <c r="AA921" s="133">
        <f>IF($J921=$G$2,ROUND(IF(ISNUMBER(S921),S921,IF(LEFT(S921,2)="DI",HLOOKUP(S921,DADOS!$T$29:$X$30,2,FALSE),0)),4),"")</f>
        <v>0.25</v>
      </c>
      <c r="AB921" s="2"/>
    </row>
    <row r="922" spans="1:28">
      <c r="A922" t="str">
        <f t="shared" si="1167"/>
        <v>S</v>
      </c>
      <c r="B922">
        <f t="shared" si="1168"/>
        <v>0</v>
      </c>
      <c r="C922">
        <f t="shared" ca="1" si="1156"/>
        <v>10</v>
      </c>
      <c r="D922">
        <f t="shared" ca="1" si="1157"/>
        <v>7</v>
      </c>
      <c r="E922">
        <f t="shared" ca="1" si="1158"/>
        <v>0</v>
      </c>
      <c r="F922">
        <f t="shared" ca="1" si="1159"/>
        <v>0</v>
      </c>
      <c r="G922">
        <f t="shared" ca="1" si="1160"/>
        <v>16</v>
      </c>
      <c r="H922">
        <f ca="1">IF(OR($A922="S",$A922=0),0,MATCH(0,OFFSET($B922,1,$A922,ROW($A$1504)-ROW($A922)),0))</f>
        <v>0</v>
      </c>
      <c r="I922">
        <f ca="1">IF(OR($A922="S",$A922=0),0,MATCH(OFFSET($B922,0,$A922)+1,OFFSET($B922,1,$A922,ROW($A$1504)-ROW($A922)),0))</f>
        <v>0</v>
      </c>
      <c r="J922" s="132" t="s">
        <v>29</v>
      </c>
      <c r="K922" s="121" t="str">
        <f t="shared" ca="1" si="1169"/>
        <v>10.7.16.</v>
      </c>
      <c r="L922" s="137" t="str">
        <f t="shared" ca="1" si="1161"/>
        <v>Cotação</v>
      </c>
      <c r="M922" s="122" t="s">
        <v>79</v>
      </c>
      <c r="N922" s="139" t="s">
        <v>163</v>
      </c>
      <c r="O922" s="137" t="str">
        <f t="shared" ca="1" si="1154"/>
        <v>Guloseimas (balas e pirulito)</v>
      </c>
      <c r="P922" s="138" t="str">
        <f t="shared" ca="1" si="1162"/>
        <v>Pacote</v>
      </c>
      <c r="Q922" s="134">
        <v>4</v>
      </c>
      <c r="R922" s="124">
        <f t="shared" ca="1" si="1163"/>
        <v>12</v>
      </c>
      <c r="S922" s="136" t="s">
        <v>62</v>
      </c>
      <c r="T922" s="123">
        <f t="shared" ca="1" si="1164"/>
        <v>15</v>
      </c>
      <c r="U922" s="126">
        <f t="shared" ca="1" si="1165"/>
        <v>60</v>
      </c>
      <c r="V922" s="1"/>
      <c r="W922" s="39" t="str">
        <f ca="1">IF(OR($A922=0,$A922="S",$A922&gt;CFF!$A$9),"",MAX(W$11:OFFSET(W922,-1,0))+1)</f>
        <v/>
      </c>
      <c r="X922" s="4" t="str">
        <f t="shared" si="1166"/>
        <v>Rec. Materiais-020</v>
      </c>
      <c r="Y922" s="39">
        <f t="shared" ca="1" si="1170"/>
        <v>29</v>
      </c>
      <c r="Z922" s="1"/>
      <c r="AA922" s="133">
        <f>IF($J922=$G$2,ROUND(IF(ISNUMBER(S922),S922,IF(LEFT(S922,2)="DI",HLOOKUP(S922,DADOS!$T$29:$X$30,2,FALSE),0)),4),"")</f>
        <v>0.25</v>
      </c>
      <c r="AB922" s="2"/>
    </row>
    <row r="923" spans="1:28">
      <c r="A923" t="str">
        <f t="shared" si="1167"/>
        <v>S</v>
      </c>
      <c r="B923">
        <f t="shared" si="1168"/>
        <v>0</v>
      </c>
      <c r="C923">
        <f t="shared" ca="1" si="1156"/>
        <v>10</v>
      </c>
      <c r="D923">
        <f t="shared" ca="1" si="1157"/>
        <v>7</v>
      </c>
      <c r="E923">
        <f t="shared" ca="1" si="1158"/>
        <v>0</v>
      </c>
      <c r="F923">
        <f t="shared" ca="1" si="1159"/>
        <v>0</v>
      </c>
      <c r="G923">
        <f t="shared" ca="1" si="1160"/>
        <v>17</v>
      </c>
      <c r="H923">
        <f ca="1">IF(OR($A923="S",$A923=0),0,MATCH(0,OFFSET($B923,1,$A923,ROW($A$1504)-ROW($A923)),0))</f>
        <v>0</v>
      </c>
      <c r="I923">
        <f ca="1">IF(OR($A923="S",$A923=0),0,MATCH(OFFSET($B923,0,$A923)+1,OFFSET($B923,1,$A923,ROW($A$1504)-ROW($A923)),0))</f>
        <v>0</v>
      </c>
      <c r="J923" s="132" t="s">
        <v>29</v>
      </c>
      <c r="K923" s="121" t="str">
        <f t="shared" ca="1" si="1169"/>
        <v>10.7.17.</v>
      </c>
      <c r="L923" s="137" t="str">
        <f t="shared" ca="1" si="1161"/>
        <v>Cotação</v>
      </c>
      <c r="M923" s="122" t="s">
        <v>79</v>
      </c>
      <c r="N923" s="139" t="s">
        <v>165</v>
      </c>
      <c r="O923" s="137" t="str">
        <f t="shared" ca="1" si="1154"/>
        <v>Papel de presente</v>
      </c>
      <c r="P923" s="138" t="str">
        <f t="shared" ca="1" si="1162"/>
        <v>Folhas</v>
      </c>
      <c r="Q923" s="134">
        <v>8</v>
      </c>
      <c r="R923" s="124">
        <f t="shared" ca="1" si="1163"/>
        <v>1.5</v>
      </c>
      <c r="S923" s="136" t="s">
        <v>62</v>
      </c>
      <c r="T923" s="123">
        <f t="shared" ca="1" si="1164"/>
        <v>1.88</v>
      </c>
      <c r="U923" s="126">
        <f t="shared" ca="1" si="1165"/>
        <v>15.04</v>
      </c>
      <c r="V923" s="1"/>
      <c r="W923" s="39" t="str">
        <f ca="1">IF(OR($A923=0,$A923="S",$A923&gt;CFF!$A$9),"",MAX(W$11:OFFSET(W923,-1,0))+1)</f>
        <v/>
      </c>
      <c r="X923" s="4" t="str">
        <f t="shared" si="1166"/>
        <v>Rec. Materiais-021</v>
      </c>
      <c r="Y923" s="39">
        <f t="shared" ca="1" si="1170"/>
        <v>30</v>
      </c>
      <c r="Z923" s="1"/>
      <c r="AA923" s="133">
        <f>IF($J923=$G$2,ROUND(IF(ISNUMBER(S923),S923,IF(LEFT(S923,2)="DI",HLOOKUP(S923,DADOS!$T$29:$X$30,2,FALSE),0)),4),"")</f>
        <v>0.25</v>
      </c>
      <c r="AB923" s="2"/>
    </row>
    <row r="924" spans="1:28">
      <c r="A924" t="str">
        <f t="shared" si="1167"/>
        <v>S</v>
      </c>
      <c r="B924">
        <f t="shared" si="1168"/>
        <v>0</v>
      </c>
      <c r="C924">
        <f t="shared" ca="1" si="1156"/>
        <v>10</v>
      </c>
      <c r="D924">
        <f t="shared" ca="1" si="1157"/>
        <v>7</v>
      </c>
      <c r="E924">
        <f t="shared" ca="1" si="1158"/>
        <v>0</v>
      </c>
      <c r="F924">
        <f t="shared" ca="1" si="1159"/>
        <v>0</v>
      </c>
      <c r="G924">
        <f t="shared" ca="1" si="1160"/>
        <v>18</v>
      </c>
      <c r="H924">
        <f ca="1">IF(OR($A924="S",$A924=0),0,MATCH(0,OFFSET($B924,1,$A924,ROW($A$1504)-ROW($A924)),0))</f>
        <v>0</v>
      </c>
      <c r="I924">
        <f ca="1">IF(OR($A924="S",$A924=0),0,MATCH(OFFSET($B924,0,$A924)+1,OFFSET($B924,1,$A924,ROW($A$1504)-ROW($A924)),0))</f>
        <v>0</v>
      </c>
      <c r="J924" s="132" t="s">
        <v>29</v>
      </c>
      <c r="K924" s="121" t="str">
        <f t="shared" ca="1" si="1169"/>
        <v>10.7.18.</v>
      </c>
      <c r="L924" s="137" t="str">
        <f t="shared" ca="1" si="1161"/>
        <v>Cotação</v>
      </c>
      <c r="M924" s="122" t="s">
        <v>79</v>
      </c>
      <c r="N924" s="139" t="s">
        <v>170</v>
      </c>
      <c r="O924" s="137" t="str">
        <f t="shared" ca="1" si="1154"/>
        <v>Saco de lixo (100 litros)</v>
      </c>
      <c r="P924" s="138" t="str">
        <f t="shared" ca="1" si="1162"/>
        <v>Pacote</v>
      </c>
      <c r="Q924" s="134">
        <v>2</v>
      </c>
      <c r="R924" s="124">
        <f t="shared" ca="1" si="1163"/>
        <v>15</v>
      </c>
      <c r="S924" s="136" t="s">
        <v>62</v>
      </c>
      <c r="T924" s="123">
        <f t="shared" ca="1" si="1164"/>
        <v>18.75</v>
      </c>
      <c r="U924" s="126">
        <f t="shared" ca="1" si="1165"/>
        <v>37.5</v>
      </c>
      <c r="V924" s="1"/>
      <c r="W924" s="39" t="str">
        <f ca="1">IF(OR($A924=0,$A924="S",$A924&gt;CFF!$A$9),"",MAX(W$11:OFFSET(W924,-1,0))+1)</f>
        <v/>
      </c>
      <c r="X924" s="4" t="str">
        <f t="shared" si="1166"/>
        <v>Rec. Materiais-026</v>
      </c>
      <c r="Y924" s="39">
        <f t="shared" ca="1" si="1170"/>
        <v>35</v>
      </c>
      <c r="Z924" s="1"/>
      <c r="AA924" s="133">
        <f>IF($J924=$G$2,ROUND(IF(ISNUMBER(S924),S924,IF(LEFT(S924,2)="DI",HLOOKUP(S924,DADOS!$T$29:$X$30,2,FALSE),0)),4),"")</f>
        <v>0.25</v>
      </c>
      <c r="AB924" s="2"/>
    </row>
    <row r="925" spans="1:28" ht="25.5">
      <c r="A925">
        <f>CHOOSE(1+LOG(1+2*(J925=$C$2)+4*(J925=$D$2)+8*(J925=$E$2)+16*(J925=$F$2)+32*(J925=$G$2),2),0,1,2,3,4,"S")</f>
        <v>2</v>
      </c>
      <c r="B925">
        <f ca="1">IF(OR(A925="S",A925=0),0,IF(ISERROR(I925),H925,SMALL(H925:I925,1)))</f>
        <v>19</v>
      </c>
      <c r="C925">
        <f ca="1">IF($A925=1,OFFSET(C925,-1,0)+1,OFFSET(C925,-1,0))</f>
        <v>10</v>
      </c>
      <c r="D925">
        <f ca="1">IF($A925=1,0,IF($A925=2,OFFSET(D925,-1,0)+1,OFFSET(D925,-1,0)))</f>
        <v>8</v>
      </c>
      <c r="E925">
        <f ca="1">IF(AND($A925&lt;=2,$A925&lt;&gt;0),0,IF($A925=3,OFFSET(E925,-1,0)+1,OFFSET(E925,-1,0)))</f>
        <v>0</v>
      </c>
      <c r="F925">
        <f ca="1">IF(AND($A925&lt;=3,$A925&lt;&gt;0),0,IF($A925=4,OFFSET(F925,-1,0)+1,OFFSET(F925,-1,0)))</f>
        <v>0</v>
      </c>
      <c r="G925">
        <f ca="1">IF(AND($A925&lt;=4,$A925&lt;&gt;0),0,IF($A925="S",OFFSET(G925,-1,0)+1,OFFSET(G925,-1,0)))</f>
        <v>0</v>
      </c>
      <c r="H925">
        <f ca="1">IF(OR($A925="S",$A925=0),0,MATCH(0,OFFSET($B925,1,$A925,ROW($A$1504)-ROW($A925)),0))</f>
        <v>19</v>
      </c>
      <c r="I925" t="e">
        <f ca="1">IF(OR($A925="S",$A925=0),0,MATCH(OFFSET($B925,0,$A925)+1,OFFSET($B925,1,$A925,ROW($A$1504)-ROW($A925)),0))</f>
        <v>#N/A</v>
      </c>
      <c r="J925" s="132" t="s">
        <v>68</v>
      </c>
      <c r="K925" s="121" t="str">
        <f ca="1">IF($A925=0,"-",CONCATENATE(C925&amp;".",IF(AND($A$5&gt;=2,$A925&gt;=2),D925&amp;".",""),IF(AND($A$5&gt;=3,$A925&gt;=3),E925&amp;".",""),IF(AND($A$5&gt;=4,$A925&gt;=4),F925&amp;".",""),IF($A925="S",G925&amp;".","")))</f>
        <v>10.8.</v>
      </c>
      <c r="L925" s="137" t="str">
        <f ca="1">IF(NOT(ISERROR($Y925)),IF($Y925&lt;&gt;FALSE,INDEX(Banco,$Y925,4),""),"")</f>
        <v/>
      </c>
      <c r="M925" s="122"/>
      <c r="N925" s="139"/>
      <c r="O925" s="137" t="s">
        <v>418</v>
      </c>
      <c r="P925" s="138" t="str">
        <f ca="1">IF(NOT(ISERROR($Y925)),IF($Y925&lt;&gt;FALSE,INDEX(Banco,$Y925,6),""),"")</f>
        <v/>
      </c>
      <c r="Q925" s="134"/>
      <c r="R925" s="124">
        <f ca="1">IF(NOT(ISERROR($Y925)),IF($Y925&lt;&gt;FALSE,INDEX(Banco,$Y925,7),0),0)</f>
        <v>0</v>
      </c>
      <c r="S925" s="136" t="s">
        <v>62</v>
      </c>
      <c r="T925" s="123">
        <f>IF($J925=$G$2,ROUND(ROUND($R925,2)*IF($R$9="Preço Unitário (R$)",1,1+$AA925),2),0)</f>
        <v>0</v>
      </c>
      <c r="U925" s="126">
        <f ca="1">IF($A925="S",VTOTAL1,IF($A925=0,0,ROUND(SomaAgrup,2)))</f>
        <v>7121.19</v>
      </c>
      <c r="V925" s="1"/>
      <c r="W925" s="39">
        <f ca="1">IF(OR($A925=0,$A925="S",$A925&gt;CFF!$A$9),"",MAX(W$11:OFFSET(W925,-1,0))+1)</f>
        <v>81</v>
      </c>
      <c r="X925" s="4" t="b">
        <f>IF(AND($J925=$G$2,$N925&lt;&gt;"",$M925&lt;&gt;""),CONCATENATE($M925,"-",$N925))</f>
        <v>0</v>
      </c>
      <c r="Y925" s="39" t="b">
        <f ca="1">IF(X925&lt;&gt;FALSE,MATCH(X925,OFFSET(Banco,0,0,,1),0))</f>
        <v>0</v>
      </c>
      <c r="Z925" s="1"/>
      <c r="AA925" s="133" t="str">
        <f>IF($J925=$G$2,ROUND(IF(ISNUMBER(S925),S925,IF(LEFT(S925,2)="DI",HLOOKUP(S925,DADOS!$T$29:$X$30,2,FALSE),0)),4),"")</f>
        <v/>
      </c>
      <c r="AB925" s="2"/>
    </row>
    <row r="926" spans="1:28">
      <c r="A926" t="str">
        <f t="shared" ref="A926:A931" si="1171">CHOOSE(1+LOG(1+2*(J926=$C$2)+4*(J926=$D$2)+8*(J926=$E$2)+16*(J926=$F$2)+32*(J926=$G$2),2),0,1,2,3,4,"S")</f>
        <v>S</v>
      </c>
      <c r="B926">
        <f t="shared" ref="B926:B931" si="1172">IF(OR(A926="S",A926=0),0,IF(ISERROR(I926),H926,SMALL(H926:I926,1)))</f>
        <v>0</v>
      </c>
      <c r="C926">
        <f t="shared" ref="C926:C933" ca="1" si="1173">IF($A926=1,OFFSET(C926,-1,0)+1,OFFSET(C926,-1,0))</f>
        <v>10</v>
      </c>
      <c r="D926">
        <f t="shared" ref="D926:D933" ca="1" si="1174">IF($A926=1,0,IF($A926=2,OFFSET(D926,-1,0)+1,OFFSET(D926,-1,0)))</f>
        <v>8</v>
      </c>
      <c r="E926">
        <f t="shared" ref="E926:E933" ca="1" si="1175">IF(AND($A926&lt;=2,$A926&lt;&gt;0),0,IF($A926=3,OFFSET(E926,-1,0)+1,OFFSET(E926,-1,0)))</f>
        <v>0</v>
      </c>
      <c r="F926">
        <f t="shared" ref="F926:F933" ca="1" si="1176">IF(AND($A926&lt;=3,$A926&lt;&gt;0),0,IF($A926=4,OFFSET(F926,-1,0)+1,OFFSET(F926,-1,0)))</f>
        <v>0</v>
      </c>
      <c r="G926">
        <f t="shared" ref="G926:G933" ca="1" si="1177">IF(AND($A926&lt;=4,$A926&lt;&gt;0),0,IF($A926="S",OFFSET(G926,-1,0)+1,OFFSET(G926,-1,0)))</f>
        <v>1</v>
      </c>
      <c r="H926">
        <f ca="1">IF(OR($A926="S",$A926=0),0,MATCH(0,OFFSET($B926,1,$A926,ROW($A$1504)-ROW($A926)),0))</f>
        <v>0</v>
      </c>
      <c r="I926">
        <f ca="1">IF(OR($A926="S",$A926=0),0,MATCH(OFFSET($B926,0,$A926)+1,OFFSET($B926,1,$A926,ROW($A$1504)-ROW($A926)),0))</f>
        <v>0</v>
      </c>
      <c r="J926" s="132" t="s">
        <v>29</v>
      </c>
      <c r="K926" s="121" t="str">
        <f t="shared" ref="K926:K931" ca="1" si="1178">IF($A926=0,"-",CONCATENATE(C926&amp;".",IF(AND($A$5&gt;=2,$A926&gt;=2),D926&amp;".",""),IF(AND($A$5&gt;=3,$A926&gt;=3),E926&amp;".",""),IF(AND($A$5&gt;=4,$A926&gt;=4),F926&amp;".",""),IF($A926="S",G926&amp;".","")))</f>
        <v>10.8.1.</v>
      </c>
      <c r="L926" s="137" t="str">
        <f t="shared" ref="L926:L933" ca="1" si="1179">IF(NOT(ISERROR($Y926)),IF($Y926&lt;&gt;FALSE,INDEX(Banco,$Y926,4),""),"")</f>
        <v>CRESS</v>
      </c>
      <c r="M926" s="122" t="s">
        <v>78</v>
      </c>
      <c r="N926" s="139" t="s">
        <v>149</v>
      </c>
      <c r="O926" s="137" t="str">
        <f ca="1">IF(NOT(ISERROR($Y926)),IF($Y926&lt;&gt;FALSE,INDEX(Banco,$Y926,5),""),"")</f>
        <v>Responsável Técnica</v>
      </c>
      <c r="P926" s="138" t="str">
        <f t="shared" ref="P926:P933" ca="1" si="1180">IF(NOT(ISERROR($Y926)),IF($Y926&lt;&gt;FALSE,INDEX(Banco,$Y926,6),""),"")</f>
        <v>Horas</v>
      </c>
      <c r="Q926" s="134">
        <v>6</v>
      </c>
      <c r="R926" s="124">
        <f t="shared" ref="R926:R933" ca="1" si="1181">IF(NOT(ISERROR($Y926)),IF($Y926&lt;&gt;FALSE,INDEX(Banco,$Y926,7),0),0)</f>
        <v>150.28</v>
      </c>
      <c r="S926" s="136" t="s">
        <v>62</v>
      </c>
      <c r="T926" s="123">
        <f t="shared" ref="T926:T933" ca="1" si="1182">IF($J926=$G$2,ROUND(ROUND($R926,2)*IF($R$9="Preço Unitário (R$)",1,1+$AA926),2),0)</f>
        <v>187.85</v>
      </c>
      <c r="U926" s="126">
        <f t="shared" ref="U926:U933" ca="1" si="1183">IF($A926="S",VTOTAL1,IF($A926=0,0,ROUND(SomaAgrup,2)))</f>
        <v>1127.0999999999999</v>
      </c>
      <c r="V926" s="1"/>
      <c r="W926" s="39" t="str">
        <f ca="1">IF(OR($A926=0,$A926="S",$A926&gt;CFF!$A$9),"",MAX(W$11:OFFSET(W926,-1,0))+1)</f>
        <v/>
      </c>
      <c r="X926" s="4" t="str">
        <f t="shared" ref="X926:X933" si="1184">IF(AND($J926=$G$2,$N926&lt;&gt;"",$M926&lt;&gt;""),CONCATENATE($M926,"-",$N926))</f>
        <v>Rec. Humanos-001</v>
      </c>
      <c r="Y926" s="39">
        <f t="shared" ref="Y926:Y931" ca="1" si="1185">IF(X926&lt;&gt;FALSE,MATCH(X926,OFFSET(Banco,0,0,,1),0))</f>
        <v>3</v>
      </c>
      <c r="Z926" s="1"/>
      <c r="AA926" s="133">
        <f>IF($J926=$G$2,ROUND(IF(ISNUMBER(S926),S926,IF(LEFT(S926,2)="DI",HLOOKUP(S926,DADOS!$T$29:$X$30,2,FALSE),0)),4),"")</f>
        <v>0.25</v>
      </c>
      <c r="AB926" s="2"/>
    </row>
    <row r="927" spans="1:28">
      <c r="A927" t="str">
        <f t="shared" si="1171"/>
        <v>S</v>
      </c>
      <c r="B927">
        <f t="shared" si="1172"/>
        <v>0</v>
      </c>
      <c r="C927">
        <f t="shared" ca="1" si="1173"/>
        <v>10</v>
      </c>
      <c r="D927">
        <f t="shared" ca="1" si="1174"/>
        <v>8</v>
      </c>
      <c r="E927">
        <f t="shared" ca="1" si="1175"/>
        <v>0</v>
      </c>
      <c r="F927">
        <f t="shared" ca="1" si="1176"/>
        <v>0</v>
      </c>
      <c r="G927">
        <f t="shared" ca="1" si="1177"/>
        <v>2</v>
      </c>
      <c r="H927">
        <f ca="1">IF(OR($A927="S",$A927=0),0,MATCH(0,OFFSET($B927,1,$A927,ROW($A$1504)-ROW($A927)),0))</f>
        <v>0</v>
      </c>
      <c r="I927">
        <f ca="1">IF(OR($A927="S",$A927=0),0,MATCH(OFFSET($B927,0,$A927)+1,OFFSET($B927,1,$A927,ROW($A$1504)-ROW($A927)),0))</f>
        <v>0</v>
      </c>
      <c r="J927" s="132" t="s">
        <v>29</v>
      </c>
      <c r="K927" s="121" t="str">
        <f t="shared" ca="1" si="1178"/>
        <v>10.8.2.</v>
      </c>
      <c r="L927" s="137" t="str">
        <f t="shared" ca="1" si="1179"/>
        <v>CRESS</v>
      </c>
      <c r="M927" s="122" t="s">
        <v>78</v>
      </c>
      <c r="N927" s="139" t="s">
        <v>152</v>
      </c>
      <c r="O927" s="137" t="str">
        <f ca="1">IF(NOT(ISERROR($Y927)),IF($Y927&lt;&gt;FALSE,INDEX(Banco,$Y927,5),""),"")</f>
        <v>Assistente Social</v>
      </c>
      <c r="P927" s="138" t="str">
        <f t="shared" ca="1" si="1180"/>
        <v>Horas</v>
      </c>
      <c r="Q927" s="134">
        <v>4</v>
      </c>
      <c r="R927" s="124">
        <f t="shared" ca="1" si="1181"/>
        <v>133.81</v>
      </c>
      <c r="S927" s="136" t="s">
        <v>62</v>
      </c>
      <c r="T927" s="123">
        <f t="shared" ca="1" si="1182"/>
        <v>167.26</v>
      </c>
      <c r="U927" s="126">
        <f t="shared" ca="1" si="1183"/>
        <v>669.04</v>
      </c>
      <c r="V927" s="1"/>
      <c r="W927" s="39" t="str">
        <f ca="1">IF(OR($A927=0,$A927="S",$A927&gt;CFF!$A$9),"",MAX(W$11:OFFSET(W927,-1,0))+1)</f>
        <v/>
      </c>
      <c r="X927" s="4" t="str">
        <f t="shared" si="1184"/>
        <v>Rec. Humanos-002</v>
      </c>
      <c r="Y927" s="39">
        <f t="shared" ca="1" si="1185"/>
        <v>4</v>
      </c>
      <c r="Z927" s="1"/>
      <c r="AA927" s="133">
        <f>IF($J927=$G$2,ROUND(IF(ISNUMBER(S927),S927,IF(LEFT(S927,2)="DI",HLOOKUP(S927,DADOS!$T$29:$X$30,2,FALSE),0)),4),"")</f>
        <v>0.25</v>
      </c>
      <c r="AB927" s="2"/>
    </row>
    <row r="928" spans="1:28">
      <c r="A928" t="str">
        <f t="shared" si="1171"/>
        <v>S</v>
      </c>
      <c r="B928">
        <f t="shared" si="1172"/>
        <v>0</v>
      </c>
      <c r="C928">
        <f t="shared" ca="1" si="1173"/>
        <v>10</v>
      </c>
      <c r="D928">
        <f t="shared" ca="1" si="1174"/>
        <v>8</v>
      </c>
      <c r="E928">
        <f t="shared" ca="1" si="1175"/>
        <v>0</v>
      </c>
      <c r="F928">
        <f t="shared" ca="1" si="1176"/>
        <v>0</v>
      </c>
      <c r="G928">
        <f t="shared" ca="1" si="1177"/>
        <v>3</v>
      </c>
      <c r="H928">
        <f ca="1">IF(OR($A928="S",$A928=0),0,MATCH(0,OFFSET($B928,1,$A928,ROW($A$1504)-ROW($A928)),0))</f>
        <v>0</v>
      </c>
      <c r="I928">
        <f ca="1">IF(OR($A928="S",$A928=0),0,MATCH(OFFSET($B928,0,$A928)+1,OFFSET($B928,1,$A928,ROW($A$1504)-ROW($A928)),0))</f>
        <v>0</v>
      </c>
      <c r="J928" s="132" t="s">
        <v>29</v>
      </c>
      <c r="K928" s="121" t="str">
        <f t="shared" ca="1" si="1178"/>
        <v>10.8.3.</v>
      </c>
      <c r="L928" s="137" t="str">
        <f t="shared" ca="1" si="1179"/>
        <v>Cotação</v>
      </c>
      <c r="M928" s="122" t="s">
        <v>78</v>
      </c>
      <c r="N928" s="139" t="s">
        <v>151</v>
      </c>
      <c r="O928" s="137" t="str">
        <f ca="1">IF(NOT(ISERROR($Y928)),IF($Y928&lt;&gt;FALSE,INDEX(Banco,$Y928,5),""),"")</f>
        <v xml:space="preserve">Administrador (Técnico de Apoio) </v>
      </c>
      <c r="P928" s="138" t="str">
        <f t="shared" ca="1" si="1180"/>
        <v>Horas</v>
      </c>
      <c r="Q928" s="134">
        <v>4</v>
      </c>
      <c r="R928" s="124">
        <f t="shared" ca="1" si="1181"/>
        <v>103.65</v>
      </c>
      <c r="S928" s="136" t="s">
        <v>62</v>
      </c>
      <c r="T928" s="123">
        <f t="shared" ca="1" si="1182"/>
        <v>129.56</v>
      </c>
      <c r="U928" s="126">
        <f t="shared" ca="1" si="1183"/>
        <v>518.24</v>
      </c>
      <c r="V928" s="1"/>
      <c r="W928" s="39" t="str">
        <f ca="1">IF(OR($A928=0,$A928="S",$A928&gt;CFF!$A$9),"",MAX(W$11:OFFSET(W928,-1,0))+1)</f>
        <v/>
      </c>
      <c r="X928" s="4" t="str">
        <f t="shared" si="1184"/>
        <v>Rec. Humanos-003</v>
      </c>
      <c r="Y928" s="39">
        <f t="shared" ca="1" si="1185"/>
        <v>5</v>
      </c>
      <c r="Z928" s="1"/>
      <c r="AA928" s="133">
        <f>IF($J928=$G$2,ROUND(IF(ISNUMBER(S928),S928,IF(LEFT(S928,2)="DI",HLOOKUP(S928,DADOS!$T$29:$X$30,2,FALSE),0)),4),"")</f>
        <v>0.25</v>
      </c>
      <c r="AB928" s="2"/>
    </row>
    <row r="929" spans="1:28">
      <c r="A929" t="str">
        <f t="shared" si="1171"/>
        <v>S</v>
      </c>
      <c r="B929">
        <f t="shared" si="1172"/>
        <v>0</v>
      </c>
      <c r="C929">
        <f t="shared" ca="1" si="1173"/>
        <v>10</v>
      </c>
      <c r="D929">
        <f t="shared" ca="1" si="1174"/>
        <v>8</v>
      </c>
      <c r="E929">
        <f t="shared" ca="1" si="1175"/>
        <v>0</v>
      </c>
      <c r="F929">
        <f t="shared" ca="1" si="1176"/>
        <v>0</v>
      </c>
      <c r="G929">
        <f t="shared" ca="1" si="1177"/>
        <v>4</v>
      </c>
      <c r="H929">
        <f ca="1">IF(OR($A929="S",$A929=0),0,MATCH(0,OFFSET($B929,1,$A929,ROW($A$1504)-ROW($A929)),0))</f>
        <v>0</v>
      </c>
      <c r="I929">
        <f ca="1">IF(OR($A929="S",$A929=0),0,MATCH(OFFSET($B929,0,$A929)+1,OFFSET($B929,1,$A929,ROW($A$1504)-ROW($A929)),0))</f>
        <v>0</v>
      </c>
      <c r="J929" s="132" t="s">
        <v>29</v>
      </c>
      <c r="K929" s="121" t="str">
        <f t="shared" ca="1" si="1178"/>
        <v>10.8.4.</v>
      </c>
      <c r="L929" s="137" t="str">
        <f t="shared" ca="1" si="1179"/>
        <v>SINE</v>
      </c>
      <c r="M929" s="122" t="s">
        <v>78</v>
      </c>
      <c r="N929" s="139" t="s">
        <v>153</v>
      </c>
      <c r="O929" s="137" t="str">
        <f ca="1">IF(NOT(ISERROR($Y929)),IF($Y929&lt;&gt;FALSE,INDEX(Banco,$Y929,5),""),"")</f>
        <v>Estagiários</v>
      </c>
      <c r="P929" s="138" t="str">
        <f t="shared" ca="1" si="1180"/>
        <v>Horas</v>
      </c>
      <c r="Q929" s="134">
        <v>10</v>
      </c>
      <c r="R929" s="124">
        <f t="shared" ca="1" si="1181"/>
        <v>9.7899999999999991</v>
      </c>
      <c r="S929" s="136" t="s">
        <v>62</v>
      </c>
      <c r="T929" s="123">
        <f t="shared" ca="1" si="1182"/>
        <v>12.24</v>
      </c>
      <c r="U929" s="126">
        <f t="shared" ca="1" si="1183"/>
        <v>122.4</v>
      </c>
      <c r="V929" s="1"/>
      <c r="W929" s="39" t="str">
        <f ca="1">IF(OR($A929=0,$A929="S",$A929&gt;CFF!$A$9),"",MAX(W$11:OFFSET(W929,-1,0))+1)</f>
        <v/>
      </c>
      <c r="X929" s="4" t="str">
        <f t="shared" si="1184"/>
        <v>Rec. Humanos-004</v>
      </c>
      <c r="Y929" s="39">
        <f t="shared" ca="1" si="1185"/>
        <v>6</v>
      </c>
      <c r="Z929" s="1"/>
      <c r="AA929" s="133">
        <f>IF($J929=$G$2,ROUND(IF(ISNUMBER(S929),S929,IF(LEFT(S929,2)="DI",HLOOKUP(S929,DADOS!$T$29:$X$30,2,FALSE),0)),4),"")</f>
        <v>0.25</v>
      </c>
      <c r="AB929" s="2"/>
    </row>
    <row r="930" spans="1:28">
      <c r="A930" t="str">
        <f t="shared" si="1171"/>
        <v>S</v>
      </c>
      <c r="B930">
        <f t="shared" si="1172"/>
        <v>0</v>
      </c>
      <c r="C930">
        <f t="shared" ca="1" si="1173"/>
        <v>10</v>
      </c>
      <c r="D930">
        <f t="shared" ca="1" si="1174"/>
        <v>8</v>
      </c>
      <c r="E930">
        <f t="shared" ca="1" si="1175"/>
        <v>0</v>
      </c>
      <c r="F930">
        <f t="shared" ca="1" si="1176"/>
        <v>0</v>
      </c>
      <c r="G930">
        <f t="shared" ca="1" si="1177"/>
        <v>5</v>
      </c>
      <c r="H930">
        <f ca="1">IF(OR($A930="S",$A930=0),0,MATCH(0,OFFSET($B930,1,$A930,ROW($A$1504)-ROW($A930)),0))</f>
        <v>0</v>
      </c>
      <c r="I930">
        <f ca="1">IF(OR($A930="S",$A930=0),0,MATCH(OFFSET($B930,0,$A930)+1,OFFSET($B930,1,$A930,ROW($A$1504)-ROW($A930)),0))</f>
        <v>0</v>
      </c>
      <c r="J930" s="132" t="s">
        <v>29</v>
      </c>
      <c r="K930" s="121" t="str">
        <f t="shared" ca="1" si="1178"/>
        <v>10.8.5.</v>
      </c>
      <c r="L930" s="137" t="str">
        <f t="shared" ca="1" si="1179"/>
        <v>Cotação</v>
      </c>
      <c r="M930" s="122" t="s">
        <v>80</v>
      </c>
      <c r="N930" s="139" t="s">
        <v>149</v>
      </c>
      <c r="O930" s="137" t="str">
        <f t="shared" ref="O930:O943" ca="1" si="1186">IF(NOT(ISERROR($Y930)),IF($Y930&lt;&gt;FALSE,INDEX(Banco,$Y930,5),""),"")</f>
        <v>Fotocópias</v>
      </c>
      <c r="P930" s="138" t="str">
        <f t="shared" ca="1" si="1180"/>
        <v>Unidade</v>
      </c>
      <c r="Q930" s="134">
        <v>150</v>
      </c>
      <c r="R930" s="124">
        <f t="shared" ca="1" si="1181"/>
        <v>0.3</v>
      </c>
      <c r="S930" s="136" t="s">
        <v>62</v>
      </c>
      <c r="T930" s="123">
        <f t="shared" ca="1" si="1182"/>
        <v>0.38</v>
      </c>
      <c r="U930" s="126">
        <f t="shared" ca="1" si="1183"/>
        <v>57</v>
      </c>
      <c r="V930" s="1"/>
      <c r="W930" s="39" t="str">
        <f ca="1">IF(OR($A930=0,$A930="S",$A930&gt;CFF!$A$9),"",MAX(W$11:OFFSET(W930,-1,0))+1)</f>
        <v/>
      </c>
      <c r="X930" s="4" t="str">
        <f t="shared" si="1184"/>
        <v>Serv. Terc.-001</v>
      </c>
      <c r="Y930" s="39">
        <f t="shared" ca="1" si="1185"/>
        <v>81</v>
      </c>
      <c r="Z930" s="1"/>
      <c r="AA930" s="133">
        <f>IF($J930=$G$2,ROUND(IF(ISNUMBER(S930),S930,IF(LEFT(S930,2)="DI",HLOOKUP(S930,DADOS!$T$29:$X$30,2,FALSE),0)),4),"")</f>
        <v>0.25</v>
      </c>
      <c r="AB930" s="2"/>
    </row>
    <row r="931" spans="1:28">
      <c r="A931" t="str">
        <f t="shared" si="1171"/>
        <v>S</v>
      </c>
      <c r="B931">
        <f t="shared" si="1172"/>
        <v>0</v>
      </c>
      <c r="C931">
        <f ca="1">IF($A931=1,OFFSET(C931,-1,0)+1,OFFSET(C931,-1,0))</f>
        <v>10</v>
      </c>
      <c r="D931">
        <f ca="1">IF($A931=1,0,IF($A931=2,OFFSET(D931,-1,0)+1,OFFSET(D931,-1,0)))</f>
        <v>8</v>
      </c>
      <c r="E931">
        <f ca="1">IF(AND($A931&lt;=2,$A931&lt;&gt;0),0,IF($A931=3,OFFSET(E931,-1,0)+1,OFFSET(E931,-1,0)))</f>
        <v>0</v>
      </c>
      <c r="F931">
        <f ca="1">IF(AND($A931&lt;=3,$A931&lt;&gt;0),0,IF($A931=4,OFFSET(F931,-1,0)+1,OFFSET(F931,-1,0)))</f>
        <v>0</v>
      </c>
      <c r="G931">
        <f ca="1">IF(AND($A931&lt;=4,$A931&lt;&gt;0),0,IF($A931="S",OFFSET(G931,-1,0)+1,OFFSET(G931,-1,0)))</f>
        <v>6</v>
      </c>
      <c r="H931">
        <f ca="1">IF(OR($A931="S",$A931=0),0,MATCH(0,OFFSET($B931,1,$A931,ROW($A$1504)-ROW($A931)),0))</f>
        <v>0</v>
      </c>
      <c r="I931">
        <f ca="1">IF(OR($A931="S",$A931=0),0,MATCH(OFFSET($B931,0,$A931)+1,OFFSET($B931,1,$A931,ROW($A$1504)-ROW($A931)),0))</f>
        <v>0</v>
      </c>
      <c r="J931" s="132" t="s">
        <v>29</v>
      </c>
      <c r="K931" s="121" t="str">
        <f t="shared" ca="1" si="1178"/>
        <v>10.8.6.</v>
      </c>
      <c r="L931" s="137" t="str">
        <f ca="1">IF(NOT(ISERROR($Y931)),IF($Y931&lt;&gt;FALSE,INDEX(Banco,$Y931,4),""),"")</f>
        <v>Cotação</v>
      </c>
      <c r="M931" s="122" t="s">
        <v>80</v>
      </c>
      <c r="N931" s="139" t="s">
        <v>256</v>
      </c>
      <c r="O931" s="137" t="str">
        <f ca="1">IF(NOT(ISERROR($Y931)),IF($Y931&lt;&gt;FALSE,INDEX(Banco,$Y931,5),""),"")</f>
        <v>Instrutor/Monitor (Educação Fisíca)</v>
      </c>
      <c r="P931" s="138" t="str">
        <f ca="1">IF(NOT(ISERROR($Y931)),IF($Y931&lt;&gt;FALSE,INDEX(Banco,$Y931,6),""),"")</f>
        <v>Horas</v>
      </c>
      <c r="Q931" s="134">
        <v>3</v>
      </c>
      <c r="R931" s="124">
        <f ca="1">IF(NOT(ISERROR($Y931)),IF($Y931&lt;&gt;FALSE,INDEX(Banco,$Y931,7),0),0)</f>
        <v>100</v>
      </c>
      <c r="S931" s="136" t="s">
        <v>62</v>
      </c>
      <c r="T931" s="123">
        <f ca="1">IF($J931=$G$2,ROUND(ROUND($R931,2)*IF($R$9="Preço Unitário (R$)",1,1+$AA931),2),0)</f>
        <v>125</v>
      </c>
      <c r="U931" s="126">
        <f ca="1">IF($A931="S",VTOTAL1,IF($A931=0,0,ROUND(SomaAgrup,2)))</f>
        <v>375</v>
      </c>
      <c r="V931" s="1"/>
      <c r="W931" s="39" t="str">
        <f ca="1">IF(OR($A931=0,$A931="S",$A931&gt;CFF!$A$9),"",MAX(W$11:OFFSET(W931,-1,0))+1)</f>
        <v/>
      </c>
      <c r="X931" s="4" t="str">
        <f>IF(AND($J931=$G$2,$N931&lt;&gt;"",$M931&lt;&gt;""),CONCATENATE($M931,"-",$N931))</f>
        <v>Serv. Terc.-017</v>
      </c>
      <c r="Y931" s="39">
        <f t="shared" ca="1" si="1185"/>
        <v>97</v>
      </c>
      <c r="Z931" s="1"/>
      <c r="AA931" s="133">
        <f>IF($J931=$G$2,ROUND(IF(ISNUMBER(S931),S931,IF(LEFT(S931,2)="DI",HLOOKUP(S931,DADOS!$T$29:$X$30,2,FALSE),0)),4),"")</f>
        <v>0.25</v>
      </c>
      <c r="AB931" s="2"/>
    </row>
    <row r="932" spans="1:28">
      <c r="A932" t="str">
        <f t="shared" ref="A932:A943" si="1187">CHOOSE(1+LOG(1+2*(J932=$C$2)+4*(J932=$D$2)+8*(J932=$E$2)+16*(J932=$F$2)+32*(J932=$G$2),2),0,1,2,3,4,"S")</f>
        <v>S</v>
      </c>
      <c r="B932">
        <f t="shared" ref="B932:B943" si="1188">IF(OR(A932="S",A932=0),0,IF(ISERROR(I932),H932,SMALL(H932:I932,1)))</f>
        <v>0</v>
      </c>
      <c r="C932">
        <f t="shared" ca="1" si="1173"/>
        <v>10</v>
      </c>
      <c r="D932">
        <f t="shared" ca="1" si="1174"/>
        <v>8</v>
      </c>
      <c r="E932">
        <f t="shared" ca="1" si="1175"/>
        <v>0</v>
      </c>
      <c r="F932">
        <f t="shared" ca="1" si="1176"/>
        <v>0</v>
      </c>
      <c r="G932">
        <f t="shared" ca="1" si="1177"/>
        <v>7</v>
      </c>
      <c r="H932">
        <f ca="1">IF(OR($A932="S",$A932=0),0,MATCH(0,OFFSET($B932,1,$A932,ROW($A$1504)-ROW($A932)),0))</f>
        <v>0</v>
      </c>
      <c r="I932">
        <f ca="1">IF(OR($A932="S",$A932=0),0,MATCH(OFFSET($B932,0,$A932)+1,OFFSET($B932,1,$A932,ROW($A$1504)-ROW($A932)),0))</f>
        <v>0</v>
      </c>
      <c r="J932" s="132" t="s">
        <v>29</v>
      </c>
      <c r="K932" s="121" t="str">
        <f t="shared" ref="K932:K943" ca="1" si="1189">IF($A932=0,"-",CONCATENATE(C932&amp;".",IF(AND($A$5&gt;=2,$A932&gt;=2),D932&amp;".",""),IF(AND($A$5&gt;=3,$A932&gt;=3),E932&amp;".",""),IF(AND($A$5&gt;=4,$A932&gt;=4),F932&amp;".",""),IF($A932="S",G932&amp;".","")))</f>
        <v>10.8.7.</v>
      </c>
      <c r="L932" s="137" t="str">
        <f t="shared" ca="1" si="1179"/>
        <v>Cotação</v>
      </c>
      <c r="M932" s="122" t="s">
        <v>80</v>
      </c>
      <c r="N932" s="139" t="s">
        <v>152</v>
      </c>
      <c r="O932" s="137" t="str">
        <f t="shared" ca="1" si="1186"/>
        <v>Carro de som com gravação de vinheta</v>
      </c>
      <c r="P932" s="138" t="str">
        <f t="shared" ca="1" si="1180"/>
        <v>Horas</v>
      </c>
      <c r="Q932" s="134">
        <v>3</v>
      </c>
      <c r="R932" s="124">
        <f t="shared" ca="1" si="1181"/>
        <v>200</v>
      </c>
      <c r="S932" s="136" t="s">
        <v>62</v>
      </c>
      <c r="T932" s="123">
        <f t="shared" ca="1" si="1182"/>
        <v>250</v>
      </c>
      <c r="U932" s="126">
        <f t="shared" ca="1" si="1183"/>
        <v>750</v>
      </c>
      <c r="V932" s="1"/>
      <c r="W932" s="39" t="str">
        <f ca="1">IF(OR($A932=0,$A932="S",$A932&gt;CFF!$A$9),"",MAX(W$11:OFFSET(W932,-1,0))+1)</f>
        <v/>
      </c>
      <c r="X932" s="4" t="str">
        <f t="shared" si="1184"/>
        <v>Serv. Terc.-002</v>
      </c>
      <c r="Y932" s="39">
        <f t="shared" ref="Y932:Y943" ca="1" si="1190">IF(X932&lt;&gt;FALSE,MATCH(X932,OFFSET(Banco,0,0,,1),0))</f>
        <v>82</v>
      </c>
      <c r="Z932" s="1"/>
      <c r="AA932" s="133">
        <f>IF($J932=$G$2,ROUND(IF(ISNUMBER(S932),S932,IF(LEFT(S932,2)="DI",HLOOKUP(S932,DADOS!$T$29:$X$30,2,FALSE),0)),4),"")</f>
        <v>0.25</v>
      </c>
      <c r="AB932" s="2"/>
    </row>
    <row r="933" spans="1:28">
      <c r="A933" t="str">
        <f t="shared" si="1187"/>
        <v>S</v>
      </c>
      <c r="B933">
        <f t="shared" si="1188"/>
        <v>0</v>
      </c>
      <c r="C933">
        <f t="shared" ca="1" si="1173"/>
        <v>10</v>
      </c>
      <c r="D933">
        <f t="shared" ca="1" si="1174"/>
        <v>8</v>
      </c>
      <c r="E933">
        <f t="shared" ca="1" si="1175"/>
        <v>0</v>
      </c>
      <c r="F933">
        <f t="shared" ca="1" si="1176"/>
        <v>0</v>
      </c>
      <c r="G933">
        <f t="shared" ca="1" si="1177"/>
        <v>8</v>
      </c>
      <c r="H933">
        <f ca="1">IF(OR($A933="S",$A933=0),0,MATCH(0,OFFSET($B933,1,$A933,ROW($A$1504)-ROW($A933)),0))</f>
        <v>0</v>
      </c>
      <c r="I933">
        <f ca="1">IF(OR($A933="S",$A933=0),0,MATCH(OFFSET($B933,0,$A933)+1,OFFSET($B933,1,$A933,ROW($A$1504)-ROW($A933)),0))</f>
        <v>0</v>
      </c>
      <c r="J933" s="132" t="s">
        <v>29</v>
      </c>
      <c r="K933" s="121" t="str">
        <f t="shared" ca="1" si="1189"/>
        <v>10.8.8.</v>
      </c>
      <c r="L933" s="137" t="str">
        <f t="shared" ca="1" si="1179"/>
        <v>Cotação</v>
      </c>
      <c r="M933" s="122" t="s">
        <v>80</v>
      </c>
      <c r="N933" s="139" t="s">
        <v>154</v>
      </c>
      <c r="O933" s="137" t="str">
        <f t="shared" ca="1" si="1186"/>
        <v>Locação de caixa térmica</v>
      </c>
      <c r="P933" s="138" t="str">
        <f t="shared" ca="1" si="1180"/>
        <v>Unidade</v>
      </c>
      <c r="Q933" s="134">
        <v>2</v>
      </c>
      <c r="R933" s="124">
        <f t="shared" ca="1" si="1181"/>
        <v>40</v>
      </c>
      <c r="S933" s="136" t="s">
        <v>62</v>
      </c>
      <c r="T933" s="123">
        <f t="shared" ca="1" si="1182"/>
        <v>50</v>
      </c>
      <c r="U933" s="126">
        <f t="shared" ca="1" si="1183"/>
        <v>100</v>
      </c>
      <c r="V933" s="1"/>
      <c r="W933" s="39" t="str">
        <f ca="1">IF(OR($A933=0,$A933="S",$A933&gt;CFF!$A$9),"",MAX(W$11:OFFSET(W933,-1,0))+1)</f>
        <v/>
      </c>
      <c r="X933" s="4" t="str">
        <f t="shared" si="1184"/>
        <v>Serv. Terc.-005</v>
      </c>
      <c r="Y933" s="39">
        <f t="shared" ca="1" si="1190"/>
        <v>85</v>
      </c>
      <c r="Z933" s="1"/>
      <c r="AA933" s="133">
        <f>IF($J933=$G$2,ROUND(IF(ISNUMBER(S933),S933,IF(LEFT(S933,2)="DI",HLOOKUP(S933,DADOS!$T$29:$X$30,2,FALSE),0)),4),"")</f>
        <v>0.25</v>
      </c>
      <c r="AB933" s="2"/>
    </row>
    <row r="934" spans="1:28">
      <c r="A934" t="str">
        <f t="shared" si="1187"/>
        <v>S</v>
      </c>
      <c r="B934">
        <f t="shared" si="1188"/>
        <v>0</v>
      </c>
      <c r="C934">
        <f t="shared" ca="1" si="1156"/>
        <v>10</v>
      </c>
      <c r="D934">
        <f t="shared" ca="1" si="1157"/>
        <v>8</v>
      </c>
      <c r="E934">
        <f t="shared" ca="1" si="1158"/>
        <v>0</v>
      </c>
      <c r="F934">
        <f t="shared" ca="1" si="1159"/>
        <v>0</v>
      </c>
      <c r="G934">
        <f t="shared" ca="1" si="1160"/>
        <v>9</v>
      </c>
      <c r="H934">
        <f ca="1">IF(OR($A934="S",$A934=0),0,MATCH(0,OFFSET($B934,1,$A934,ROW($A$1504)-ROW($A934)),0))</f>
        <v>0</v>
      </c>
      <c r="I934">
        <f ca="1">IF(OR($A934="S",$A934=0),0,MATCH(OFFSET($B934,0,$A934)+1,OFFSET($B934,1,$A934,ROW($A$1504)-ROW($A934)),0))</f>
        <v>0</v>
      </c>
      <c r="J934" s="132" t="s">
        <v>29</v>
      </c>
      <c r="K934" s="121" t="str">
        <f t="shared" ca="1" si="1189"/>
        <v>10.8.9.</v>
      </c>
      <c r="L934" s="137" t="str">
        <f t="shared" ca="1" si="1161"/>
        <v>Cotação</v>
      </c>
      <c r="M934" s="122" t="s">
        <v>80</v>
      </c>
      <c r="N934" s="139" t="s">
        <v>157</v>
      </c>
      <c r="O934" s="137" t="str">
        <f t="shared" ca="1" si="1186"/>
        <v>Locação de pula-pula com monitor</v>
      </c>
      <c r="P934" s="138" t="str">
        <f t="shared" ca="1" si="1162"/>
        <v>Unidade</v>
      </c>
      <c r="Q934" s="134">
        <v>2</v>
      </c>
      <c r="R934" s="124">
        <f t="shared" ca="1" si="1163"/>
        <v>220</v>
      </c>
      <c r="S934" s="136" t="s">
        <v>62</v>
      </c>
      <c r="T934" s="123">
        <f t="shared" ca="1" si="1164"/>
        <v>275</v>
      </c>
      <c r="U934" s="126">
        <f t="shared" ca="1" si="1165"/>
        <v>550</v>
      </c>
      <c r="V934" s="1"/>
      <c r="W934" s="39" t="str">
        <f ca="1">IF(OR($A934=0,$A934="S",$A934&gt;CFF!$A$9),"",MAX(W$11:OFFSET(W934,-1,0))+1)</f>
        <v/>
      </c>
      <c r="X934" s="4" t="str">
        <f t="shared" si="1166"/>
        <v>Serv. Terc.-008</v>
      </c>
      <c r="Y934" s="39">
        <f t="shared" ca="1" si="1190"/>
        <v>88</v>
      </c>
      <c r="Z934" s="1"/>
      <c r="AA934" s="133">
        <f>IF($J934=$G$2,ROUND(IF(ISNUMBER(S934),S934,IF(LEFT(S934,2)="DI",HLOOKUP(S934,DADOS!$T$29:$X$30,2,FALSE),0)),4),"")</f>
        <v>0.25</v>
      </c>
      <c r="AB934" s="2"/>
    </row>
    <row r="935" spans="1:28">
      <c r="A935" t="str">
        <f t="shared" si="1187"/>
        <v>S</v>
      </c>
      <c r="B935">
        <f t="shared" si="1188"/>
        <v>0</v>
      </c>
      <c r="C935">
        <f t="shared" ca="1" si="1156"/>
        <v>10</v>
      </c>
      <c r="D935">
        <f t="shared" ca="1" si="1157"/>
        <v>8</v>
      </c>
      <c r="E935">
        <f t="shared" ca="1" si="1158"/>
        <v>0</v>
      </c>
      <c r="F935">
        <f t="shared" ca="1" si="1159"/>
        <v>0</v>
      </c>
      <c r="G935">
        <f t="shared" ca="1" si="1160"/>
        <v>10</v>
      </c>
      <c r="H935">
        <f ca="1">IF(OR($A935="S",$A935=0),0,MATCH(0,OFFSET($B935,1,$A935,ROW($A$1504)-ROW($A935)),0))</f>
        <v>0</v>
      </c>
      <c r="I935">
        <f ca="1">IF(OR($A935="S",$A935=0),0,MATCH(OFFSET($B935,0,$A935)+1,OFFSET($B935,1,$A935,ROW($A$1504)-ROW($A935)),0))</f>
        <v>0</v>
      </c>
      <c r="J935" s="132" t="s">
        <v>29</v>
      </c>
      <c r="K935" s="121" t="str">
        <f t="shared" ca="1" si="1189"/>
        <v>10.8.10.</v>
      </c>
      <c r="L935" s="137" t="str">
        <f t="shared" ca="1" si="1161"/>
        <v xml:space="preserve">Cotação </v>
      </c>
      <c r="M935" s="122" t="s">
        <v>80</v>
      </c>
      <c r="N935" s="139" t="s">
        <v>160</v>
      </c>
      <c r="O935" s="137" t="str">
        <f t="shared" ca="1" si="1186"/>
        <v>Barra de gelo</v>
      </c>
      <c r="P935" s="138" t="str">
        <f t="shared" ca="1" si="1162"/>
        <v>Unidade</v>
      </c>
      <c r="Q935" s="134">
        <v>4</v>
      </c>
      <c r="R935" s="124">
        <f t="shared" ca="1" si="1163"/>
        <v>12</v>
      </c>
      <c r="S935" s="136" t="s">
        <v>62</v>
      </c>
      <c r="T935" s="123">
        <f t="shared" ca="1" si="1164"/>
        <v>15</v>
      </c>
      <c r="U935" s="126">
        <f t="shared" ca="1" si="1165"/>
        <v>60</v>
      </c>
      <c r="V935" s="1"/>
      <c r="W935" s="39" t="str">
        <f ca="1">IF(OR($A935=0,$A935="S",$A935&gt;CFF!$A$9),"",MAX(W$11:OFFSET(W935,-1,0))+1)</f>
        <v/>
      </c>
      <c r="X935" s="4" t="str">
        <f t="shared" si="1166"/>
        <v>Serv. Terc.-011</v>
      </c>
      <c r="Y935" s="39">
        <f t="shared" ca="1" si="1190"/>
        <v>91</v>
      </c>
      <c r="Z935" s="1"/>
      <c r="AA935" s="133">
        <f>IF($J935=$G$2,ROUND(IF(ISNUMBER(S935),S935,IF(LEFT(S935,2)="DI",HLOOKUP(S935,DADOS!$T$29:$X$30,2,FALSE),0)),4),"")</f>
        <v>0.25</v>
      </c>
      <c r="AB935" s="2"/>
    </row>
    <row r="936" spans="1:28">
      <c r="A936" t="str">
        <f t="shared" si="1187"/>
        <v>S</v>
      </c>
      <c r="B936">
        <f t="shared" si="1188"/>
        <v>0</v>
      </c>
      <c r="C936">
        <f t="shared" ca="1" si="1156"/>
        <v>10</v>
      </c>
      <c r="D936">
        <f t="shared" ca="1" si="1157"/>
        <v>8</v>
      </c>
      <c r="E936">
        <f t="shared" ca="1" si="1158"/>
        <v>0</v>
      </c>
      <c r="F936">
        <f t="shared" ca="1" si="1159"/>
        <v>0</v>
      </c>
      <c r="G936">
        <f t="shared" ca="1" si="1160"/>
        <v>11</v>
      </c>
      <c r="H936">
        <f ca="1">IF(OR($A936="S",$A936=0),0,MATCH(0,OFFSET($B936,1,$A936,ROW($A$1504)-ROW($A936)),0))</f>
        <v>0</v>
      </c>
      <c r="I936">
        <f ca="1">IF(OR($A936="S",$A936=0),0,MATCH(OFFSET($B936,0,$A936)+1,OFFSET($B936,1,$A936,ROW($A$1504)-ROW($A936)),0))</f>
        <v>0</v>
      </c>
      <c r="J936" s="132" t="s">
        <v>29</v>
      </c>
      <c r="K936" s="121" t="str">
        <f t="shared" ca="1" si="1189"/>
        <v>10.8.11.</v>
      </c>
      <c r="L936" s="137" t="str">
        <f t="shared" ca="1" si="1161"/>
        <v>Cotação</v>
      </c>
      <c r="M936" s="122" t="s">
        <v>80</v>
      </c>
      <c r="N936" s="139" t="s">
        <v>150</v>
      </c>
      <c r="O936" s="137" t="str">
        <f t="shared" ca="1" si="1186"/>
        <v>Sucos</v>
      </c>
      <c r="P936" s="138" t="str">
        <f t="shared" ca="1" si="1162"/>
        <v>Unidade</v>
      </c>
      <c r="Q936" s="134">
        <v>12</v>
      </c>
      <c r="R936" s="124">
        <f t="shared" ca="1" si="1163"/>
        <v>6.4</v>
      </c>
      <c r="S936" s="136" t="s">
        <v>62</v>
      </c>
      <c r="T936" s="123">
        <f t="shared" ca="1" si="1164"/>
        <v>8</v>
      </c>
      <c r="U936" s="126">
        <f t="shared" ca="1" si="1165"/>
        <v>96</v>
      </c>
      <c r="V936" s="1"/>
      <c r="W936" s="39" t="str">
        <f ca="1">IF(OR($A936=0,$A936="S",$A936&gt;CFF!$A$9),"",MAX(W$11:OFFSET(W936,-1,0))+1)</f>
        <v/>
      </c>
      <c r="X936" s="4" t="str">
        <f t="shared" si="1166"/>
        <v>Serv. Terc.-013</v>
      </c>
      <c r="Y936" s="39">
        <f t="shared" ca="1" si="1190"/>
        <v>93</v>
      </c>
      <c r="Z936" s="1"/>
      <c r="AA936" s="133">
        <f>IF($J936=$G$2,ROUND(IF(ISNUMBER(S936),S936,IF(LEFT(S936,2)="DI",HLOOKUP(S936,DADOS!$T$29:$X$30,2,FALSE),0)),4),"")</f>
        <v>0.25</v>
      </c>
      <c r="AB936" s="2"/>
    </row>
    <row r="937" spans="1:28">
      <c r="A937" t="str">
        <f>CHOOSE(1+LOG(1+2*(J937=$C$2)+4*(J937=$D$2)+8*(J937=$E$2)+16*(J937=$F$2)+32*(J937=$G$2),2),0,1,2,3,4,"S")</f>
        <v>S</v>
      </c>
      <c r="B937">
        <f>IF(OR(A937="S",A937=0),0,IF(ISERROR(I937),H937,SMALL(H937:I937,1)))</f>
        <v>0</v>
      </c>
      <c r="C937">
        <f ca="1">IF($A937=1,OFFSET(C937,-1,0)+1,OFFSET(C937,-1,0))</f>
        <v>10</v>
      </c>
      <c r="D937">
        <f ca="1">IF($A937=1,0,IF($A937=2,OFFSET(D937,-1,0)+1,OFFSET(D937,-1,0)))</f>
        <v>8</v>
      </c>
      <c r="E937">
        <f ca="1">IF(AND($A937&lt;=2,$A937&lt;&gt;0),0,IF($A937=3,OFFSET(E937,-1,0)+1,OFFSET(E937,-1,0)))</f>
        <v>0</v>
      </c>
      <c r="F937">
        <f ca="1">IF(AND($A937&lt;=3,$A937&lt;&gt;0),0,IF($A937=4,OFFSET(F937,-1,0)+1,OFFSET(F937,-1,0)))</f>
        <v>0</v>
      </c>
      <c r="G937">
        <f ca="1">IF(AND($A937&lt;=4,$A937&lt;&gt;0),0,IF($A937="S",OFFSET(G937,-1,0)+1,OFFSET(G937,-1,0)))</f>
        <v>12</v>
      </c>
      <c r="H937">
        <f ca="1">IF(OR($A937="S",$A937=0),0,MATCH(0,OFFSET($B937,1,$A937,ROW($A$1504)-ROW($A937)),0))</f>
        <v>0</v>
      </c>
      <c r="I937">
        <f ca="1">IF(OR($A937="S",$A937=0),0,MATCH(OFFSET($B937,0,$A937)+1,OFFSET($B937,1,$A937,ROW($A$1504)-ROW($A937)),0))</f>
        <v>0</v>
      </c>
      <c r="J937" s="132" t="s">
        <v>29</v>
      </c>
      <c r="K937" s="121" t="str">
        <f ca="1">IF($A937=0,"-",CONCATENATE(C937&amp;".",IF(AND($A$5&gt;=2,$A937&gt;=2),D937&amp;".",""),IF(AND($A$5&gt;=3,$A937&gt;=3),E937&amp;".",""),IF(AND($A$5&gt;=4,$A937&gt;=4),F937&amp;".",""),IF($A937="S",G937&amp;".","")))</f>
        <v>10.8.12.</v>
      </c>
      <c r="L937" s="137" t="str">
        <f ca="1">IF(NOT(ISERROR($Y937)),IF($Y937&lt;&gt;FALSE,INDEX(Banco,$Y937,4),""),"")</f>
        <v>Cotação</v>
      </c>
      <c r="M937" s="122" t="s">
        <v>80</v>
      </c>
      <c r="N937" s="139" t="s">
        <v>171</v>
      </c>
      <c r="O937" s="137" t="str">
        <f ca="1">IF(NOT(ISERROR($Y937)),IF($Y937&lt;&gt;FALSE,INDEX(Banco,$Y937,5),""),"")</f>
        <v xml:space="preserve">Refrigerantes (02 litros) </v>
      </c>
      <c r="P937" s="138" t="str">
        <f ca="1">IF(NOT(ISERROR($Y937)),IF($Y937&lt;&gt;FALSE,INDEX(Banco,$Y937,6),""),"")</f>
        <v>Unidade</v>
      </c>
      <c r="Q937" s="134">
        <v>20</v>
      </c>
      <c r="R937" s="124">
        <f ca="1">IF(NOT(ISERROR($Y937)),IF($Y937&lt;&gt;FALSE,INDEX(Banco,$Y937,7),0),0)</f>
        <v>6</v>
      </c>
      <c r="S937" s="136" t="s">
        <v>62</v>
      </c>
      <c r="T937" s="123">
        <f ca="1">IF($J937=$G$2,ROUND(ROUND($R937,2)*IF($R$9="Preço Unitário (R$)",1,1+$AA937),2),0)</f>
        <v>7.5</v>
      </c>
      <c r="U937" s="126">
        <f ca="1">IF($A937="S",VTOTAL1,IF($A937=0,0,ROUND(SomaAgrup,2)))</f>
        <v>150</v>
      </c>
      <c r="V937" s="1"/>
      <c r="W937" s="39" t="str">
        <f ca="1">IF(OR($A937=0,$A937="S",$A937&gt;CFF!$A$9),"",MAX(W$11:OFFSET(W937,-1,0))+1)</f>
        <v/>
      </c>
      <c r="X937" s="4" t="str">
        <f>IF(AND($J937=$G$2,$N937&lt;&gt;"",$M937&lt;&gt;""),CONCATENATE($M937,"-",$N937))</f>
        <v>Serv. Terc.-027</v>
      </c>
      <c r="Y937" s="39">
        <f ca="1">IF(X937&lt;&gt;FALSE,MATCH(X937,OFFSET(Banco,0,0,,1),0))</f>
        <v>107</v>
      </c>
      <c r="Z937" s="1"/>
      <c r="AA937" s="133">
        <f>IF($J937=$G$2,ROUND(IF(ISNUMBER(S937),S937,IF(LEFT(S937,2)="DI",HLOOKUP(S937,DADOS!$T$29:$X$30,2,FALSE),0)),4),"")</f>
        <v>0.25</v>
      </c>
      <c r="AB937" s="2"/>
    </row>
    <row r="938" spans="1:28">
      <c r="A938" t="str">
        <f t="shared" si="1187"/>
        <v>S</v>
      </c>
      <c r="B938">
        <f t="shared" si="1188"/>
        <v>0</v>
      </c>
      <c r="C938">
        <f t="shared" ca="1" si="1156"/>
        <v>10</v>
      </c>
      <c r="D938">
        <f t="shared" ca="1" si="1157"/>
        <v>8</v>
      </c>
      <c r="E938">
        <f t="shared" ca="1" si="1158"/>
        <v>0</v>
      </c>
      <c r="F938">
        <f t="shared" ca="1" si="1159"/>
        <v>0</v>
      </c>
      <c r="G938">
        <f t="shared" ca="1" si="1160"/>
        <v>13</v>
      </c>
      <c r="H938">
        <f ca="1">IF(OR($A938="S",$A938=0),0,MATCH(0,OFFSET($B938,1,$A938,ROW($A$1504)-ROW($A938)),0))</f>
        <v>0</v>
      </c>
      <c r="I938">
        <f ca="1">IF(OR($A938="S",$A938=0),0,MATCH(OFFSET($B938,0,$A938)+1,OFFSET($B938,1,$A938,ROW($A$1504)-ROW($A938)),0))</f>
        <v>0</v>
      </c>
      <c r="J938" s="132" t="s">
        <v>29</v>
      </c>
      <c r="K938" s="121" t="str">
        <f t="shared" ca="1" si="1189"/>
        <v>10.8.13.</v>
      </c>
      <c r="L938" s="137" t="str">
        <f t="shared" ca="1" si="1161"/>
        <v xml:space="preserve">Cotação </v>
      </c>
      <c r="M938" s="122" t="s">
        <v>80</v>
      </c>
      <c r="N938" s="139" t="s">
        <v>159</v>
      </c>
      <c r="O938" s="137" t="str">
        <f ca="1">IF(NOT(ISERROR($Y938)),IF($Y938&lt;&gt;FALSE,INDEX(Banco,$Y938,5),""),"")</f>
        <v>Brindes ( descrição nos orçamentos e PTS)</v>
      </c>
      <c r="P938" s="138" t="str">
        <f t="shared" ca="1" si="1162"/>
        <v>Unidade</v>
      </c>
      <c r="Q938" s="134">
        <v>4</v>
      </c>
      <c r="R938" s="124">
        <f t="shared" ca="1" si="1163"/>
        <v>120</v>
      </c>
      <c r="S938" s="136" t="s">
        <v>62</v>
      </c>
      <c r="T938" s="123">
        <f t="shared" ca="1" si="1164"/>
        <v>150</v>
      </c>
      <c r="U938" s="126">
        <f t="shared" ca="1" si="1165"/>
        <v>600</v>
      </c>
      <c r="V938" s="1"/>
      <c r="W938" s="39" t="str">
        <f ca="1">IF(OR($A938=0,$A938="S",$A938&gt;CFF!$A$9),"",MAX(W$11:OFFSET(W938,-1,0))+1)</f>
        <v/>
      </c>
      <c r="X938" s="4" t="str">
        <f t="shared" si="1166"/>
        <v>Serv. Terc.-010</v>
      </c>
      <c r="Y938" s="39">
        <f t="shared" ca="1" si="1190"/>
        <v>90</v>
      </c>
      <c r="Z938" s="1"/>
      <c r="AA938" s="133">
        <f>IF($J938=$G$2,ROUND(IF(ISNUMBER(S938),S938,IF(LEFT(S938,2)="DI",HLOOKUP(S938,DADOS!$T$29:$X$30,2,FALSE),0)),4),"")</f>
        <v>0.25</v>
      </c>
      <c r="AB938" s="2"/>
    </row>
    <row r="939" spans="1:28">
      <c r="A939" t="str">
        <f t="shared" si="1187"/>
        <v>S</v>
      </c>
      <c r="B939">
        <f t="shared" si="1188"/>
        <v>0</v>
      </c>
      <c r="C939">
        <f t="shared" ca="1" si="1156"/>
        <v>10</v>
      </c>
      <c r="D939">
        <f t="shared" ca="1" si="1157"/>
        <v>8</v>
      </c>
      <c r="E939">
        <f t="shared" ca="1" si="1158"/>
        <v>0</v>
      </c>
      <c r="F939">
        <f t="shared" ca="1" si="1159"/>
        <v>0</v>
      </c>
      <c r="G939">
        <f t="shared" ca="1" si="1160"/>
        <v>14</v>
      </c>
      <c r="H939">
        <f ca="1">IF(OR($A939="S",$A939=0),0,MATCH(0,OFFSET($B939,1,$A939,ROW($A$1504)-ROW($A939)),0))</f>
        <v>0</v>
      </c>
      <c r="I939">
        <f ca="1">IF(OR($A939="S",$A939=0),0,MATCH(OFFSET($B939,0,$A939)+1,OFFSET($B939,1,$A939,ROW($A$1504)-ROW($A939)),0))</f>
        <v>0</v>
      </c>
      <c r="J939" s="132" t="s">
        <v>29</v>
      </c>
      <c r="K939" s="121" t="str">
        <f t="shared" ca="1" si="1189"/>
        <v>10.8.14.</v>
      </c>
      <c r="L939" s="137" t="str">
        <f t="shared" ca="1" si="1161"/>
        <v>Cotação</v>
      </c>
      <c r="M939" s="122" t="s">
        <v>80</v>
      </c>
      <c r="N939" s="139" t="s">
        <v>162</v>
      </c>
      <c r="O939" s="137" t="str">
        <f t="shared" ca="1" si="1186"/>
        <v>Coffee break (salgados)</v>
      </c>
      <c r="P939" s="138" t="str">
        <f t="shared" ca="1" si="1162"/>
        <v>Centro</v>
      </c>
      <c r="Q939" s="134">
        <v>15</v>
      </c>
      <c r="R939" s="124">
        <f t="shared" ca="1" si="1163"/>
        <v>65</v>
      </c>
      <c r="S939" s="136" t="s">
        <v>62</v>
      </c>
      <c r="T939" s="123">
        <f t="shared" ca="1" si="1164"/>
        <v>81.25</v>
      </c>
      <c r="U939" s="126">
        <f t="shared" ca="1" si="1165"/>
        <v>1218.75</v>
      </c>
      <c r="V939" s="1"/>
      <c r="W939" s="39" t="str">
        <f ca="1">IF(OR($A939=0,$A939="S",$A939&gt;CFF!$A$9),"",MAX(W$11:OFFSET(W939,-1,0))+1)</f>
        <v/>
      </c>
      <c r="X939" s="4" t="str">
        <f t="shared" si="1166"/>
        <v>Serv. Terc.-015</v>
      </c>
      <c r="Y939" s="39">
        <f t="shared" ca="1" si="1190"/>
        <v>95</v>
      </c>
      <c r="Z939" s="1"/>
      <c r="AA939" s="133">
        <f>IF($J939=$G$2,ROUND(IF(ISNUMBER(S939),S939,IF(LEFT(S939,2)="DI",HLOOKUP(S939,DADOS!$T$29:$X$30,2,FALSE),0)),4),"")</f>
        <v>0.25</v>
      </c>
      <c r="AB939" s="2"/>
    </row>
    <row r="940" spans="1:28">
      <c r="A940" t="str">
        <f>CHOOSE(1+LOG(1+2*(J940=$C$2)+4*(J940=$D$2)+8*(J940=$E$2)+16*(J940=$F$2)+32*(J940=$G$2),2),0,1,2,3,4,"S")</f>
        <v>S</v>
      </c>
      <c r="B940">
        <f>IF(OR(A940="S",A940=0),0,IF(ISERROR(I940),H940,SMALL(H940:I940,1)))</f>
        <v>0</v>
      </c>
      <c r="C940">
        <f ca="1">IF($A940=1,OFFSET(C940,-1,0)+1,OFFSET(C940,-1,0))</f>
        <v>10</v>
      </c>
      <c r="D940">
        <f ca="1">IF($A940=1,0,IF($A940=2,OFFSET(D940,-1,0)+1,OFFSET(D940,-1,0)))</f>
        <v>8</v>
      </c>
      <c r="E940">
        <f ca="1">IF(AND($A940&lt;=2,$A940&lt;&gt;0),0,IF($A940=3,OFFSET(E940,-1,0)+1,OFFSET(E940,-1,0)))</f>
        <v>0</v>
      </c>
      <c r="F940">
        <f ca="1">IF(AND($A940&lt;=3,$A940&lt;&gt;0),0,IF($A940=4,OFFSET(F940,-1,0)+1,OFFSET(F940,-1,0)))</f>
        <v>0</v>
      </c>
      <c r="G940">
        <f ca="1">IF(AND($A940&lt;=4,$A940&lt;&gt;0),0,IF($A940="S",OFFSET(G940,-1,0)+1,OFFSET(G940,-1,0)))</f>
        <v>15</v>
      </c>
      <c r="H940">
        <f ca="1">IF(OR($A940="S",$A940=0),0,MATCH(0,OFFSET($B940,1,$A940,ROW($A$1504)-ROW($A940)),0))</f>
        <v>0</v>
      </c>
      <c r="I940">
        <f ca="1">IF(OR($A940="S",$A940=0),0,MATCH(OFFSET($B940,0,$A940)+1,OFFSET($B940,1,$A940,ROW($A$1504)-ROW($A940)),0))</f>
        <v>0</v>
      </c>
      <c r="J940" s="132" t="s">
        <v>29</v>
      </c>
      <c r="K940" s="121" t="str">
        <f ca="1">IF($A940=0,"-",CONCATENATE(C940&amp;".",IF(AND($A$5&gt;=2,$A940&gt;=2),D940&amp;".",""),IF(AND($A$5&gt;=3,$A940&gt;=3),E940&amp;".",""),IF(AND($A$5&gt;=4,$A940&gt;=4),F940&amp;".",""),IF($A940="S",G940&amp;".","")))</f>
        <v>10.8.15.</v>
      </c>
      <c r="L940" s="137" t="str">
        <f ca="1">IF(NOT(ISERROR($Y940)),IF($Y940&lt;&gt;FALSE,INDEX(Banco,$Y940,4),""),"")</f>
        <v>COREN</v>
      </c>
      <c r="M940" s="122" t="s">
        <v>80</v>
      </c>
      <c r="N940" s="139" t="s">
        <v>246</v>
      </c>
      <c r="O940" s="137" t="str">
        <f ca="1">IF(NOT(ISERROR($Y940)),IF($Y940&lt;&gt;FALSE,INDEX(Banco,$Y940,5),""),"")</f>
        <v>Enfermeiro padrão</v>
      </c>
      <c r="P940" s="138" t="str">
        <f ca="1">IF(NOT(ISERROR($Y940)),IF($Y940&lt;&gt;FALSE,INDEX(Banco,$Y940,6),""),"")</f>
        <v>Unidade</v>
      </c>
      <c r="Q940" s="134">
        <v>4</v>
      </c>
      <c r="R940" s="124">
        <f ca="1">IF(NOT(ISERROR($Y940)),IF($Y940&lt;&gt;FALSE,INDEX(Banco,$Y940,7),0),0)</f>
        <v>123.02</v>
      </c>
      <c r="S940" s="136" t="s">
        <v>62</v>
      </c>
      <c r="T940" s="123">
        <f ca="1">IF($J940=$G$2,ROUND(ROUND($R940,2)*IF($R$9="Preço Unitário (R$)",1,1+$AA940),2),0)</f>
        <v>153.78</v>
      </c>
      <c r="U940" s="126">
        <f ca="1">IF($A940="S",VTOTAL1,IF($A940=0,0,ROUND(SomaAgrup,2)))</f>
        <v>615.12</v>
      </c>
      <c r="V940" s="1"/>
      <c r="W940" s="39" t="str">
        <f ca="1">IF(OR($A940=0,$A940="S",$A940&gt;CFF!$A$9),"",MAX(W$11:OFFSET(W940,-1,0))+1)</f>
        <v/>
      </c>
      <c r="X940" s="4" t="str">
        <f>IF(AND($J940=$G$2,$N940&lt;&gt;"",$M940&lt;&gt;""),CONCATENATE($M940,"-",$N940))</f>
        <v>Serv. Terc.-080</v>
      </c>
      <c r="Y940" s="39">
        <f ca="1">IF(X940&lt;&gt;FALSE,MATCH(X940,OFFSET(Banco,0,0,,1),0))</f>
        <v>160</v>
      </c>
      <c r="Z940" s="1"/>
      <c r="AA940" s="133">
        <f>IF($J940=$G$2,ROUND(IF(ISNUMBER(S940),S940,IF(LEFT(S940,2)="DI",HLOOKUP(S940,DADOS!$T$29:$X$30,2,FALSE),0)),4),"")</f>
        <v>0.25</v>
      </c>
      <c r="AB940" s="2"/>
    </row>
    <row r="941" spans="1:28">
      <c r="A941" t="str">
        <f t="shared" si="1187"/>
        <v>S</v>
      </c>
      <c r="B941">
        <f t="shared" si="1188"/>
        <v>0</v>
      </c>
      <c r="C941">
        <f t="shared" ca="1" si="1156"/>
        <v>10</v>
      </c>
      <c r="D941">
        <f t="shared" ca="1" si="1157"/>
        <v>8</v>
      </c>
      <c r="E941">
        <f t="shared" ca="1" si="1158"/>
        <v>0</v>
      </c>
      <c r="F941">
        <f t="shared" ca="1" si="1159"/>
        <v>0</v>
      </c>
      <c r="G941">
        <f t="shared" ca="1" si="1160"/>
        <v>16</v>
      </c>
      <c r="H941">
        <f ca="1">IF(OR($A941="S",$A941=0),0,MATCH(0,OFFSET($B941,1,$A941,ROW($A$1504)-ROW($A941)),0))</f>
        <v>0</v>
      </c>
      <c r="I941">
        <f ca="1">IF(OR($A941="S",$A941=0),0,MATCH(OFFSET($B941,0,$A941)+1,OFFSET($B941,1,$A941,ROW($A$1504)-ROW($A941)),0))</f>
        <v>0</v>
      </c>
      <c r="J941" s="132" t="s">
        <v>29</v>
      </c>
      <c r="K941" s="121" t="str">
        <f t="shared" ca="1" si="1189"/>
        <v>10.8.16.</v>
      </c>
      <c r="L941" s="137" t="str">
        <f t="shared" ca="1" si="1161"/>
        <v>Cotação</v>
      </c>
      <c r="M941" s="122" t="s">
        <v>79</v>
      </c>
      <c r="N941" s="139" t="s">
        <v>163</v>
      </c>
      <c r="O941" s="137" t="str">
        <f t="shared" ca="1" si="1186"/>
        <v>Guloseimas (balas e pirulito)</v>
      </c>
      <c r="P941" s="138" t="str">
        <f t="shared" ca="1" si="1162"/>
        <v>Pacote</v>
      </c>
      <c r="Q941" s="134">
        <v>4</v>
      </c>
      <c r="R941" s="124">
        <f t="shared" ca="1" si="1163"/>
        <v>12</v>
      </c>
      <c r="S941" s="136" t="s">
        <v>62</v>
      </c>
      <c r="T941" s="123">
        <f t="shared" ca="1" si="1164"/>
        <v>15</v>
      </c>
      <c r="U941" s="126">
        <f t="shared" ca="1" si="1165"/>
        <v>60</v>
      </c>
      <c r="V941" s="1"/>
      <c r="W941" s="39" t="str">
        <f ca="1">IF(OR($A941=0,$A941="S",$A941&gt;CFF!$A$9),"",MAX(W$11:OFFSET(W941,-1,0))+1)</f>
        <v/>
      </c>
      <c r="X941" s="4" t="str">
        <f t="shared" si="1166"/>
        <v>Rec. Materiais-020</v>
      </c>
      <c r="Y941" s="39">
        <f t="shared" ca="1" si="1190"/>
        <v>29</v>
      </c>
      <c r="Z941" s="1"/>
      <c r="AA941" s="133">
        <f>IF($J941=$G$2,ROUND(IF(ISNUMBER(S941),S941,IF(LEFT(S941,2)="DI",HLOOKUP(S941,DADOS!$T$29:$X$30,2,FALSE),0)),4),"")</f>
        <v>0.25</v>
      </c>
      <c r="AB941" s="2"/>
    </row>
    <row r="942" spans="1:28">
      <c r="A942" t="str">
        <f t="shared" si="1187"/>
        <v>S</v>
      </c>
      <c r="B942">
        <f t="shared" si="1188"/>
        <v>0</v>
      </c>
      <c r="C942">
        <f t="shared" ca="1" si="1156"/>
        <v>10</v>
      </c>
      <c r="D942">
        <f t="shared" ca="1" si="1157"/>
        <v>8</v>
      </c>
      <c r="E942">
        <f t="shared" ca="1" si="1158"/>
        <v>0</v>
      </c>
      <c r="F942">
        <f t="shared" ca="1" si="1159"/>
        <v>0</v>
      </c>
      <c r="G942">
        <f t="shared" ca="1" si="1160"/>
        <v>17</v>
      </c>
      <c r="H942">
        <f ca="1">IF(OR($A942="S",$A942=0),0,MATCH(0,OFFSET($B942,1,$A942,ROW($A$1504)-ROW($A942)),0))</f>
        <v>0</v>
      </c>
      <c r="I942">
        <f ca="1">IF(OR($A942="S",$A942=0),0,MATCH(OFFSET($B942,0,$A942)+1,OFFSET($B942,1,$A942,ROW($A$1504)-ROW($A942)),0))</f>
        <v>0</v>
      </c>
      <c r="J942" s="132" t="s">
        <v>29</v>
      </c>
      <c r="K942" s="121" t="str">
        <f t="shared" ca="1" si="1189"/>
        <v>10.8.17.</v>
      </c>
      <c r="L942" s="137" t="str">
        <f t="shared" ca="1" si="1161"/>
        <v>Cotação</v>
      </c>
      <c r="M942" s="122" t="s">
        <v>79</v>
      </c>
      <c r="N942" s="139" t="s">
        <v>165</v>
      </c>
      <c r="O942" s="137" t="str">
        <f t="shared" ca="1" si="1186"/>
        <v>Papel de presente</v>
      </c>
      <c r="P942" s="138" t="str">
        <f t="shared" ca="1" si="1162"/>
        <v>Folhas</v>
      </c>
      <c r="Q942" s="134">
        <v>8</v>
      </c>
      <c r="R942" s="124">
        <f t="shared" ca="1" si="1163"/>
        <v>1.5</v>
      </c>
      <c r="S942" s="136" t="s">
        <v>62</v>
      </c>
      <c r="T942" s="123">
        <f t="shared" ca="1" si="1164"/>
        <v>1.88</v>
      </c>
      <c r="U942" s="126">
        <f t="shared" ca="1" si="1165"/>
        <v>15.04</v>
      </c>
      <c r="V942" s="1"/>
      <c r="W942" s="39" t="str">
        <f ca="1">IF(OR($A942=0,$A942="S",$A942&gt;CFF!$A$9),"",MAX(W$11:OFFSET(W942,-1,0))+1)</f>
        <v/>
      </c>
      <c r="X942" s="4" t="str">
        <f t="shared" si="1166"/>
        <v>Rec. Materiais-021</v>
      </c>
      <c r="Y942" s="39">
        <f t="shared" ca="1" si="1190"/>
        <v>30</v>
      </c>
      <c r="Z942" s="1"/>
      <c r="AA942" s="133">
        <f>IF($J942=$G$2,ROUND(IF(ISNUMBER(S942),S942,IF(LEFT(S942,2)="DI",HLOOKUP(S942,DADOS!$T$29:$X$30,2,FALSE),0)),4),"")</f>
        <v>0.25</v>
      </c>
      <c r="AB942" s="2"/>
    </row>
    <row r="943" spans="1:28">
      <c r="A943" t="str">
        <f t="shared" si="1187"/>
        <v>S</v>
      </c>
      <c r="B943">
        <f t="shared" si="1188"/>
        <v>0</v>
      </c>
      <c r="C943">
        <f t="shared" ca="1" si="1156"/>
        <v>10</v>
      </c>
      <c r="D943">
        <f t="shared" ca="1" si="1157"/>
        <v>8</v>
      </c>
      <c r="E943">
        <f t="shared" ca="1" si="1158"/>
        <v>0</v>
      </c>
      <c r="F943">
        <f t="shared" ca="1" si="1159"/>
        <v>0</v>
      </c>
      <c r="G943">
        <f t="shared" ca="1" si="1160"/>
        <v>18</v>
      </c>
      <c r="H943">
        <f ca="1">IF(OR($A943="S",$A943=0),0,MATCH(0,OFFSET($B943,1,$A943,ROW($A$1504)-ROW($A943)),0))</f>
        <v>0</v>
      </c>
      <c r="I943">
        <f ca="1">IF(OR($A943="S",$A943=0),0,MATCH(OFFSET($B943,0,$A943)+1,OFFSET($B943,1,$A943,ROW($A$1504)-ROW($A943)),0))</f>
        <v>0</v>
      </c>
      <c r="J943" s="132" t="s">
        <v>29</v>
      </c>
      <c r="K943" s="121" t="str">
        <f t="shared" ca="1" si="1189"/>
        <v>10.8.18.</v>
      </c>
      <c r="L943" s="137" t="str">
        <f t="shared" ca="1" si="1161"/>
        <v>Cotação</v>
      </c>
      <c r="M943" s="122" t="s">
        <v>79</v>
      </c>
      <c r="N943" s="139" t="s">
        <v>170</v>
      </c>
      <c r="O943" s="137" t="str">
        <f t="shared" ca="1" si="1186"/>
        <v>Saco de lixo (100 litros)</v>
      </c>
      <c r="P943" s="138" t="str">
        <f t="shared" ca="1" si="1162"/>
        <v>Pacote</v>
      </c>
      <c r="Q943" s="134">
        <v>2</v>
      </c>
      <c r="R943" s="124">
        <f t="shared" ca="1" si="1163"/>
        <v>15</v>
      </c>
      <c r="S943" s="136" t="s">
        <v>62</v>
      </c>
      <c r="T943" s="123">
        <f t="shared" ca="1" si="1164"/>
        <v>18.75</v>
      </c>
      <c r="U943" s="126">
        <f t="shared" ca="1" si="1165"/>
        <v>37.5</v>
      </c>
      <c r="V943" s="1"/>
      <c r="W943" s="39" t="str">
        <f ca="1">IF(OR($A943=0,$A943="S",$A943&gt;CFF!$A$9),"",MAX(W$11:OFFSET(W943,-1,0))+1)</f>
        <v/>
      </c>
      <c r="X943" s="4" t="str">
        <f t="shared" si="1166"/>
        <v>Rec. Materiais-026</v>
      </c>
      <c r="Y943" s="39">
        <f t="shared" ca="1" si="1190"/>
        <v>35</v>
      </c>
      <c r="Z943" s="1"/>
      <c r="AA943" s="133">
        <f>IF($J943=$G$2,ROUND(IF(ISNUMBER(S943),S943,IF(LEFT(S943,2)="DI",HLOOKUP(S943,DADOS!$T$29:$X$30,2,FALSE),0)),4),"")</f>
        <v>0.25</v>
      </c>
      <c r="AB943" s="2"/>
    </row>
    <row r="944" spans="1:28">
      <c r="A944">
        <f>CHOOSE(1+LOG(1+2*(J944=$C$2)+4*(J944=$D$2)+8*(J944=$E$2)+16*(J944=$F$2)+32*(J944=$G$2),2),0,1,2,3,4,"S")</f>
        <v>1</v>
      </c>
      <c r="B944">
        <f ca="1">IF(OR(A944="S",A944=0),0,IF(ISERROR(I944),H944,SMALL(H944:I944,1)))</f>
        <v>83</v>
      </c>
      <c r="C944">
        <f ca="1">IF($A944=1,OFFSET(C944,-1,0)+1,OFFSET(C944,-1,0))</f>
        <v>11</v>
      </c>
      <c r="D944">
        <f ca="1">IF($A944=1,0,IF($A944=2,OFFSET(D944,-1,0)+1,OFFSET(D944,-1,0)))</f>
        <v>0</v>
      </c>
      <c r="E944">
        <f ca="1">IF(AND($A944&lt;=2,$A944&lt;&gt;0),0,IF($A944=3,OFFSET(E944,-1,0)+1,OFFSET(E944,-1,0)))</f>
        <v>0</v>
      </c>
      <c r="F944">
        <f ca="1">IF(AND($A944&lt;=3,$A944&lt;&gt;0),0,IF($A944=4,OFFSET(F944,-1,0)+1,OFFSET(F944,-1,0)))</f>
        <v>0</v>
      </c>
      <c r="G944">
        <f ca="1">IF(AND($A944&lt;=4,$A944&lt;&gt;0),0,IF($A944="S",OFFSET(G944,-1,0)+1,OFFSET(G944,-1,0)))</f>
        <v>0</v>
      </c>
      <c r="H944">
        <f ca="1">IF(OR($A944="S",$A944=0),0,MATCH(0,OFFSET($B944,1,$A944,ROW($A$1504)-ROW($A944)),0))</f>
        <v>560</v>
      </c>
      <c r="I944">
        <f ca="1">IF(OR($A944="S",$A944=0),0,MATCH(OFFSET($B944,0,$A944)+1,OFFSET($B944,1,$A944,ROW($A$1504)-ROW($A944)),0))</f>
        <v>83</v>
      </c>
      <c r="J944" s="132" t="s">
        <v>67</v>
      </c>
      <c r="K944" s="121" t="str">
        <f ca="1">IF($A944=0,"-",CONCATENATE(C944&amp;".",IF(AND($A$5&gt;=2,$A944&gt;=2),D944&amp;".",""),IF(AND($A$5&gt;=3,$A944&gt;=3),E944&amp;".",""),IF(AND($A$5&gt;=4,$A944&gt;=4),F944&amp;".",""),IF($A944="S",G944&amp;".","")))</f>
        <v>11.</v>
      </c>
      <c r="L944" s="137" t="str">
        <f ca="1">IF(NOT(ISERROR($Y944)),IF($Y944&lt;&gt;FALSE,INDEX(Banco,$Y944,4),""),"")</f>
        <v/>
      </c>
      <c r="M944" s="122"/>
      <c r="N944" s="139"/>
      <c r="O944" s="137" t="s">
        <v>339</v>
      </c>
      <c r="P944" s="138" t="str">
        <f ca="1">IF(NOT(ISERROR($Y944)),IF($Y944&lt;&gt;FALSE,INDEX(Banco,$Y944,6),""),"")</f>
        <v/>
      </c>
      <c r="Q944" s="134"/>
      <c r="R944" s="124">
        <f ca="1">IF(NOT(ISERROR($Y944)),IF($Y944&lt;&gt;FALSE,INDEX(Banco,$Y944,7),0),0)</f>
        <v>0</v>
      </c>
      <c r="S944" s="136" t="s">
        <v>62</v>
      </c>
      <c r="T944" s="123">
        <f>IF($J944=$G$2,ROUND(ROUND($R944,2)*IF($R$9="Preço Unitário (R$)",1,1+$AA944),2),0)</f>
        <v>0</v>
      </c>
      <c r="U944" s="126">
        <f ca="1">IF($A944="S",VTOTAL1,IF($A944=0,0,ROUND(SomaAgrup,2)))</f>
        <v>89893.87</v>
      </c>
      <c r="V944" s="1"/>
      <c r="W944" s="39">
        <f ca="1">IF(OR($A944=0,$A944="S",$A944&gt;CFF!$A$9),"",MAX(W$11:OFFSET(W944,-1,0))+1)</f>
        <v>82</v>
      </c>
      <c r="X944" s="4" t="b">
        <f>IF(AND($J944=$G$2,$N944&lt;&gt;"",$M944&lt;&gt;""),CONCATENATE($M944,"-",$N944))</f>
        <v>0</v>
      </c>
      <c r="Y944" s="39" t="b">
        <f ca="1">IF(X944&lt;&gt;FALSE,MATCH(X944,OFFSET(Banco,0,0,,1),0))</f>
        <v>0</v>
      </c>
      <c r="Z944" s="1"/>
      <c r="AA944" s="133" t="str">
        <f>IF($J944=$G$2,ROUND(IF(ISNUMBER(S944),S944,IF(LEFT(S944,2)="DI",HLOOKUP(S944,DADOS!$T$29:$X$30,2,FALSE),0)),4),"")</f>
        <v/>
      </c>
      <c r="AB944" s="2"/>
    </row>
    <row r="945" spans="1:28">
      <c r="A945">
        <f>CHOOSE(1+LOG(1+2*(J945=$C$2)+4*(J945=$D$2)+8*(J945=$E$2)+16*(J945=$F$2)+32*(J945=$G$2),2),0,1,2,3,4,"S")</f>
        <v>2</v>
      </c>
      <c r="B945">
        <f ca="1">IF(OR(A945="S",A945=0),0,IF(ISERROR(I945),H945,SMALL(H945:I945,1)))</f>
        <v>26</v>
      </c>
      <c r="C945">
        <f ca="1">IF($A945=1,OFFSET(C945,-1,0)+1,OFFSET(C945,-1,0))</f>
        <v>11</v>
      </c>
      <c r="D945">
        <f ca="1">IF($A945=1,0,IF($A945=2,OFFSET(D945,-1,0)+1,OFFSET(D945,-1,0)))</f>
        <v>1</v>
      </c>
      <c r="E945">
        <f ca="1">IF(AND($A945&lt;=2,$A945&lt;&gt;0),0,IF($A945=3,OFFSET(E945,-1,0)+1,OFFSET(E945,-1,0)))</f>
        <v>0</v>
      </c>
      <c r="F945">
        <f ca="1">IF(AND($A945&lt;=3,$A945&lt;&gt;0),0,IF($A945=4,OFFSET(F945,-1,0)+1,OFFSET(F945,-1,0)))</f>
        <v>0</v>
      </c>
      <c r="G945">
        <f ca="1">IF(AND($A945&lt;=4,$A945&lt;&gt;0),0,IF($A945="S",OFFSET(G945,-1,0)+1,OFFSET(G945,-1,0)))</f>
        <v>0</v>
      </c>
      <c r="H945">
        <f ca="1">IF(OR($A945="S",$A945=0),0,MATCH(0,OFFSET($B945,1,$A945,ROW($A$1504)-ROW($A945)),0))</f>
        <v>82</v>
      </c>
      <c r="I945">
        <f ca="1">IF(OR($A945="S",$A945=0),0,MATCH(OFFSET($B945,0,$A945)+1,OFFSET($B945,1,$A945,ROW($A$1504)-ROW($A945)),0))</f>
        <v>26</v>
      </c>
      <c r="J945" s="132" t="s">
        <v>68</v>
      </c>
      <c r="K945" s="121" t="str">
        <f ca="1">IF($A945=0,"-",CONCATENATE(C945&amp;".",IF(AND($A$5&gt;=2,$A945&gt;=2),D945&amp;".",""),IF(AND($A$5&gt;=3,$A945&gt;=3),E945&amp;".",""),IF(AND($A$5&gt;=4,$A945&gt;=4),F945&amp;".",""),IF($A945="S",G945&amp;".","")))</f>
        <v>11.1.</v>
      </c>
      <c r="L945" s="137" t="str">
        <f ca="1">IF(NOT(ISERROR($Y945)),IF($Y945&lt;&gt;FALSE,INDEX(Banco,$Y945,4),""),"")</f>
        <v/>
      </c>
      <c r="M945" s="122"/>
      <c r="N945" s="139"/>
      <c r="O945" s="137" t="s">
        <v>419</v>
      </c>
      <c r="P945" s="138" t="str">
        <f ca="1">IF(NOT(ISERROR($Y945)),IF($Y945&lt;&gt;FALSE,INDEX(Banco,$Y945,6),""),"")</f>
        <v/>
      </c>
      <c r="Q945" s="134"/>
      <c r="R945" s="124">
        <f ca="1">IF(NOT(ISERROR($Y945)),IF($Y945&lt;&gt;FALSE,INDEX(Banco,$Y945,7),0),0)</f>
        <v>0</v>
      </c>
      <c r="S945" s="136" t="s">
        <v>62</v>
      </c>
      <c r="T945" s="123">
        <f>IF($J945=$G$2,ROUND(ROUND($R945,2)*IF($R$9="Preço Unitário (R$)",1,1+$AA945),2),0)</f>
        <v>0</v>
      </c>
      <c r="U945" s="126">
        <f ca="1">IF($A945="S",VTOTAL1,IF($A945=0,0,ROUND(SomaAgrup,2)))</f>
        <v>14097.18</v>
      </c>
      <c r="V945" s="1"/>
      <c r="W945" s="39">
        <f ca="1">IF(OR($A945=0,$A945="S",$A945&gt;CFF!$A$9),"",MAX(W$11:OFFSET(W945,-1,0))+1)</f>
        <v>83</v>
      </c>
      <c r="X945" s="4" t="b">
        <f>IF(AND($J945=$G$2,$N945&lt;&gt;"",$M945&lt;&gt;""),CONCATENATE($M945,"-",$N945))</f>
        <v>0</v>
      </c>
      <c r="Y945" s="39" t="b">
        <f ca="1">IF(X945&lt;&gt;FALSE,MATCH(X945,OFFSET(Banco,0,0,,1),0))</f>
        <v>0</v>
      </c>
      <c r="Z945" s="1"/>
      <c r="AA945" s="133" t="str">
        <f>IF($J945=$G$2,ROUND(IF(ISNUMBER(S945),S945,IF(LEFT(S945,2)="DI",HLOOKUP(S945,DADOS!$T$29:$X$30,2,FALSE),0)),4),"")</f>
        <v/>
      </c>
      <c r="AB945" s="2"/>
    </row>
    <row r="946" spans="1:28">
      <c r="A946" t="str">
        <f t="shared" ref="A946:A957" si="1191">CHOOSE(1+LOG(1+2*(J946=$C$2)+4*(J946=$D$2)+8*(J946=$E$2)+16*(J946=$F$2)+32*(J946=$G$2),2),0,1,2,3,4,"S")</f>
        <v>S</v>
      </c>
      <c r="B946">
        <f t="shared" ref="B946:B957" si="1192">IF(OR(A946="S",A946=0),0,IF(ISERROR(I946),H946,SMALL(H946:I946,1)))</f>
        <v>0</v>
      </c>
      <c r="C946">
        <f t="shared" ca="1" si="1156"/>
        <v>11</v>
      </c>
      <c r="D946">
        <f t="shared" ca="1" si="1157"/>
        <v>1</v>
      </c>
      <c r="E946">
        <f t="shared" ca="1" si="1158"/>
        <v>0</v>
      </c>
      <c r="F946">
        <f t="shared" ca="1" si="1159"/>
        <v>0</v>
      </c>
      <c r="G946">
        <f t="shared" ca="1" si="1160"/>
        <v>1</v>
      </c>
      <c r="H946">
        <f ca="1">IF(OR($A946="S",$A946=0),0,MATCH(0,OFFSET($B946,1,$A946,ROW($A$1504)-ROW($A946)),0))</f>
        <v>0</v>
      </c>
      <c r="I946">
        <f ca="1">IF(OR($A946="S",$A946=0),0,MATCH(OFFSET($B946,0,$A946)+1,OFFSET($B946,1,$A946,ROW($A$1504)-ROW($A946)),0))</f>
        <v>0</v>
      </c>
      <c r="J946" s="132" t="s">
        <v>29</v>
      </c>
      <c r="K946" s="121" t="str">
        <f t="shared" ref="K946:K957" ca="1" si="1193">IF($A946=0,"-",CONCATENATE(C946&amp;".",IF(AND($A$5&gt;=2,$A946&gt;=2),D946&amp;".",""),IF(AND($A$5&gt;=3,$A946&gt;=3),E946&amp;".",""),IF(AND($A$5&gt;=4,$A946&gt;=4),F946&amp;".",""),IF($A946="S",G946&amp;".","")))</f>
        <v>11.1.1.</v>
      </c>
      <c r="L946" s="137" t="str">
        <f t="shared" ca="1" si="1161"/>
        <v>CRESS</v>
      </c>
      <c r="M946" s="122" t="s">
        <v>78</v>
      </c>
      <c r="N946" s="139" t="s">
        <v>149</v>
      </c>
      <c r="O946" s="137" t="str">
        <f t="shared" ref="O946:O963" ca="1" si="1194">IF(NOT(ISERROR($Y946)),IF($Y946&lt;&gt;FALSE,INDEX(Banco,$Y946,5),""),"")</f>
        <v>Responsável Técnica</v>
      </c>
      <c r="P946" s="138" t="str">
        <f t="shared" ca="1" si="1162"/>
        <v>Horas</v>
      </c>
      <c r="Q946" s="134">
        <v>14</v>
      </c>
      <c r="R946" s="124">
        <f t="shared" ca="1" si="1163"/>
        <v>150.28</v>
      </c>
      <c r="S946" s="136" t="s">
        <v>62</v>
      </c>
      <c r="T946" s="123">
        <f t="shared" ca="1" si="1164"/>
        <v>187.85</v>
      </c>
      <c r="U946" s="126">
        <f t="shared" ca="1" si="1165"/>
        <v>2629.9</v>
      </c>
      <c r="V946" s="1"/>
      <c r="W946" s="39" t="str">
        <f ca="1">IF(OR($A946=0,$A946="S",$A946&gt;CFF!$A$9),"",MAX(W$11:OFFSET(W946,-1,0))+1)</f>
        <v/>
      </c>
      <c r="X946" s="4" t="str">
        <f t="shared" si="1166"/>
        <v>Rec. Humanos-001</v>
      </c>
      <c r="Y946" s="39">
        <f t="shared" ref="Y946:Y957" ca="1" si="1195">IF(X946&lt;&gt;FALSE,MATCH(X946,OFFSET(Banco,0,0,,1),0))</f>
        <v>3</v>
      </c>
      <c r="Z946" s="1"/>
      <c r="AA946" s="133">
        <f>IF($J946=$G$2,ROUND(IF(ISNUMBER(S946),S946,IF(LEFT(S946,2)="DI",HLOOKUP(S946,DADOS!$T$29:$X$30,2,FALSE),0)),4),"")</f>
        <v>0.25</v>
      </c>
      <c r="AB946" s="2"/>
    </row>
    <row r="947" spans="1:28">
      <c r="A947" t="str">
        <f t="shared" si="1191"/>
        <v>S</v>
      </c>
      <c r="B947">
        <f t="shared" si="1192"/>
        <v>0</v>
      </c>
      <c r="C947">
        <f t="shared" ca="1" si="1156"/>
        <v>11</v>
      </c>
      <c r="D947">
        <f t="shared" ca="1" si="1157"/>
        <v>1</v>
      </c>
      <c r="E947">
        <f t="shared" ca="1" si="1158"/>
        <v>0</v>
      </c>
      <c r="F947">
        <f t="shared" ca="1" si="1159"/>
        <v>0</v>
      </c>
      <c r="G947">
        <f t="shared" ca="1" si="1160"/>
        <v>2</v>
      </c>
      <c r="H947">
        <f ca="1">IF(OR($A947="S",$A947=0),0,MATCH(0,OFFSET($B947,1,$A947,ROW($A$1504)-ROW($A947)),0))</f>
        <v>0</v>
      </c>
      <c r="I947">
        <f ca="1">IF(OR($A947="S",$A947=0),0,MATCH(OFFSET($B947,0,$A947)+1,OFFSET($B947,1,$A947,ROW($A$1504)-ROW($A947)),0))</f>
        <v>0</v>
      </c>
      <c r="J947" s="132" t="s">
        <v>29</v>
      </c>
      <c r="K947" s="121" t="str">
        <f t="shared" ca="1" si="1193"/>
        <v>11.1.2.</v>
      </c>
      <c r="L947" s="137" t="str">
        <f t="shared" ca="1" si="1161"/>
        <v>CRESS</v>
      </c>
      <c r="M947" s="122" t="s">
        <v>78</v>
      </c>
      <c r="N947" s="139" t="s">
        <v>152</v>
      </c>
      <c r="O947" s="137" t="str">
        <f t="shared" ca="1" si="1194"/>
        <v>Assistente Social</v>
      </c>
      <c r="P947" s="138" t="str">
        <f t="shared" ca="1" si="1162"/>
        <v>Horas</v>
      </c>
      <c r="Q947" s="134">
        <v>10</v>
      </c>
      <c r="R947" s="124">
        <f t="shared" ca="1" si="1163"/>
        <v>133.81</v>
      </c>
      <c r="S947" s="136" t="s">
        <v>62</v>
      </c>
      <c r="T947" s="123">
        <f t="shared" ca="1" si="1164"/>
        <v>167.26</v>
      </c>
      <c r="U947" s="126">
        <f t="shared" ca="1" si="1165"/>
        <v>1672.6</v>
      </c>
      <c r="V947" s="1"/>
      <c r="W947" s="39" t="str">
        <f ca="1">IF(OR($A947=0,$A947="S",$A947&gt;CFF!$A$9),"",MAX(W$11:OFFSET(W947,-1,0))+1)</f>
        <v/>
      </c>
      <c r="X947" s="4" t="str">
        <f t="shared" si="1166"/>
        <v>Rec. Humanos-002</v>
      </c>
      <c r="Y947" s="39">
        <f t="shared" ca="1" si="1195"/>
        <v>4</v>
      </c>
      <c r="Z947" s="1"/>
      <c r="AA947" s="133">
        <f>IF($J947=$G$2,ROUND(IF(ISNUMBER(S947),S947,IF(LEFT(S947,2)="DI",HLOOKUP(S947,DADOS!$T$29:$X$30,2,FALSE),0)),4),"")</f>
        <v>0.25</v>
      </c>
      <c r="AB947" s="2"/>
    </row>
    <row r="948" spans="1:28">
      <c r="A948" t="str">
        <f t="shared" si="1191"/>
        <v>S</v>
      </c>
      <c r="B948">
        <f t="shared" si="1192"/>
        <v>0</v>
      </c>
      <c r="C948">
        <f t="shared" ca="1" si="1156"/>
        <v>11</v>
      </c>
      <c r="D948">
        <f t="shared" ca="1" si="1157"/>
        <v>1</v>
      </c>
      <c r="E948">
        <f t="shared" ca="1" si="1158"/>
        <v>0</v>
      </c>
      <c r="F948">
        <f t="shared" ca="1" si="1159"/>
        <v>0</v>
      </c>
      <c r="G948">
        <f t="shared" ca="1" si="1160"/>
        <v>3</v>
      </c>
      <c r="H948">
        <f ca="1">IF(OR($A948="S",$A948=0),0,MATCH(0,OFFSET($B948,1,$A948,ROW($A$1504)-ROW($A948)),0))</f>
        <v>0</v>
      </c>
      <c r="I948">
        <f ca="1">IF(OR($A948="S",$A948=0),0,MATCH(OFFSET($B948,0,$A948)+1,OFFSET($B948,1,$A948,ROW($A$1504)-ROW($A948)),0))</f>
        <v>0</v>
      </c>
      <c r="J948" s="132" t="s">
        <v>29</v>
      </c>
      <c r="K948" s="121" t="str">
        <f t="shared" ca="1" si="1193"/>
        <v>11.1.3.</v>
      </c>
      <c r="L948" s="137" t="str">
        <f t="shared" ca="1" si="1161"/>
        <v>Cotação</v>
      </c>
      <c r="M948" s="122" t="s">
        <v>78</v>
      </c>
      <c r="N948" s="139" t="s">
        <v>151</v>
      </c>
      <c r="O948" s="137" t="str">
        <f t="shared" ca="1" si="1194"/>
        <v xml:space="preserve">Administrador (Técnico de Apoio) </v>
      </c>
      <c r="P948" s="138" t="str">
        <f t="shared" ca="1" si="1162"/>
        <v>Horas</v>
      </c>
      <c r="Q948" s="134">
        <v>4</v>
      </c>
      <c r="R948" s="124">
        <f t="shared" ca="1" si="1163"/>
        <v>103.65</v>
      </c>
      <c r="S948" s="136" t="s">
        <v>62</v>
      </c>
      <c r="T948" s="123">
        <f t="shared" ca="1" si="1164"/>
        <v>129.56</v>
      </c>
      <c r="U948" s="126">
        <f t="shared" ca="1" si="1165"/>
        <v>518.24</v>
      </c>
      <c r="V948" s="1"/>
      <c r="W948" s="39" t="str">
        <f ca="1">IF(OR($A948=0,$A948="S",$A948&gt;CFF!$A$9),"",MAX(W$11:OFFSET(W948,-1,0))+1)</f>
        <v/>
      </c>
      <c r="X948" s="4" t="str">
        <f t="shared" si="1166"/>
        <v>Rec. Humanos-003</v>
      </c>
      <c r="Y948" s="39">
        <f t="shared" ca="1" si="1195"/>
        <v>5</v>
      </c>
      <c r="Z948" s="1"/>
      <c r="AA948" s="133">
        <f>IF($J948=$G$2,ROUND(IF(ISNUMBER(S948),S948,IF(LEFT(S948,2)="DI",HLOOKUP(S948,DADOS!$T$29:$X$30,2,FALSE),0)),4),"")</f>
        <v>0.25</v>
      </c>
      <c r="AB948" s="2"/>
    </row>
    <row r="949" spans="1:28">
      <c r="A949" t="str">
        <f t="shared" si="1191"/>
        <v>S</v>
      </c>
      <c r="B949">
        <f t="shared" si="1192"/>
        <v>0</v>
      </c>
      <c r="C949">
        <f t="shared" ca="1" si="1156"/>
        <v>11</v>
      </c>
      <c r="D949">
        <f t="shared" ca="1" si="1157"/>
        <v>1</v>
      </c>
      <c r="E949">
        <f t="shared" ca="1" si="1158"/>
        <v>0</v>
      </c>
      <c r="F949">
        <f t="shared" ca="1" si="1159"/>
        <v>0</v>
      </c>
      <c r="G949">
        <f t="shared" ca="1" si="1160"/>
        <v>4</v>
      </c>
      <c r="H949">
        <f ca="1">IF(OR($A949="S",$A949=0),0,MATCH(0,OFFSET($B949,1,$A949,ROW($A$1504)-ROW($A949)),0))</f>
        <v>0</v>
      </c>
      <c r="I949">
        <f ca="1">IF(OR($A949="S",$A949=0),0,MATCH(OFFSET($B949,0,$A949)+1,OFFSET($B949,1,$A949,ROW($A$1504)-ROW($A949)),0))</f>
        <v>0</v>
      </c>
      <c r="J949" s="132" t="s">
        <v>29</v>
      </c>
      <c r="K949" s="121" t="str">
        <f t="shared" ca="1" si="1193"/>
        <v>11.1.4.</v>
      </c>
      <c r="L949" s="137" t="str">
        <f t="shared" ca="1" si="1161"/>
        <v>SINE</v>
      </c>
      <c r="M949" s="122" t="s">
        <v>78</v>
      </c>
      <c r="N949" s="139" t="s">
        <v>153</v>
      </c>
      <c r="O949" s="137" t="str">
        <f t="shared" ca="1" si="1194"/>
        <v>Estagiários</v>
      </c>
      <c r="P949" s="138" t="str">
        <f t="shared" ca="1" si="1162"/>
        <v>Horas</v>
      </c>
      <c r="Q949" s="134">
        <v>28</v>
      </c>
      <c r="R949" s="124">
        <f t="shared" ca="1" si="1163"/>
        <v>9.7899999999999991</v>
      </c>
      <c r="S949" s="136" t="s">
        <v>62</v>
      </c>
      <c r="T949" s="123">
        <f t="shared" ca="1" si="1164"/>
        <v>12.24</v>
      </c>
      <c r="U949" s="126">
        <f t="shared" ca="1" si="1165"/>
        <v>342.72</v>
      </c>
      <c r="V949" s="1"/>
      <c r="W949" s="39" t="str">
        <f ca="1">IF(OR($A949=0,$A949="S",$A949&gt;CFF!$A$9),"",MAX(W$11:OFFSET(W949,-1,0))+1)</f>
        <v/>
      </c>
      <c r="X949" s="4" t="str">
        <f t="shared" si="1166"/>
        <v>Rec. Humanos-004</v>
      </c>
      <c r="Y949" s="39">
        <f t="shared" ca="1" si="1195"/>
        <v>6</v>
      </c>
      <c r="Z949" s="1"/>
      <c r="AA949" s="133">
        <f>IF($J949=$G$2,ROUND(IF(ISNUMBER(S949),S949,IF(LEFT(S949,2)="DI",HLOOKUP(S949,DADOS!$T$29:$X$30,2,FALSE),0)),4),"")</f>
        <v>0.25</v>
      </c>
      <c r="AB949" s="2"/>
    </row>
    <row r="950" spans="1:28">
      <c r="A950" t="str">
        <f t="shared" si="1191"/>
        <v>S</v>
      </c>
      <c r="B950">
        <f t="shared" si="1192"/>
        <v>0</v>
      </c>
      <c r="C950">
        <f t="shared" ca="1" si="1156"/>
        <v>11</v>
      </c>
      <c r="D950">
        <f t="shared" ca="1" si="1157"/>
        <v>1</v>
      </c>
      <c r="E950">
        <f t="shared" ca="1" si="1158"/>
        <v>0</v>
      </c>
      <c r="F950">
        <f t="shared" ca="1" si="1159"/>
        <v>0</v>
      </c>
      <c r="G950">
        <f t="shared" ca="1" si="1160"/>
        <v>5</v>
      </c>
      <c r="H950">
        <f ca="1">IF(OR($A950="S",$A950=0),0,MATCH(0,OFFSET($B950,1,$A950,ROW($A$1504)-ROW($A950)),0))</f>
        <v>0</v>
      </c>
      <c r="I950">
        <f ca="1">IF(OR($A950="S",$A950=0),0,MATCH(OFFSET($B950,0,$A950)+1,OFFSET($B950,1,$A950,ROW($A$1504)-ROW($A950)),0))</f>
        <v>0</v>
      </c>
      <c r="J950" s="132" t="s">
        <v>29</v>
      </c>
      <c r="K950" s="121" t="str">
        <f t="shared" ca="1" si="1193"/>
        <v>11.1.5.</v>
      </c>
      <c r="L950" s="137" t="str">
        <f t="shared" ca="1" si="1161"/>
        <v>Cotação</v>
      </c>
      <c r="M950" s="122" t="s">
        <v>80</v>
      </c>
      <c r="N950" s="139" t="s">
        <v>149</v>
      </c>
      <c r="O950" s="137" t="str">
        <f t="shared" ca="1" si="1194"/>
        <v>Fotocópias</v>
      </c>
      <c r="P950" s="138" t="str">
        <f t="shared" ca="1" si="1162"/>
        <v>Unidade</v>
      </c>
      <c r="Q950" s="134">
        <v>300</v>
      </c>
      <c r="R950" s="124">
        <f t="shared" ca="1" si="1163"/>
        <v>0.3</v>
      </c>
      <c r="S950" s="136" t="s">
        <v>62</v>
      </c>
      <c r="T950" s="123">
        <f t="shared" ca="1" si="1164"/>
        <v>0.38</v>
      </c>
      <c r="U950" s="126">
        <f t="shared" ca="1" si="1165"/>
        <v>114</v>
      </c>
      <c r="V950" s="1"/>
      <c r="W950" s="39" t="str">
        <f ca="1">IF(OR($A950=0,$A950="S",$A950&gt;CFF!$A$9),"",MAX(W$11:OFFSET(W950,-1,0))+1)</f>
        <v/>
      </c>
      <c r="X950" s="4" t="str">
        <f t="shared" si="1166"/>
        <v>Serv. Terc.-001</v>
      </c>
      <c r="Y950" s="39">
        <f t="shared" ca="1" si="1195"/>
        <v>81</v>
      </c>
      <c r="Z950" s="1"/>
      <c r="AA950" s="133">
        <f>IF($J950=$G$2,ROUND(IF(ISNUMBER(S950),S950,IF(LEFT(S950,2)="DI",HLOOKUP(S950,DADOS!$T$29:$X$30,2,FALSE),0)),4),"")</f>
        <v>0.25</v>
      </c>
      <c r="AB950" s="2"/>
    </row>
    <row r="951" spans="1:28">
      <c r="A951" t="str">
        <f>CHOOSE(1+LOG(1+2*(J951=$C$2)+4*(J951=$D$2)+8*(J951=$E$2)+16*(J951=$F$2)+32*(J951=$G$2),2),0,1,2,3,4,"S")</f>
        <v>S</v>
      </c>
      <c r="B951">
        <f>IF(OR(A951="S",A951=0),0,IF(ISERROR(I951),H951,SMALL(H951:I951,1)))</f>
        <v>0</v>
      </c>
      <c r="C951">
        <f t="shared" ca="1" si="1156"/>
        <v>11</v>
      </c>
      <c r="D951">
        <f t="shared" ca="1" si="1157"/>
        <v>1</v>
      </c>
      <c r="E951">
        <f t="shared" ca="1" si="1158"/>
        <v>0</v>
      </c>
      <c r="F951">
        <f t="shared" ca="1" si="1159"/>
        <v>0</v>
      </c>
      <c r="G951">
        <f t="shared" ca="1" si="1160"/>
        <v>6</v>
      </c>
      <c r="H951">
        <f ca="1">IF(OR($A951="S",$A951=0),0,MATCH(0,OFFSET($B951,1,$A951,ROW($A$1504)-ROW($A951)),0))</f>
        <v>0</v>
      </c>
      <c r="I951">
        <f ca="1">IF(OR($A951="S",$A951=0),0,MATCH(OFFSET($B951,0,$A951)+1,OFFSET($B951,1,$A951,ROW($A$1504)-ROW($A951)),0))</f>
        <v>0</v>
      </c>
      <c r="J951" s="132" t="s">
        <v>29</v>
      </c>
      <c r="K951" s="121" t="str">
        <f ca="1">IF($A951=0,"-",CONCATENATE(C951&amp;".",IF(AND($A$5&gt;=2,$A951&gt;=2),D951&amp;".",""),IF(AND($A$5&gt;=3,$A951&gt;=3),E951&amp;".",""),IF(AND($A$5&gt;=4,$A951&gt;=4),F951&amp;".",""),IF($A951="S",G951&amp;".","")))</f>
        <v>11.1.6.</v>
      </c>
      <c r="L951" s="137" t="str">
        <f t="shared" ca="1" si="1161"/>
        <v>Cotação</v>
      </c>
      <c r="M951" s="122" t="s">
        <v>80</v>
      </c>
      <c r="N951" s="139" t="s">
        <v>256</v>
      </c>
      <c r="O951" s="137" t="str">
        <f ca="1">IF(NOT(ISERROR($Y951)),IF($Y951&lt;&gt;FALSE,INDEX(Banco,$Y951,5),""),"")</f>
        <v>Instrutor/Monitor (Educação Fisíca)</v>
      </c>
      <c r="P951" s="138" t="str">
        <f t="shared" ca="1" si="1162"/>
        <v>Horas</v>
      </c>
      <c r="Q951" s="134">
        <v>3</v>
      </c>
      <c r="R951" s="124">
        <f t="shared" ca="1" si="1163"/>
        <v>100</v>
      </c>
      <c r="S951" s="136" t="s">
        <v>62</v>
      </c>
      <c r="T951" s="123">
        <f t="shared" ca="1" si="1164"/>
        <v>125</v>
      </c>
      <c r="U951" s="126">
        <f t="shared" ca="1" si="1165"/>
        <v>375</v>
      </c>
      <c r="V951" s="1"/>
      <c r="W951" s="39" t="str">
        <f ca="1">IF(OR($A951=0,$A951="S",$A951&gt;CFF!$A$9),"",MAX(W$11:OFFSET(W951,-1,0))+1)</f>
        <v/>
      </c>
      <c r="X951" s="4" t="str">
        <f t="shared" si="1166"/>
        <v>Serv. Terc.-017</v>
      </c>
      <c r="Y951" s="39">
        <f ca="1">IF(X951&lt;&gt;FALSE,MATCH(X951,OFFSET(Banco,0,0,,1),0))</f>
        <v>97</v>
      </c>
      <c r="Z951" s="1"/>
      <c r="AA951" s="133">
        <f>IF($J951=$G$2,ROUND(IF(ISNUMBER(S951),S951,IF(LEFT(S951,2)="DI",HLOOKUP(S951,DADOS!$T$29:$X$30,2,FALSE),0)),4),"")</f>
        <v>0.25</v>
      </c>
      <c r="AB951" s="2"/>
    </row>
    <row r="952" spans="1:28">
      <c r="A952" t="str">
        <f t="shared" si="1191"/>
        <v>S</v>
      </c>
      <c r="B952">
        <f t="shared" si="1192"/>
        <v>0</v>
      </c>
      <c r="C952">
        <f t="shared" ca="1" si="1156"/>
        <v>11</v>
      </c>
      <c r="D952">
        <f t="shared" ca="1" si="1157"/>
        <v>1</v>
      </c>
      <c r="E952">
        <f t="shared" ca="1" si="1158"/>
        <v>0</v>
      </c>
      <c r="F952">
        <f t="shared" ca="1" si="1159"/>
        <v>0</v>
      </c>
      <c r="G952">
        <f t="shared" ca="1" si="1160"/>
        <v>7</v>
      </c>
      <c r="H952">
        <f ca="1">IF(OR($A952="S",$A952=0),0,MATCH(0,OFFSET($B952,1,$A952,ROW($A$1504)-ROW($A952)),0))</f>
        <v>0</v>
      </c>
      <c r="I952">
        <f ca="1">IF(OR($A952="S",$A952=0),0,MATCH(OFFSET($B952,0,$A952)+1,OFFSET($B952,1,$A952,ROW($A$1504)-ROW($A952)),0))</f>
        <v>0</v>
      </c>
      <c r="J952" s="132" t="s">
        <v>29</v>
      </c>
      <c r="K952" s="121" t="str">
        <f t="shared" ca="1" si="1193"/>
        <v>11.1.7.</v>
      </c>
      <c r="L952" s="137" t="str">
        <f t="shared" ca="1" si="1161"/>
        <v>Cotação</v>
      </c>
      <c r="M952" s="122" t="s">
        <v>80</v>
      </c>
      <c r="N952" s="139" t="s">
        <v>152</v>
      </c>
      <c r="O952" s="137" t="str">
        <f t="shared" ca="1" si="1194"/>
        <v>Carro de som com gravação de vinheta</v>
      </c>
      <c r="P952" s="138" t="str">
        <f t="shared" ca="1" si="1162"/>
        <v>Horas</v>
      </c>
      <c r="Q952" s="134">
        <v>3</v>
      </c>
      <c r="R952" s="124">
        <f t="shared" ca="1" si="1163"/>
        <v>200</v>
      </c>
      <c r="S952" s="136" t="s">
        <v>62</v>
      </c>
      <c r="T952" s="123">
        <f t="shared" ca="1" si="1164"/>
        <v>250</v>
      </c>
      <c r="U952" s="126">
        <f t="shared" ca="1" si="1165"/>
        <v>750</v>
      </c>
      <c r="V952" s="1"/>
      <c r="W952" s="39" t="str">
        <f ca="1">IF(OR($A952=0,$A952="S",$A952&gt;CFF!$A$9),"",MAX(W$11:OFFSET(W952,-1,0))+1)</f>
        <v/>
      </c>
      <c r="X952" s="4" t="str">
        <f t="shared" si="1166"/>
        <v>Serv. Terc.-002</v>
      </c>
      <c r="Y952" s="39">
        <f t="shared" ca="1" si="1195"/>
        <v>82</v>
      </c>
      <c r="Z952" s="1"/>
      <c r="AA952" s="133">
        <f>IF($J952=$G$2,ROUND(IF(ISNUMBER(S952),S952,IF(LEFT(S952,2)="DI",HLOOKUP(S952,DADOS!$T$29:$X$30,2,FALSE),0)),4),"")</f>
        <v>0.25</v>
      </c>
      <c r="AB952" s="2"/>
    </row>
    <row r="953" spans="1:28">
      <c r="A953" t="str">
        <f t="shared" si="1191"/>
        <v>S</v>
      </c>
      <c r="B953">
        <f t="shared" si="1192"/>
        <v>0</v>
      </c>
      <c r="C953">
        <f t="shared" ca="1" si="1156"/>
        <v>11</v>
      </c>
      <c r="D953">
        <f t="shared" ca="1" si="1157"/>
        <v>1</v>
      </c>
      <c r="E953">
        <f t="shared" ca="1" si="1158"/>
        <v>0</v>
      </c>
      <c r="F953">
        <f t="shared" ca="1" si="1159"/>
        <v>0</v>
      </c>
      <c r="G953">
        <f t="shared" ca="1" si="1160"/>
        <v>8</v>
      </c>
      <c r="H953">
        <f ca="1">IF(OR($A953="S",$A953=0),0,MATCH(0,OFFSET($B953,1,$A953,ROW($A$1504)-ROW($A953)),0))</f>
        <v>0</v>
      </c>
      <c r="I953">
        <f ca="1">IF(OR($A953="S",$A953=0),0,MATCH(OFFSET($B953,0,$A953)+1,OFFSET($B953,1,$A953,ROW($A$1504)-ROW($A953)),0))</f>
        <v>0</v>
      </c>
      <c r="J953" s="132" t="s">
        <v>29</v>
      </c>
      <c r="K953" s="121" t="str">
        <f t="shared" ca="1" si="1193"/>
        <v>11.1.8.</v>
      </c>
      <c r="L953" s="137" t="str">
        <f t="shared" ca="1" si="1161"/>
        <v>Cotação</v>
      </c>
      <c r="M953" s="122" t="s">
        <v>80</v>
      </c>
      <c r="N953" s="139" t="s">
        <v>151</v>
      </c>
      <c r="O953" s="137" t="str">
        <f t="shared" ca="1" si="1194"/>
        <v>Locação de mesas</v>
      </c>
      <c r="P953" s="138" t="str">
        <f t="shared" ca="1" si="1162"/>
        <v>Unidade</v>
      </c>
      <c r="Q953" s="134">
        <v>20</v>
      </c>
      <c r="R953" s="124">
        <f t="shared" ca="1" si="1163"/>
        <v>3</v>
      </c>
      <c r="S953" s="136" t="s">
        <v>62</v>
      </c>
      <c r="T953" s="123">
        <f t="shared" ca="1" si="1164"/>
        <v>3.75</v>
      </c>
      <c r="U953" s="126">
        <f t="shared" ca="1" si="1165"/>
        <v>75</v>
      </c>
      <c r="V953" s="1"/>
      <c r="W953" s="39" t="str">
        <f ca="1">IF(OR($A953=0,$A953="S",$A953&gt;CFF!$A$9),"",MAX(W$11:OFFSET(W953,-1,0))+1)</f>
        <v/>
      </c>
      <c r="X953" s="4" t="str">
        <f t="shared" si="1166"/>
        <v>Serv. Terc.-003</v>
      </c>
      <c r="Y953" s="39">
        <f t="shared" ca="1" si="1195"/>
        <v>83</v>
      </c>
      <c r="Z953" s="1"/>
      <c r="AA953" s="133">
        <f>IF($J953=$G$2,ROUND(IF(ISNUMBER(S953),S953,IF(LEFT(S953,2)="DI",HLOOKUP(S953,DADOS!$T$29:$X$30,2,FALSE),0)),4),"")</f>
        <v>0.25</v>
      </c>
      <c r="AB953" s="2"/>
    </row>
    <row r="954" spans="1:28">
      <c r="A954" t="str">
        <f t="shared" si="1191"/>
        <v>S</v>
      </c>
      <c r="B954">
        <f t="shared" si="1192"/>
        <v>0</v>
      </c>
      <c r="C954">
        <f t="shared" ca="1" si="1156"/>
        <v>11</v>
      </c>
      <c r="D954">
        <f t="shared" ca="1" si="1157"/>
        <v>1</v>
      </c>
      <c r="E954">
        <f t="shared" ca="1" si="1158"/>
        <v>0</v>
      </c>
      <c r="F954">
        <f t="shared" ca="1" si="1159"/>
        <v>0</v>
      </c>
      <c r="G954">
        <f t="shared" ca="1" si="1160"/>
        <v>9</v>
      </c>
      <c r="H954">
        <f ca="1">IF(OR($A954="S",$A954=0),0,MATCH(0,OFFSET($B954,1,$A954,ROW($A$1504)-ROW($A954)),0))</f>
        <v>0</v>
      </c>
      <c r="I954">
        <f ca="1">IF(OR($A954="S",$A954=0),0,MATCH(OFFSET($B954,0,$A954)+1,OFFSET($B954,1,$A954,ROW($A$1504)-ROW($A954)),0))</f>
        <v>0</v>
      </c>
      <c r="J954" s="132" t="s">
        <v>29</v>
      </c>
      <c r="K954" s="121" t="str">
        <f t="shared" ca="1" si="1193"/>
        <v>11.1.9.</v>
      </c>
      <c r="L954" s="137" t="str">
        <f t="shared" ca="1" si="1161"/>
        <v>Cotação</v>
      </c>
      <c r="M954" s="122" t="s">
        <v>80</v>
      </c>
      <c r="N954" s="139" t="s">
        <v>153</v>
      </c>
      <c r="O954" s="137" t="str">
        <f t="shared" ca="1" si="1194"/>
        <v>Locação de cadeiras</v>
      </c>
      <c r="P954" s="138" t="str">
        <f t="shared" ca="1" si="1162"/>
        <v>Unidade</v>
      </c>
      <c r="Q954" s="134">
        <v>400</v>
      </c>
      <c r="R954" s="124">
        <f t="shared" ca="1" si="1163"/>
        <v>2</v>
      </c>
      <c r="S954" s="136" t="s">
        <v>62</v>
      </c>
      <c r="T954" s="123">
        <f t="shared" ca="1" si="1164"/>
        <v>2.5</v>
      </c>
      <c r="U954" s="126">
        <f t="shared" ca="1" si="1165"/>
        <v>1000</v>
      </c>
      <c r="V954" s="1"/>
      <c r="W954" s="39" t="str">
        <f ca="1">IF(OR($A954=0,$A954="S",$A954&gt;CFF!$A$9),"",MAX(W$11:OFFSET(W954,-1,0))+1)</f>
        <v/>
      </c>
      <c r="X954" s="4" t="str">
        <f t="shared" si="1166"/>
        <v>Serv. Terc.-004</v>
      </c>
      <c r="Y954" s="39">
        <f t="shared" ca="1" si="1195"/>
        <v>84</v>
      </c>
      <c r="Z954" s="1"/>
      <c r="AA954" s="133">
        <f>IF($J954=$G$2,ROUND(IF(ISNUMBER(S954),S954,IF(LEFT(S954,2)="DI",HLOOKUP(S954,DADOS!$T$29:$X$30,2,FALSE),0)),4),"")</f>
        <v>0.25</v>
      </c>
      <c r="AB954" s="2"/>
    </row>
    <row r="955" spans="1:28">
      <c r="A955" t="str">
        <f t="shared" si="1191"/>
        <v>S</v>
      </c>
      <c r="B955">
        <f t="shared" si="1192"/>
        <v>0</v>
      </c>
      <c r="C955">
        <f t="shared" ca="1" si="1156"/>
        <v>11</v>
      </c>
      <c r="D955">
        <f t="shared" ca="1" si="1157"/>
        <v>1</v>
      </c>
      <c r="E955">
        <f t="shared" ca="1" si="1158"/>
        <v>0</v>
      </c>
      <c r="F955">
        <f t="shared" ca="1" si="1159"/>
        <v>0</v>
      </c>
      <c r="G955">
        <f t="shared" ca="1" si="1160"/>
        <v>10</v>
      </c>
      <c r="H955">
        <f ca="1">IF(OR($A955="S",$A955=0),0,MATCH(0,OFFSET($B955,1,$A955,ROW($A$1504)-ROW($A955)),0))</f>
        <v>0</v>
      </c>
      <c r="I955">
        <f ca="1">IF(OR($A955="S",$A955=0),0,MATCH(OFFSET($B955,0,$A955)+1,OFFSET($B955,1,$A955,ROW($A$1504)-ROW($A955)),0))</f>
        <v>0</v>
      </c>
      <c r="J955" s="132" t="s">
        <v>29</v>
      </c>
      <c r="K955" s="121" t="str">
        <f t="shared" ca="1" si="1193"/>
        <v>11.1.10.</v>
      </c>
      <c r="L955" s="137" t="str">
        <f t="shared" ca="1" si="1161"/>
        <v>Cotação</v>
      </c>
      <c r="M955" s="122" t="s">
        <v>80</v>
      </c>
      <c r="N955" s="139" t="s">
        <v>154</v>
      </c>
      <c r="O955" s="137" t="str">
        <f t="shared" ca="1" si="1194"/>
        <v>Locação de caixa térmica</v>
      </c>
      <c r="P955" s="138" t="str">
        <f t="shared" ca="1" si="1162"/>
        <v>Unidade</v>
      </c>
      <c r="Q955" s="134">
        <v>2</v>
      </c>
      <c r="R955" s="124">
        <f t="shared" ca="1" si="1163"/>
        <v>40</v>
      </c>
      <c r="S955" s="136" t="s">
        <v>62</v>
      </c>
      <c r="T955" s="123">
        <f t="shared" ca="1" si="1164"/>
        <v>50</v>
      </c>
      <c r="U955" s="126">
        <f t="shared" ca="1" si="1165"/>
        <v>100</v>
      </c>
      <c r="V955" s="1"/>
      <c r="W955" s="39" t="str">
        <f ca="1">IF(OR($A955=0,$A955="S",$A955&gt;CFF!$A$9),"",MAX(W$11:OFFSET(W955,-1,0))+1)</f>
        <v/>
      </c>
      <c r="X955" s="4" t="str">
        <f t="shared" si="1166"/>
        <v>Serv. Terc.-005</v>
      </c>
      <c r="Y955" s="39">
        <f t="shared" ca="1" si="1195"/>
        <v>85</v>
      </c>
      <c r="Z955" s="1"/>
      <c r="AA955" s="133">
        <f>IF($J955=$G$2,ROUND(IF(ISNUMBER(S955),S955,IF(LEFT(S955,2)="DI",HLOOKUP(S955,DADOS!$T$29:$X$30,2,FALSE),0)),4),"")</f>
        <v>0.25</v>
      </c>
      <c r="AB955" s="2"/>
    </row>
    <row r="956" spans="1:28">
      <c r="A956" t="str">
        <f t="shared" si="1191"/>
        <v>S</v>
      </c>
      <c r="B956">
        <f t="shared" si="1192"/>
        <v>0</v>
      </c>
      <c r="C956">
        <f t="shared" ca="1" si="1156"/>
        <v>11</v>
      </c>
      <c r="D956">
        <f t="shared" ca="1" si="1157"/>
        <v>1</v>
      </c>
      <c r="E956">
        <f t="shared" ca="1" si="1158"/>
        <v>0</v>
      </c>
      <c r="F956">
        <f t="shared" ca="1" si="1159"/>
        <v>0</v>
      </c>
      <c r="G956">
        <f t="shared" ca="1" si="1160"/>
        <v>11</v>
      </c>
      <c r="H956">
        <f ca="1">IF(OR($A956="S",$A956=0),0,MATCH(0,OFFSET($B956,1,$A956,ROW($A$1504)-ROW($A956)),0))</f>
        <v>0</v>
      </c>
      <c r="I956">
        <f ca="1">IF(OR($A956="S",$A956=0),0,MATCH(OFFSET($B956,0,$A956)+1,OFFSET($B956,1,$A956,ROW($A$1504)-ROW($A956)),0))</f>
        <v>0</v>
      </c>
      <c r="J956" s="132" t="s">
        <v>29</v>
      </c>
      <c r="K956" s="121" t="str">
        <f t="shared" ca="1" si="1193"/>
        <v>11.1.11.</v>
      </c>
      <c r="L956" s="137" t="str">
        <f t="shared" ca="1" si="1161"/>
        <v>Cotação</v>
      </c>
      <c r="M956" s="122" t="s">
        <v>80</v>
      </c>
      <c r="N956" s="139" t="s">
        <v>155</v>
      </c>
      <c r="O956" s="137" t="str">
        <f ca="1">IF(NOT(ISERROR($Y956)),IF($Y956&lt;&gt;FALSE,INDEX(Banco,$Y956,5),""),"")</f>
        <v>Locação de tendas</v>
      </c>
      <c r="P956" s="138" t="str">
        <f t="shared" ca="1" si="1162"/>
        <v>Unidade</v>
      </c>
      <c r="Q956" s="134">
        <v>3</v>
      </c>
      <c r="R956" s="124">
        <f t="shared" ca="1" si="1163"/>
        <v>250</v>
      </c>
      <c r="S956" s="136" t="s">
        <v>62</v>
      </c>
      <c r="T956" s="123">
        <f t="shared" ca="1" si="1164"/>
        <v>312.5</v>
      </c>
      <c r="U956" s="126">
        <f t="shared" ca="1" si="1165"/>
        <v>937.5</v>
      </c>
      <c r="V956" s="1"/>
      <c r="W956" s="39" t="str">
        <f ca="1">IF(OR($A956=0,$A956="S",$A956&gt;CFF!$A$9),"",MAX(W$11:OFFSET(W956,-1,0))+1)</f>
        <v/>
      </c>
      <c r="X956" s="4" t="str">
        <f t="shared" si="1166"/>
        <v>Serv. Terc.-006</v>
      </c>
      <c r="Y956" s="39">
        <f t="shared" ca="1" si="1195"/>
        <v>86</v>
      </c>
      <c r="Z956" s="1"/>
      <c r="AA956" s="133">
        <f>IF($J956=$G$2,ROUND(IF(ISNUMBER(S956),S956,IF(LEFT(S956,2)="DI",HLOOKUP(S956,DADOS!$T$29:$X$30,2,FALSE),0)),4),"")</f>
        <v>0.25</v>
      </c>
      <c r="AB956" s="2"/>
    </row>
    <row r="957" spans="1:28">
      <c r="A957" t="str">
        <f t="shared" si="1191"/>
        <v>S</v>
      </c>
      <c r="B957">
        <f t="shared" si="1192"/>
        <v>0</v>
      </c>
      <c r="C957">
        <f t="shared" ca="1" si="1156"/>
        <v>11</v>
      </c>
      <c r="D957">
        <f t="shared" ca="1" si="1157"/>
        <v>1</v>
      </c>
      <c r="E957">
        <f t="shared" ca="1" si="1158"/>
        <v>0</v>
      </c>
      <c r="F957">
        <f t="shared" ca="1" si="1159"/>
        <v>0</v>
      </c>
      <c r="G957">
        <f t="shared" ca="1" si="1160"/>
        <v>12</v>
      </c>
      <c r="H957">
        <f ca="1">IF(OR($A957="S",$A957=0),0,MATCH(0,OFFSET($B957,1,$A957,ROW($A$1504)-ROW($A957)),0))</f>
        <v>0</v>
      </c>
      <c r="I957">
        <f ca="1">IF(OR($A957="S",$A957=0),0,MATCH(OFFSET($B957,0,$A957)+1,OFFSET($B957,1,$A957,ROW($A$1504)-ROW($A957)),0))</f>
        <v>0</v>
      </c>
      <c r="J957" s="132" t="s">
        <v>29</v>
      </c>
      <c r="K957" s="121" t="str">
        <f t="shared" ca="1" si="1193"/>
        <v>11.1.12.</v>
      </c>
      <c r="L957" s="137" t="str">
        <f t="shared" ca="1" si="1161"/>
        <v>Cotação</v>
      </c>
      <c r="M957" s="122" t="s">
        <v>80</v>
      </c>
      <c r="N957" s="139" t="s">
        <v>157</v>
      </c>
      <c r="O957" s="137" t="str">
        <f t="shared" ca="1" si="1194"/>
        <v>Locação de pula-pula com monitor</v>
      </c>
      <c r="P957" s="138" t="str">
        <f t="shared" ca="1" si="1162"/>
        <v>Unidade</v>
      </c>
      <c r="Q957" s="134">
        <v>2</v>
      </c>
      <c r="R957" s="124">
        <f t="shared" ca="1" si="1163"/>
        <v>220</v>
      </c>
      <c r="S957" s="136" t="s">
        <v>62</v>
      </c>
      <c r="T957" s="123">
        <f t="shared" ca="1" si="1164"/>
        <v>275</v>
      </c>
      <c r="U957" s="126">
        <f t="shared" ca="1" si="1165"/>
        <v>550</v>
      </c>
      <c r="V957" s="1"/>
      <c r="W957" s="39" t="str">
        <f ca="1">IF(OR($A957=0,$A957="S",$A957&gt;CFF!$A$9),"",MAX(W$11:OFFSET(W957,-1,0))+1)</f>
        <v/>
      </c>
      <c r="X957" s="4" t="str">
        <f t="shared" si="1166"/>
        <v>Serv. Terc.-008</v>
      </c>
      <c r="Y957" s="39">
        <f t="shared" ca="1" si="1195"/>
        <v>88</v>
      </c>
      <c r="Z957" s="1"/>
      <c r="AA957" s="133">
        <f>IF($J957=$G$2,ROUND(IF(ISNUMBER(S957),S957,IF(LEFT(S957,2)="DI",HLOOKUP(S957,DADOS!$T$29:$X$30,2,FALSE),0)),4),"")</f>
        <v>0.25</v>
      </c>
      <c r="AB957" s="2"/>
    </row>
    <row r="958" spans="1:28">
      <c r="A958" t="str">
        <f t="shared" ref="A958:A963" si="1196">CHOOSE(1+LOG(1+2*(J958=$C$2)+4*(J958=$D$2)+8*(J958=$E$2)+16*(J958=$F$2)+32*(J958=$G$2),2),0,1,2,3,4,"S")</f>
        <v>S</v>
      </c>
      <c r="B958">
        <f t="shared" ref="B958:B963" si="1197">IF(OR(A958="S",A958=0),0,IF(ISERROR(I958),H958,SMALL(H958:I958,1)))</f>
        <v>0</v>
      </c>
      <c r="C958">
        <f t="shared" ca="1" si="1156"/>
        <v>11</v>
      </c>
      <c r="D958">
        <f t="shared" ca="1" si="1157"/>
        <v>1</v>
      </c>
      <c r="E958">
        <f t="shared" ca="1" si="1158"/>
        <v>0</v>
      </c>
      <c r="F958">
        <f t="shared" ca="1" si="1159"/>
        <v>0</v>
      </c>
      <c r="G958">
        <f t="shared" ca="1" si="1160"/>
        <v>13</v>
      </c>
      <c r="H958">
        <f ca="1">IF(OR($A958="S",$A958=0),0,MATCH(0,OFFSET($B958,1,$A958,ROW($A$1504)-ROW($A958)),0))</f>
        <v>0</v>
      </c>
      <c r="I958">
        <f ca="1">IF(OR($A958="S",$A958=0),0,MATCH(OFFSET($B958,0,$A958)+1,OFFSET($B958,1,$A958,ROW($A$1504)-ROW($A958)),0))</f>
        <v>0</v>
      </c>
      <c r="J958" s="132" t="s">
        <v>29</v>
      </c>
      <c r="K958" s="121" t="str">
        <f t="shared" ref="K958:K963" ca="1" si="1198">IF($A958=0,"-",CONCATENATE(C958&amp;".",IF(AND($A$5&gt;=2,$A958&gt;=2),D958&amp;".",""),IF(AND($A$5&gt;=3,$A958&gt;=3),E958&amp;".",""),IF(AND($A$5&gt;=4,$A958&gt;=4),F958&amp;".",""),IF($A958="S",G958&amp;".","")))</f>
        <v>11.1.13.</v>
      </c>
      <c r="L958" s="137" t="str">
        <f t="shared" ca="1" si="1161"/>
        <v>Cotação</v>
      </c>
      <c r="M958" s="122" t="s">
        <v>80</v>
      </c>
      <c r="N958" s="139" t="s">
        <v>161</v>
      </c>
      <c r="O958" s="137" t="str">
        <f ca="1">IF(NOT(ISERROR($Y958)),IF($Y958&lt;&gt;FALSE,INDEX(Banco,$Y958,5),""),"")</f>
        <v>Água (garrafão de 20 litros)</v>
      </c>
      <c r="P958" s="138" t="str">
        <f t="shared" ca="1" si="1162"/>
        <v>Unidade</v>
      </c>
      <c r="Q958" s="134">
        <v>2</v>
      </c>
      <c r="R958" s="124">
        <f t="shared" ca="1" si="1163"/>
        <v>10</v>
      </c>
      <c r="S958" s="136" t="s">
        <v>62</v>
      </c>
      <c r="T958" s="123">
        <f t="shared" ca="1" si="1164"/>
        <v>12.5</v>
      </c>
      <c r="U958" s="126">
        <f t="shared" ca="1" si="1165"/>
        <v>25</v>
      </c>
      <c r="V958" s="1"/>
      <c r="W958" s="39" t="str">
        <f ca="1">IF(OR($A958=0,$A958="S",$A958&gt;CFF!$A$9),"",MAX(W$11:OFFSET(W958,-1,0))+1)</f>
        <v/>
      </c>
      <c r="X958" s="4" t="str">
        <f t="shared" si="1166"/>
        <v>Serv. Terc.-012</v>
      </c>
      <c r="Y958" s="39">
        <f t="shared" ref="Y958:Y963" ca="1" si="1199">IF(X958&lt;&gt;FALSE,MATCH(X958,OFFSET(Banco,0,0,,1),0))</f>
        <v>92</v>
      </c>
      <c r="Z958" s="1"/>
      <c r="AA958" s="133">
        <f>IF($J958=$G$2,ROUND(IF(ISNUMBER(S958),S958,IF(LEFT(S958,2)="DI",HLOOKUP(S958,DADOS!$T$29:$X$30,2,FALSE),0)),4),"")</f>
        <v>0.25</v>
      </c>
      <c r="AB958" s="2"/>
    </row>
    <row r="959" spans="1:28">
      <c r="A959" t="str">
        <f t="shared" si="1196"/>
        <v>S</v>
      </c>
      <c r="B959">
        <f t="shared" si="1197"/>
        <v>0</v>
      </c>
      <c r="C959">
        <f t="shared" ca="1" si="1156"/>
        <v>11</v>
      </c>
      <c r="D959">
        <f t="shared" ca="1" si="1157"/>
        <v>1</v>
      </c>
      <c r="E959">
        <f t="shared" ca="1" si="1158"/>
        <v>0</v>
      </c>
      <c r="F959">
        <f t="shared" ca="1" si="1159"/>
        <v>0</v>
      </c>
      <c r="G959">
        <f t="shared" ca="1" si="1160"/>
        <v>14</v>
      </c>
      <c r="H959">
        <f ca="1">IF(OR($A959="S",$A959=0),0,MATCH(0,OFFSET($B959,1,$A959,ROW($A$1504)-ROW($A959)),0))</f>
        <v>0</v>
      </c>
      <c r="I959">
        <f ca="1">IF(OR($A959="S",$A959=0),0,MATCH(OFFSET($B959,0,$A959)+1,OFFSET($B959,1,$A959,ROW($A$1504)-ROW($A959)),0))</f>
        <v>0</v>
      </c>
      <c r="J959" s="132" t="s">
        <v>29</v>
      </c>
      <c r="K959" s="121" t="str">
        <f t="shared" ca="1" si="1198"/>
        <v>11.1.14.</v>
      </c>
      <c r="L959" s="137" t="str">
        <f t="shared" ca="1" si="1161"/>
        <v xml:space="preserve">Cotação </v>
      </c>
      <c r="M959" s="122" t="s">
        <v>80</v>
      </c>
      <c r="N959" s="139" t="s">
        <v>160</v>
      </c>
      <c r="O959" s="137" t="str">
        <f ca="1">IF(NOT(ISERROR($Y959)),IF($Y959&lt;&gt;FALSE,INDEX(Banco,$Y959,5),""),"")</f>
        <v>Barra de gelo</v>
      </c>
      <c r="P959" s="138" t="str">
        <f t="shared" ca="1" si="1162"/>
        <v>Unidade</v>
      </c>
      <c r="Q959" s="134">
        <v>4</v>
      </c>
      <c r="R959" s="124">
        <f t="shared" ca="1" si="1163"/>
        <v>12</v>
      </c>
      <c r="S959" s="136" t="s">
        <v>62</v>
      </c>
      <c r="T959" s="123">
        <f t="shared" ca="1" si="1164"/>
        <v>15</v>
      </c>
      <c r="U959" s="126">
        <f t="shared" ca="1" si="1165"/>
        <v>60</v>
      </c>
      <c r="V959" s="1"/>
      <c r="W959" s="39" t="str">
        <f ca="1">IF(OR($A959=0,$A959="S",$A959&gt;CFF!$A$9),"",MAX(W$11:OFFSET(W959,-1,0))+1)</f>
        <v/>
      </c>
      <c r="X959" s="4" t="str">
        <f t="shared" si="1166"/>
        <v>Serv. Terc.-011</v>
      </c>
      <c r="Y959" s="39">
        <f t="shared" ca="1" si="1199"/>
        <v>91</v>
      </c>
      <c r="Z959" s="1"/>
      <c r="AA959" s="133">
        <f>IF($J959=$G$2,ROUND(IF(ISNUMBER(S959),S959,IF(LEFT(S959,2)="DI",HLOOKUP(S959,DADOS!$T$29:$X$30,2,FALSE),0)),4),"")</f>
        <v>0.25</v>
      </c>
      <c r="AB959" s="2"/>
    </row>
    <row r="960" spans="1:28">
      <c r="A960" t="str">
        <f t="shared" si="1196"/>
        <v>S</v>
      </c>
      <c r="B960">
        <f t="shared" si="1197"/>
        <v>0</v>
      </c>
      <c r="C960">
        <f t="shared" ca="1" si="1156"/>
        <v>11</v>
      </c>
      <c r="D960">
        <f t="shared" ca="1" si="1157"/>
        <v>1</v>
      </c>
      <c r="E960">
        <f t="shared" ca="1" si="1158"/>
        <v>0</v>
      </c>
      <c r="F960">
        <f t="shared" ca="1" si="1159"/>
        <v>0</v>
      </c>
      <c r="G960">
        <f t="shared" ca="1" si="1160"/>
        <v>15</v>
      </c>
      <c r="H960">
        <f ca="1">IF(OR($A960="S",$A960=0),0,MATCH(0,OFFSET($B960,1,$A960,ROW($A$1504)-ROW($A960)),0))</f>
        <v>0</v>
      </c>
      <c r="I960">
        <f ca="1">IF(OR($A960="S",$A960=0),0,MATCH(OFFSET($B960,0,$A960)+1,OFFSET($B960,1,$A960,ROW($A$1504)-ROW($A960)),0))</f>
        <v>0</v>
      </c>
      <c r="J960" s="132" t="s">
        <v>29</v>
      </c>
      <c r="K960" s="121" t="str">
        <f t="shared" ca="1" si="1198"/>
        <v>11.1.15.</v>
      </c>
      <c r="L960" s="137" t="str">
        <f t="shared" ca="1" si="1161"/>
        <v>Cotação</v>
      </c>
      <c r="M960" s="122" t="s">
        <v>80</v>
      </c>
      <c r="N960" s="139" t="s">
        <v>150</v>
      </c>
      <c r="O960" s="137" t="str">
        <f ca="1">IF(NOT(ISERROR($Y960)),IF($Y960&lt;&gt;FALSE,INDEX(Banco,$Y960,5),""),"")</f>
        <v>Sucos</v>
      </c>
      <c r="P960" s="138" t="str">
        <f t="shared" ca="1" si="1162"/>
        <v>Unidade</v>
      </c>
      <c r="Q960" s="134">
        <v>12</v>
      </c>
      <c r="R960" s="124">
        <f t="shared" ca="1" si="1163"/>
        <v>6.4</v>
      </c>
      <c r="S960" s="136" t="s">
        <v>62</v>
      </c>
      <c r="T960" s="123">
        <f t="shared" ca="1" si="1164"/>
        <v>8</v>
      </c>
      <c r="U960" s="126">
        <f t="shared" ca="1" si="1165"/>
        <v>96</v>
      </c>
      <c r="V960" s="1"/>
      <c r="W960" s="39" t="str">
        <f ca="1">IF(OR($A960=0,$A960="S",$A960&gt;CFF!$A$9),"",MAX(W$11:OFFSET(W960,-1,0))+1)</f>
        <v/>
      </c>
      <c r="X960" s="4" t="str">
        <f t="shared" si="1166"/>
        <v>Serv. Terc.-013</v>
      </c>
      <c r="Y960" s="39">
        <f t="shared" ca="1" si="1199"/>
        <v>93</v>
      </c>
      <c r="Z960" s="1"/>
      <c r="AA960" s="133">
        <f>IF($J960=$G$2,ROUND(IF(ISNUMBER(S960),S960,IF(LEFT(S960,2)="DI",HLOOKUP(S960,DADOS!$T$29:$X$30,2,FALSE),0)),4),"")</f>
        <v>0.25</v>
      </c>
      <c r="AB960" s="2"/>
    </row>
    <row r="961" spans="1:28">
      <c r="A961" t="str">
        <f>CHOOSE(1+LOG(1+2*(J961=$C$2)+4*(J961=$D$2)+8*(J961=$E$2)+16*(J961=$F$2)+32*(J961=$G$2),2),0,1,2,3,4,"S")</f>
        <v>S</v>
      </c>
      <c r="B961">
        <f>IF(OR(A961="S",A961=0),0,IF(ISERROR(I961),H961,SMALL(H961:I961,1)))</f>
        <v>0</v>
      </c>
      <c r="C961">
        <f ca="1">IF($A961=1,OFFSET(C961,-1,0)+1,OFFSET(C961,-1,0))</f>
        <v>11</v>
      </c>
      <c r="D961">
        <f ca="1">IF($A961=1,0,IF($A961=2,OFFSET(D961,-1,0)+1,OFFSET(D961,-1,0)))</f>
        <v>1</v>
      </c>
      <c r="E961">
        <f ca="1">IF(AND($A961&lt;=2,$A961&lt;&gt;0),0,IF($A961=3,OFFSET(E961,-1,0)+1,OFFSET(E961,-1,0)))</f>
        <v>0</v>
      </c>
      <c r="F961">
        <f ca="1">IF(AND($A961&lt;=3,$A961&lt;&gt;0),0,IF($A961=4,OFFSET(F961,-1,0)+1,OFFSET(F961,-1,0)))</f>
        <v>0</v>
      </c>
      <c r="G961">
        <f ca="1">IF(AND($A961&lt;=4,$A961&lt;&gt;0),0,IF($A961="S",OFFSET(G961,-1,0)+1,OFFSET(G961,-1,0)))</f>
        <v>16</v>
      </c>
      <c r="H961">
        <f ca="1">IF(OR($A961="S",$A961=0),0,MATCH(0,OFFSET($B961,1,$A961,ROW($A$1504)-ROW($A961)),0))</f>
        <v>0</v>
      </c>
      <c r="I961">
        <f ca="1">IF(OR($A961="S",$A961=0),0,MATCH(OFFSET($B961,0,$A961)+1,OFFSET($B961,1,$A961,ROW($A$1504)-ROW($A961)),0))</f>
        <v>0</v>
      </c>
      <c r="J961" s="132" t="s">
        <v>29</v>
      </c>
      <c r="K961" s="121" t="str">
        <f ca="1">IF($A961=0,"-",CONCATENATE(C961&amp;".",IF(AND($A$5&gt;=2,$A961&gt;=2),D961&amp;".",""),IF(AND($A$5&gt;=3,$A961&gt;=3),E961&amp;".",""),IF(AND($A$5&gt;=4,$A961&gt;=4),F961&amp;".",""),IF($A961="S",G961&amp;".","")))</f>
        <v>11.1.16.</v>
      </c>
      <c r="L961" s="137" t="str">
        <f ca="1">IF(NOT(ISERROR($Y961)),IF($Y961&lt;&gt;FALSE,INDEX(Banco,$Y961,4),""),"")</f>
        <v>Cotação</v>
      </c>
      <c r="M961" s="122" t="s">
        <v>80</v>
      </c>
      <c r="N961" s="139" t="s">
        <v>171</v>
      </c>
      <c r="O961" s="137" t="str">
        <f ca="1">IF(NOT(ISERROR($Y961)),IF($Y961&lt;&gt;FALSE,INDEX(Banco,$Y961,5),""),"")</f>
        <v xml:space="preserve">Refrigerantes (02 litros) </v>
      </c>
      <c r="P961" s="138" t="str">
        <f ca="1">IF(NOT(ISERROR($Y961)),IF($Y961&lt;&gt;FALSE,INDEX(Banco,$Y961,6),""),"")</f>
        <v>Unidade</v>
      </c>
      <c r="Q961" s="134">
        <v>20</v>
      </c>
      <c r="R961" s="124">
        <f ca="1">IF(NOT(ISERROR($Y961)),IF($Y961&lt;&gt;FALSE,INDEX(Banco,$Y961,7),0),0)</f>
        <v>6</v>
      </c>
      <c r="S961" s="136" t="s">
        <v>62</v>
      </c>
      <c r="T961" s="123">
        <f ca="1">IF($J961=$G$2,ROUND(ROUND($R961,2)*IF($R$9="Preço Unitário (R$)",1,1+$AA961),2),0)</f>
        <v>7.5</v>
      </c>
      <c r="U961" s="126">
        <f ca="1">IF($A961="S",VTOTAL1,IF($A961=0,0,ROUND(SomaAgrup,2)))</f>
        <v>150</v>
      </c>
      <c r="V961" s="1"/>
      <c r="W961" s="39" t="str">
        <f ca="1">IF(OR($A961=0,$A961="S",$A961&gt;CFF!$A$9),"",MAX(W$11:OFFSET(W961,-1,0))+1)</f>
        <v/>
      </c>
      <c r="X961" s="4" t="str">
        <f>IF(AND($J961=$G$2,$N961&lt;&gt;"",$M961&lt;&gt;""),CONCATENATE($M961,"-",$N961))</f>
        <v>Serv. Terc.-027</v>
      </c>
      <c r="Y961" s="39">
        <f ca="1">IF(X961&lt;&gt;FALSE,MATCH(X961,OFFSET(Banco,0,0,,1),0))</f>
        <v>107</v>
      </c>
      <c r="Z961" s="1"/>
      <c r="AA961" s="133">
        <f>IF($J961=$G$2,ROUND(IF(ISNUMBER(S961),S961,IF(LEFT(S961,2)="DI",HLOOKUP(S961,DADOS!$T$29:$X$30,2,FALSE),0)),4),"")</f>
        <v>0.25</v>
      </c>
      <c r="AB961" s="2"/>
    </row>
    <row r="962" spans="1:28">
      <c r="A962" t="str">
        <f t="shared" si="1196"/>
        <v>S</v>
      </c>
      <c r="B962">
        <f t="shared" si="1197"/>
        <v>0</v>
      </c>
      <c r="C962">
        <f t="shared" ca="1" si="1156"/>
        <v>11</v>
      </c>
      <c r="D962">
        <f t="shared" ca="1" si="1157"/>
        <v>1</v>
      </c>
      <c r="E962">
        <f t="shared" ca="1" si="1158"/>
        <v>0</v>
      </c>
      <c r="F962">
        <f t="shared" ca="1" si="1159"/>
        <v>0</v>
      </c>
      <c r="G962">
        <f t="shared" ca="1" si="1160"/>
        <v>17</v>
      </c>
      <c r="H962">
        <f ca="1">IF(OR($A962="S",$A962=0),0,MATCH(0,OFFSET($B962,1,$A962,ROW($A$1504)-ROW($A962)),0))</f>
        <v>0</v>
      </c>
      <c r="I962">
        <f ca="1">IF(OR($A962="S",$A962=0),0,MATCH(OFFSET($B962,0,$A962)+1,OFFSET($B962,1,$A962,ROW($A$1504)-ROW($A962)),0))</f>
        <v>0</v>
      </c>
      <c r="J962" s="132" t="s">
        <v>29</v>
      </c>
      <c r="K962" s="121" t="str">
        <f t="shared" ca="1" si="1198"/>
        <v>11.1.17.</v>
      </c>
      <c r="L962" s="137" t="str">
        <f t="shared" ca="1" si="1161"/>
        <v xml:space="preserve">Cotação </v>
      </c>
      <c r="M962" s="122" t="s">
        <v>80</v>
      </c>
      <c r="N962" s="139" t="s">
        <v>159</v>
      </c>
      <c r="O962" s="137" t="str">
        <f ca="1">IF(NOT(ISERROR($Y962)),IF($Y962&lt;&gt;FALSE,INDEX(Banco,$Y962,5),""),"")</f>
        <v>Brindes ( descrição nos orçamentos e PTS)</v>
      </c>
      <c r="P962" s="138" t="str">
        <f t="shared" ca="1" si="1162"/>
        <v>Unidade</v>
      </c>
      <c r="Q962" s="134">
        <v>8</v>
      </c>
      <c r="R962" s="124">
        <f t="shared" ca="1" si="1163"/>
        <v>120</v>
      </c>
      <c r="S962" s="136" t="s">
        <v>62</v>
      </c>
      <c r="T962" s="123">
        <f t="shared" ca="1" si="1164"/>
        <v>150</v>
      </c>
      <c r="U962" s="126">
        <f t="shared" ca="1" si="1165"/>
        <v>1200</v>
      </c>
      <c r="V962" s="1"/>
      <c r="W962" s="39" t="str">
        <f ca="1">IF(OR($A962=0,$A962="S",$A962&gt;CFF!$A$9),"",MAX(W$11:OFFSET(W962,-1,0))+1)</f>
        <v/>
      </c>
      <c r="X962" s="4" t="str">
        <f t="shared" si="1166"/>
        <v>Serv. Terc.-010</v>
      </c>
      <c r="Y962" s="39">
        <f t="shared" ca="1" si="1199"/>
        <v>90</v>
      </c>
      <c r="Z962" s="1"/>
      <c r="AA962" s="133">
        <f>IF($J962=$G$2,ROUND(IF(ISNUMBER(S962),S962,IF(LEFT(S962,2)="DI",HLOOKUP(S962,DADOS!$T$29:$X$30,2,FALSE),0)),4),"")</f>
        <v>0.25</v>
      </c>
      <c r="AB962" s="2"/>
    </row>
    <row r="963" spans="1:28">
      <c r="A963" t="str">
        <f t="shared" si="1196"/>
        <v>S</v>
      </c>
      <c r="B963">
        <f t="shared" si="1197"/>
        <v>0</v>
      </c>
      <c r="C963">
        <f t="shared" ca="1" si="1156"/>
        <v>11</v>
      </c>
      <c r="D963">
        <f t="shared" ca="1" si="1157"/>
        <v>1</v>
      </c>
      <c r="E963">
        <f t="shared" ca="1" si="1158"/>
        <v>0</v>
      </c>
      <c r="F963">
        <f t="shared" ca="1" si="1159"/>
        <v>0</v>
      </c>
      <c r="G963">
        <f t="shared" ca="1" si="1160"/>
        <v>18</v>
      </c>
      <c r="H963">
        <f ca="1">IF(OR($A963="S",$A963=0),0,MATCH(0,OFFSET($B963,1,$A963,ROW($A$1504)-ROW($A963)),0))</f>
        <v>0</v>
      </c>
      <c r="I963">
        <f ca="1">IF(OR($A963="S",$A963=0),0,MATCH(OFFSET($B963,0,$A963)+1,OFFSET($B963,1,$A963,ROW($A$1504)-ROW($A963)),0))</f>
        <v>0</v>
      </c>
      <c r="J963" s="132" t="s">
        <v>29</v>
      </c>
      <c r="K963" s="121" t="str">
        <f t="shared" ca="1" si="1198"/>
        <v>11.1.18.</v>
      </c>
      <c r="L963" s="137" t="str">
        <f t="shared" ca="1" si="1161"/>
        <v>Cotação</v>
      </c>
      <c r="M963" s="122" t="s">
        <v>80</v>
      </c>
      <c r="N963" s="139" t="s">
        <v>162</v>
      </c>
      <c r="O963" s="137" t="str">
        <f t="shared" ca="1" si="1194"/>
        <v>Coffee break (salgados)</v>
      </c>
      <c r="P963" s="138" t="str">
        <f t="shared" ca="1" si="1162"/>
        <v>Centro</v>
      </c>
      <c r="Q963" s="134">
        <v>15</v>
      </c>
      <c r="R963" s="124">
        <f t="shared" ca="1" si="1163"/>
        <v>65</v>
      </c>
      <c r="S963" s="136" t="s">
        <v>62</v>
      </c>
      <c r="T963" s="123">
        <f t="shared" ca="1" si="1164"/>
        <v>81.25</v>
      </c>
      <c r="U963" s="126">
        <f t="shared" ca="1" si="1165"/>
        <v>1218.75</v>
      </c>
      <c r="V963" s="1"/>
      <c r="W963" s="39" t="str">
        <f ca="1">IF(OR($A963=0,$A963="S",$A963&gt;CFF!$A$9),"",MAX(W$11:OFFSET(W963,-1,0))+1)</f>
        <v/>
      </c>
      <c r="X963" s="4" t="str">
        <f t="shared" si="1166"/>
        <v>Serv. Terc.-015</v>
      </c>
      <c r="Y963" s="39">
        <f t="shared" ca="1" si="1199"/>
        <v>95</v>
      </c>
      <c r="Z963" s="1"/>
      <c r="AA963" s="133">
        <f>IF($J963=$G$2,ROUND(IF(ISNUMBER(S963),S963,IF(LEFT(S963,2)="DI",HLOOKUP(S963,DADOS!$T$29:$X$30,2,FALSE),0)),4),"")</f>
        <v>0.25</v>
      </c>
      <c r="AB963" s="2"/>
    </row>
    <row r="964" spans="1:28">
      <c r="A964" t="str">
        <f>CHOOSE(1+LOG(1+2*(J964=$C$2)+4*(J964=$D$2)+8*(J964=$E$2)+16*(J964=$F$2)+32*(J964=$G$2),2),0,1,2,3,4,"S")</f>
        <v>S</v>
      </c>
      <c r="B964">
        <f>IF(OR(A964="S",A964=0),0,IF(ISERROR(I964),H964,SMALL(H964:I964,1)))</f>
        <v>0</v>
      </c>
      <c r="C964">
        <f ca="1">IF($A964=1,OFFSET(C964,-1,0)+1,OFFSET(C964,-1,0))</f>
        <v>11</v>
      </c>
      <c r="D964">
        <f ca="1">IF($A964=1,0,IF($A964=2,OFFSET(D964,-1,0)+1,OFFSET(D964,-1,0)))</f>
        <v>1</v>
      </c>
      <c r="E964">
        <f ca="1">IF(AND($A964&lt;=2,$A964&lt;&gt;0),0,IF($A964=3,OFFSET(E964,-1,0)+1,OFFSET(E964,-1,0)))</f>
        <v>0</v>
      </c>
      <c r="F964">
        <f ca="1">IF(AND($A964&lt;=3,$A964&lt;&gt;0),0,IF($A964=4,OFFSET(F964,-1,0)+1,OFFSET(F964,-1,0)))</f>
        <v>0</v>
      </c>
      <c r="G964">
        <f ca="1">IF(AND($A964&lt;=4,$A964&lt;&gt;0),0,IF($A964="S",OFFSET(G964,-1,0)+1,OFFSET(G964,-1,0)))</f>
        <v>19</v>
      </c>
      <c r="H964">
        <f ca="1">IF(OR($A964="S",$A964=0),0,MATCH(0,OFFSET($B964,1,$A964,ROW($A$1504)-ROW($A964)),0))</f>
        <v>0</v>
      </c>
      <c r="I964">
        <f ca="1">IF(OR($A964="S",$A964=0),0,MATCH(OFFSET($B964,0,$A964)+1,OFFSET($B964,1,$A964,ROW($A$1504)-ROW($A964)),0))</f>
        <v>0</v>
      </c>
      <c r="J964" s="132" t="s">
        <v>29</v>
      </c>
      <c r="K964" s="121" t="str">
        <f ca="1">IF($A964=0,"-",CONCATENATE(C964&amp;".",IF(AND($A$5&gt;=2,$A964&gt;=2),D964&amp;".",""),IF(AND($A$5&gt;=3,$A964&gt;=3),E964&amp;".",""),IF(AND($A$5&gt;=4,$A964&gt;=4),F964&amp;".",""),IF($A964="S",G964&amp;".","")))</f>
        <v>11.1.19.</v>
      </c>
      <c r="L964" s="137" t="str">
        <f ca="1">IF(NOT(ISERROR($Y964)),IF($Y964&lt;&gt;FALSE,INDEX(Banco,$Y964,4),""),"")</f>
        <v>CRESS</v>
      </c>
      <c r="M964" s="122" t="s">
        <v>80</v>
      </c>
      <c r="N964" s="139" t="s">
        <v>276</v>
      </c>
      <c r="O964" s="137" t="str">
        <f ca="1">IF(NOT(ISERROR($Y964)),IF($Y964&lt;&gt;FALSE,INDEX(Banco,$Y964,5),""),"")</f>
        <v>Assistente Social com especialização em politicas sociais</v>
      </c>
      <c r="P964" s="138" t="str">
        <f ca="1">IF(NOT(ISERROR($Y964)),IF($Y964&lt;&gt;FALSE,INDEX(Banco,$Y964,6),""),"")</f>
        <v>Horas</v>
      </c>
      <c r="Q964" s="134">
        <v>6</v>
      </c>
      <c r="R964" s="124">
        <f ca="1">IF(NOT(ISERROR($Y964)),IF($Y964&lt;&gt;FALSE,INDEX(Banco,$Y964,7),0),0)</f>
        <v>141.75</v>
      </c>
      <c r="S964" s="136" t="s">
        <v>62</v>
      </c>
      <c r="T964" s="123">
        <f ca="1">IF($J964=$G$2,ROUND(ROUND($R964,2)*IF($R$9="Preço Unitário (R$)",1,1+$AA964),2),0)</f>
        <v>177.19</v>
      </c>
      <c r="U964" s="126">
        <f ca="1">IF($A964="S",VTOTAL1,IF($A964=0,0,ROUND(SomaAgrup,2)))</f>
        <v>1063.1400000000001</v>
      </c>
      <c r="V964" s="1"/>
      <c r="W964" s="39" t="str">
        <f ca="1">IF(OR($A964=0,$A964="S",$A964&gt;CFF!$A$9),"",MAX(W$11:OFFSET(W964,-1,0))+1)</f>
        <v/>
      </c>
      <c r="X964" s="4" t="str">
        <f>IF(AND($J964=$G$2,$N964&lt;&gt;"",$M964&lt;&gt;""),CONCATENATE($M964,"-",$N964))</f>
        <v>Serv. Terc.-065</v>
      </c>
      <c r="Y964" s="39">
        <f ca="1">IF(X964&lt;&gt;FALSE,MATCH(X964,OFFSET(Banco,0,0,,1),0))</f>
        <v>145</v>
      </c>
      <c r="Z964" s="1"/>
      <c r="AA964" s="133">
        <f>IF($J964=$G$2,ROUND(IF(ISNUMBER(S964),S964,IF(LEFT(S964,2)="DI",HLOOKUP(S964,DADOS!$T$29:$X$30,2,FALSE),0)),4),"")</f>
        <v>0.25</v>
      </c>
      <c r="AB964" s="2"/>
    </row>
    <row r="965" spans="1:28">
      <c r="A965" t="str">
        <f t="shared" ref="A965:A970" si="1200">CHOOSE(1+LOG(1+2*(J965=$C$2)+4*(J965=$D$2)+8*(J965=$E$2)+16*(J965=$F$2)+32*(J965=$G$2),2),0,1,2,3,4,"S")</f>
        <v>S</v>
      </c>
      <c r="B965">
        <f t="shared" ref="B965:B970" si="1201">IF(OR(A965="S",A965=0),0,IF(ISERROR(I965),H965,SMALL(H965:I965,1)))</f>
        <v>0</v>
      </c>
      <c r="C965">
        <f t="shared" ref="C965:C976" ca="1" si="1202">IF($A965=1,OFFSET(C965,-1,0)+1,OFFSET(C965,-1,0))</f>
        <v>11</v>
      </c>
      <c r="D965">
        <f t="shared" ref="D965:D976" ca="1" si="1203">IF($A965=1,0,IF($A965=2,OFFSET(D965,-1,0)+1,OFFSET(D965,-1,0)))</f>
        <v>1</v>
      </c>
      <c r="E965">
        <f t="shared" ref="E965:E976" ca="1" si="1204">IF(AND($A965&lt;=2,$A965&lt;&gt;0),0,IF($A965=3,OFFSET(E965,-1,0)+1,OFFSET(E965,-1,0)))</f>
        <v>0</v>
      </c>
      <c r="F965">
        <f t="shared" ref="F965:F976" ca="1" si="1205">IF(AND($A965&lt;=3,$A965&lt;&gt;0),0,IF($A965=4,OFFSET(F965,-1,0)+1,OFFSET(F965,-1,0)))</f>
        <v>0</v>
      </c>
      <c r="G965">
        <f t="shared" ref="G965:G976" ca="1" si="1206">IF(AND($A965&lt;=4,$A965&lt;&gt;0),0,IF($A965="S",OFFSET(G965,-1,0)+1,OFFSET(G965,-1,0)))</f>
        <v>20</v>
      </c>
      <c r="H965">
        <f ca="1">IF(OR($A965="S",$A965=0),0,MATCH(0,OFFSET($B965,1,$A965,ROW($A$1504)-ROW($A965)),0))</f>
        <v>0</v>
      </c>
      <c r="I965">
        <f ca="1">IF(OR($A965="S",$A965=0),0,MATCH(OFFSET($B965,0,$A965)+1,OFFSET($B965,1,$A965,ROW($A$1504)-ROW($A965)),0))</f>
        <v>0</v>
      </c>
      <c r="J965" s="132" t="s">
        <v>29</v>
      </c>
      <c r="K965" s="121" t="str">
        <f t="shared" ref="K965:K970" ca="1" si="1207">IF($A965=0,"-",CONCATENATE(C965&amp;".",IF(AND($A$5&gt;=2,$A965&gt;=2),D965&amp;".",""),IF(AND($A$5&gt;=3,$A965&gt;=3),E965&amp;".",""),IF(AND($A$5&gt;=4,$A965&gt;=4),F965&amp;".",""),IF($A965="S",G965&amp;".","")))</f>
        <v>11.1.20.</v>
      </c>
      <c r="L965" s="137" t="str">
        <f t="shared" ref="L965:L976" ca="1" si="1208">IF(NOT(ISERROR($Y965)),IF($Y965&lt;&gt;FALSE,INDEX(Banco,$Y965,4),""),"")</f>
        <v>Cotação</v>
      </c>
      <c r="M965" s="122" t="s">
        <v>79</v>
      </c>
      <c r="N965" s="139" t="s">
        <v>163</v>
      </c>
      <c r="O965" s="137" t="str">
        <f t="shared" ref="O965:O970" ca="1" si="1209">IF(NOT(ISERROR($Y965)),IF($Y965&lt;&gt;FALSE,INDEX(Banco,$Y965,5),""),"")</f>
        <v>Guloseimas (balas e pirulito)</v>
      </c>
      <c r="P965" s="138" t="str">
        <f t="shared" ref="P965:P976" ca="1" si="1210">IF(NOT(ISERROR($Y965)),IF($Y965&lt;&gt;FALSE,INDEX(Banco,$Y965,6),""),"")</f>
        <v>Pacote</v>
      </c>
      <c r="Q965" s="134">
        <v>8</v>
      </c>
      <c r="R965" s="124">
        <f t="shared" ref="R965:R976" ca="1" si="1211">IF(NOT(ISERROR($Y965)),IF($Y965&lt;&gt;FALSE,INDEX(Banco,$Y965,7),0),0)</f>
        <v>12</v>
      </c>
      <c r="S965" s="136" t="s">
        <v>62</v>
      </c>
      <c r="T965" s="123">
        <f t="shared" ref="T965:T976" ca="1" si="1212">IF($J965=$G$2,ROUND(ROUND($R965,2)*IF($R$9="Preço Unitário (R$)",1,1+$AA965),2),0)</f>
        <v>15</v>
      </c>
      <c r="U965" s="126">
        <f t="shared" ref="U965:U976" ca="1" si="1213">IF($A965="S",VTOTAL1,IF($A965=0,0,ROUND(SomaAgrup,2)))</f>
        <v>120</v>
      </c>
      <c r="V965" s="1"/>
      <c r="W965" s="39" t="str">
        <f ca="1">IF(OR($A965=0,$A965="S",$A965&gt;CFF!$A$9),"",MAX(W$11:OFFSET(W965,-1,0))+1)</f>
        <v/>
      </c>
      <c r="X965" s="4" t="str">
        <f t="shared" ref="X965:X976" si="1214">IF(AND($J965=$G$2,$N965&lt;&gt;"",$M965&lt;&gt;""),CONCATENATE($M965,"-",$N965))</f>
        <v>Rec. Materiais-020</v>
      </c>
      <c r="Y965" s="39">
        <f t="shared" ref="Y965:Y970" ca="1" si="1215">IF(X965&lt;&gt;FALSE,MATCH(X965,OFFSET(Banco,0,0,,1),0))</f>
        <v>29</v>
      </c>
      <c r="Z965" s="1"/>
      <c r="AA965" s="133">
        <f>IF($J965=$G$2,ROUND(IF(ISNUMBER(S965),S965,IF(LEFT(S965,2)="DI",HLOOKUP(S965,DADOS!$T$29:$X$30,2,FALSE),0)),4),"")</f>
        <v>0.25</v>
      </c>
      <c r="AB965" s="2"/>
    </row>
    <row r="966" spans="1:28">
      <c r="A966" t="str">
        <f>CHOOSE(1+LOG(1+2*(J966=$C$2)+4*(J966=$D$2)+8*(J966=$E$2)+16*(J966=$F$2)+32*(J966=$G$2),2),0,1,2,3,4,"S")</f>
        <v>S</v>
      </c>
      <c r="B966">
        <f>IF(OR(A966="S",A966=0),0,IF(ISERROR(I966),H966,SMALL(H966:I966,1)))</f>
        <v>0</v>
      </c>
      <c r="C966">
        <f t="shared" ca="1" si="1202"/>
        <v>11</v>
      </c>
      <c r="D966">
        <f t="shared" ca="1" si="1203"/>
        <v>1</v>
      </c>
      <c r="E966">
        <f t="shared" ca="1" si="1204"/>
        <v>0</v>
      </c>
      <c r="F966">
        <f t="shared" ca="1" si="1205"/>
        <v>0</v>
      </c>
      <c r="G966">
        <f t="shared" ca="1" si="1206"/>
        <v>21</v>
      </c>
      <c r="H966">
        <f ca="1">IF(OR($A966="S",$A966=0),0,MATCH(0,OFFSET($B966,1,$A966,ROW($A$1504)-ROW($A966)),0))</f>
        <v>0</v>
      </c>
      <c r="I966">
        <f ca="1">IF(OR($A966="S",$A966=0),0,MATCH(OFFSET($B966,0,$A966)+1,OFFSET($B966,1,$A966,ROW($A$1504)-ROW($A966)),0))</f>
        <v>0</v>
      </c>
      <c r="J966" s="132" t="s">
        <v>29</v>
      </c>
      <c r="K966" s="121" t="str">
        <f ca="1">IF($A966=0,"-",CONCATENATE(C966&amp;".",IF(AND($A$5&gt;=2,$A966&gt;=2),D966&amp;".",""),IF(AND($A$5&gt;=3,$A966&gt;=3),E966&amp;".",""),IF(AND($A$5&gt;=4,$A966&gt;=4),F966&amp;".",""),IF($A966="S",G966&amp;".","")))</f>
        <v>11.1.21.</v>
      </c>
      <c r="L966" s="137" t="str">
        <f t="shared" ca="1" si="1208"/>
        <v>Cotação</v>
      </c>
      <c r="M966" s="122" t="s">
        <v>79</v>
      </c>
      <c r="N966" s="139" t="s">
        <v>149</v>
      </c>
      <c r="O966" s="137" t="str">
        <f t="shared" ca="1" si="1209"/>
        <v>Papel A4</v>
      </c>
      <c r="P966" s="138" t="str">
        <f t="shared" ca="1" si="1210"/>
        <v>Resma</v>
      </c>
      <c r="Q966" s="134">
        <v>1</v>
      </c>
      <c r="R966" s="124">
        <f t="shared" ca="1" si="1211"/>
        <v>28</v>
      </c>
      <c r="S966" s="136" t="s">
        <v>62</v>
      </c>
      <c r="T966" s="123">
        <f t="shared" ca="1" si="1212"/>
        <v>35</v>
      </c>
      <c r="U966" s="126">
        <f t="shared" ca="1" si="1213"/>
        <v>35</v>
      </c>
      <c r="V966" s="1"/>
      <c r="W966" s="39" t="str">
        <f ca="1">IF(OR($A966=0,$A966="S",$A966&gt;CFF!$A$9),"",MAX(W$11:OFFSET(W966,-1,0))+1)</f>
        <v/>
      </c>
      <c r="X966" s="4" t="str">
        <f t="shared" si="1214"/>
        <v>Rec. Materiais-001</v>
      </c>
      <c r="Y966" s="39">
        <f ca="1">IF(X966&lt;&gt;FALSE,MATCH(X966,OFFSET(Banco,0,0,,1),0))</f>
        <v>10</v>
      </c>
      <c r="Z966" s="1"/>
      <c r="AA966" s="133">
        <f>IF($J966=$G$2,ROUND(IF(ISNUMBER(S966),S966,IF(LEFT(S966,2)="DI",HLOOKUP(S966,DADOS!$T$29:$X$30,2,FALSE),0)),4),"")</f>
        <v>0.25</v>
      </c>
      <c r="AB966" s="2"/>
    </row>
    <row r="967" spans="1:28">
      <c r="A967" t="str">
        <f>CHOOSE(1+LOG(1+2*(J967=$C$2)+4*(J967=$D$2)+8*(J967=$E$2)+16*(J967=$F$2)+32*(J967=$G$2),2),0,1,2,3,4,"S")</f>
        <v>S</v>
      </c>
      <c r="B967">
        <f>IF(OR(A967="S",A967=0),0,IF(ISERROR(I967),H967,SMALL(H967:I967,1)))</f>
        <v>0</v>
      </c>
      <c r="C967">
        <f t="shared" ca="1" si="1202"/>
        <v>11</v>
      </c>
      <c r="D967">
        <f t="shared" ca="1" si="1203"/>
        <v>1</v>
      </c>
      <c r="E967">
        <f t="shared" ca="1" si="1204"/>
        <v>0</v>
      </c>
      <c r="F967">
        <f t="shared" ca="1" si="1205"/>
        <v>0</v>
      </c>
      <c r="G967">
        <f t="shared" ca="1" si="1206"/>
        <v>22</v>
      </c>
      <c r="H967">
        <f ca="1">IF(OR($A967="S",$A967=0),0,MATCH(0,OFFSET($B967,1,$A967,ROW($A$1504)-ROW($A967)),0))</f>
        <v>0</v>
      </c>
      <c r="I967">
        <f ca="1">IF(OR($A967="S",$A967=0),0,MATCH(OFFSET($B967,0,$A967)+1,OFFSET($B967,1,$A967,ROW($A$1504)-ROW($A967)),0))</f>
        <v>0</v>
      </c>
      <c r="J967" s="132" t="s">
        <v>29</v>
      </c>
      <c r="K967" s="121" t="str">
        <f ca="1">IF($A967=0,"-",CONCATENATE(C967&amp;".",IF(AND($A$5&gt;=2,$A967&gt;=2),D967&amp;".",""),IF(AND($A$5&gt;=3,$A967&gt;=3),E967&amp;".",""),IF(AND($A$5&gt;=4,$A967&gt;=4),F967&amp;".",""),IF($A967="S",G967&amp;".","")))</f>
        <v>11.1.22.</v>
      </c>
      <c r="L967" s="137" t="str">
        <f t="shared" ca="1" si="1208"/>
        <v>Cotação</v>
      </c>
      <c r="M967" s="122" t="s">
        <v>79</v>
      </c>
      <c r="N967" s="139" t="s">
        <v>152</v>
      </c>
      <c r="O967" s="137" t="str">
        <f t="shared" ca="1" si="1209"/>
        <v>Toner para impressora</v>
      </c>
      <c r="P967" s="138" t="str">
        <f t="shared" ca="1" si="1210"/>
        <v>Unidade</v>
      </c>
      <c r="Q967" s="134">
        <v>4</v>
      </c>
      <c r="R967" s="124">
        <f t="shared" ca="1" si="1211"/>
        <v>180</v>
      </c>
      <c r="S967" s="136" t="s">
        <v>62</v>
      </c>
      <c r="T967" s="123">
        <f t="shared" ca="1" si="1212"/>
        <v>225</v>
      </c>
      <c r="U967" s="126">
        <f t="shared" ca="1" si="1213"/>
        <v>900</v>
      </c>
      <c r="V967" s="1"/>
      <c r="W967" s="39" t="str">
        <f ca="1">IF(OR($A967=0,$A967="S",$A967&gt;CFF!$A$9),"",MAX(W$11:OFFSET(W967,-1,0))+1)</f>
        <v/>
      </c>
      <c r="X967" s="4" t="str">
        <f t="shared" si="1214"/>
        <v>Rec. Materiais-002</v>
      </c>
      <c r="Y967" s="39">
        <f ca="1">IF(X967&lt;&gt;FALSE,MATCH(X967,OFFSET(Banco,0,0,,1),0))</f>
        <v>11</v>
      </c>
      <c r="Z967" s="1"/>
      <c r="AA967" s="133">
        <f>IF($J967=$G$2,ROUND(IF(ISNUMBER(S967),S967,IF(LEFT(S967,2)="DI",HLOOKUP(S967,DADOS!$T$29:$X$30,2,FALSE),0)),4),"")</f>
        <v>0.25</v>
      </c>
      <c r="AB967" s="2"/>
    </row>
    <row r="968" spans="1:28">
      <c r="A968" t="str">
        <f>CHOOSE(1+LOG(1+2*(J968=$C$2)+4*(J968=$D$2)+8*(J968=$E$2)+16*(J968=$F$2)+32*(J968=$G$2),2),0,1,2,3,4,"S")</f>
        <v>S</v>
      </c>
      <c r="B968">
        <f>IF(OR(A968="S",A968=0),0,IF(ISERROR(I968),H968,SMALL(H968:I968,1)))</f>
        <v>0</v>
      </c>
      <c r="C968">
        <f t="shared" ca="1" si="1202"/>
        <v>11</v>
      </c>
      <c r="D968">
        <f t="shared" ca="1" si="1203"/>
        <v>1</v>
      </c>
      <c r="E968">
        <f t="shared" ca="1" si="1204"/>
        <v>0</v>
      </c>
      <c r="F968">
        <f t="shared" ca="1" si="1205"/>
        <v>0</v>
      </c>
      <c r="G968">
        <f t="shared" ca="1" si="1206"/>
        <v>23</v>
      </c>
      <c r="H968">
        <f ca="1">IF(OR($A968="S",$A968=0),0,MATCH(0,OFFSET($B968,1,$A968,ROW($A$1504)-ROW($A968)),0))</f>
        <v>0</v>
      </c>
      <c r="I968">
        <f ca="1">IF(OR($A968="S",$A968=0),0,MATCH(OFFSET($B968,0,$A968)+1,OFFSET($B968,1,$A968,ROW($A$1504)-ROW($A968)),0))</f>
        <v>0</v>
      </c>
      <c r="J968" s="132" t="s">
        <v>29</v>
      </c>
      <c r="K968" s="121" t="str">
        <f ca="1">IF($A968=0,"-",CONCATENATE(C968&amp;".",IF(AND($A$5&gt;=2,$A968&gt;=2),D968&amp;".",""),IF(AND($A$5&gt;=3,$A968&gt;=3),E968&amp;".",""),IF(AND($A$5&gt;=4,$A968&gt;=4),F968&amp;".",""),IF($A968="S",G968&amp;".","")))</f>
        <v>11.1.23.</v>
      </c>
      <c r="L968" s="137" t="str">
        <f t="shared" ca="1" si="1208"/>
        <v>Cotação</v>
      </c>
      <c r="M968" s="122" t="s">
        <v>79</v>
      </c>
      <c r="N968" s="139" t="s">
        <v>164</v>
      </c>
      <c r="O968" s="137" t="str">
        <f t="shared" ca="1" si="1209"/>
        <v>Copos descartáveis (2500 unidades)</v>
      </c>
      <c r="P968" s="138" t="str">
        <f t="shared" ca="1" si="1210"/>
        <v>Caixa</v>
      </c>
      <c r="Q968" s="134">
        <v>1</v>
      </c>
      <c r="R968" s="124">
        <f t="shared" ca="1" si="1211"/>
        <v>77.400000000000006</v>
      </c>
      <c r="S968" s="136" t="s">
        <v>62</v>
      </c>
      <c r="T968" s="123">
        <f t="shared" ca="1" si="1212"/>
        <v>96.75</v>
      </c>
      <c r="U968" s="126">
        <f t="shared" ca="1" si="1213"/>
        <v>96.75</v>
      </c>
      <c r="V968" s="1"/>
      <c r="W968" s="39" t="str">
        <f ca="1">IF(OR($A968=0,$A968="S",$A968&gt;CFF!$A$9),"",MAX(W$11:OFFSET(W968,-1,0))+1)</f>
        <v/>
      </c>
      <c r="X968" s="4" t="str">
        <f t="shared" si="1214"/>
        <v>Rec. Materiais-019</v>
      </c>
      <c r="Y968" s="39">
        <f ca="1">IF(X968&lt;&gt;FALSE,MATCH(X968,OFFSET(Banco,0,0,,1),0))</f>
        <v>28</v>
      </c>
      <c r="Z968" s="1"/>
      <c r="AA968" s="133">
        <f>IF($J968=$G$2,ROUND(IF(ISNUMBER(S968),S968,IF(LEFT(S968,2)="DI",HLOOKUP(S968,DADOS!$T$29:$X$30,2,FALSE),0)),4),"")</f>
        <v>0.25</v>
      </c>
      <c r="AB968" s="2"/>
    </row>
    <row r="969" spans="1:28">
      <c r="A969" t="str">
        <f t="shared" si="1200"/>
        <v>S</v>
      </c>
      <c r="B969">
        <f t="shared" si="1201"/>
        <v>0</v>
      </c>
      <c r="C969">
        <f t="shared" ca="1" si="1202"/>
        <v>11</v>
      </c>
      <c r="D969">
        <f t="shared" ca="1" si="1203"/>
        <v>1</v>
      </c>
      <c r="E969">
        <f t="shared" ca="1" si="1204"/>
        <v>0</v>
      </c>
      <c r="F969">
        <f t="shared" ca="1" si="1205"/>
        <v>0</v>
      </c>
      <c r="G969">
        <f t="shared" ca="1" si="1206"/>
        <v>24</v>
      </c>
      <c r="H969">
        <f ca="1">IF(OR($A969="S",$A969=0),0,MATCH(0,OFFSET($B969,1,$A969,ROW($A$1504)-ROW($A969)),0))</f>
        <v>0</v>
      </c>
      <c r="I969">
        <f ca="1">IF(OR($A969="S",$A969=0),0,MATCH(OFFSET($B969,0,$A969)+1,OFFSET($B969,1,$A969,ROW($A$1504)-ROW($A969)),0))</f>
        <v>0</v>
      </c>
      <c r="J969" s="132" t="s">
        <v>29</v>
      </c>
      <c r="K969" s="121" t="str">
        <f t="shared" ca="1" si="1207"/>
        <v>11.1.24.</v>
      </c>
      <c r="L969" s="137" t="str">
        <f t="shared" ca="1" si="1208"/>
        <v>Cotação</v>
      </c>
      <c r="M969" s="122" t="s">
        <v>79</v>
      </c>
      <c r="N969" s="139" t="s">
        <v>165</v>
      </c>
      <c r="O969" s="137" t="str">
        <f t="shared" ca="1" si="1209"/>
        <v>Papel de presente</v>
      </c>
      <c r="P969" s="138" t="str">
        <f t="shared" ca="1" si="1210"/>
        <v>Folhas</v>
      </c>
      <c r="Q969" s="134">
        <v>16</v>
      </c>
      <c r="R969" s="124">
        <f t="shared" ca="1" si="1211"/>
        <v>1.5</v>
      </c>
      <c r="S969" s="136" t="s">
        <v>62</v>
      </c>
      <c r="T969" s="123">
        <f t="shared" ca="1" si="1212"/>
        <v>1.88</v>
      </c>
      <c r="U969" s="126">
        <f t="shared" ca="1" si="1213"/>
        <v>30.08</v>
      </c>
      <c r="V969" s="1"/>
      <c r="W969" s="39" t="str">
        <f ca="1">IF(OR($A969=0,$A969="S",$A969&gt;CFF!$A$9),"",MAX(W$11:OFFSET(W969,-1,0))+1)</f>
        <v/>
      </c>
      <c r="X969" s="4" t="str">
        <f t="shared" si="1214"/>
        <v>Rec. Materiais-021</v>
      </c>
      <c r="Y969" s="39">
        <f t="shared" ca="1" si="1215"/>
        <v>30</v>
      </c>
      <c r="Z969" s="1"/>
      <c r="AA969" s="133">
        <f>IF($J969=$G$2,ROUND(IF(ISNUMBER(S969),S969,IF(LEFT(S969,2)="DI",HLOOKUP(S969,DADOS!$T$29:$X$30,2,FALSE),0)),4),"")</f>
        <v>0.25</v>
      </c>
      <c r="AB969" s="2"/>
    </row>
    <row r="970" spans="1:28">
      <c r="A970" t="str">
        <f t="shared" si="1200"/>
        <v>S</v>
      </c>
      <c r="B970">
        <f t="shared" si="1201"/>
        <v>0</v>
      </c>
      <c r="C970">
        <f t="shared" ca="1" si="1202"/>
        <v>11</v>
      </c>
      <c r="D970">
        <f t="shared" ca="1" si="1203"/>
        <v>1</v>
      </c>
      <c r="E970">
        <f t="shared" ca="1" si="1204"/>
        <v>0</v>
      </c>
      <c r="F970">
        <f t="shared" ca="1" si="1205"/>
        <v>0</v>
      </c>
      <c r="G970">
        <f t="shared" ca="1" si="1206"/>
        <v>25</v>
      </c>
      <c r="H970">
        <f ca="1">IF(OR($A970="S",$A970=0),0,MATCH(0,OFFSET($B970,1,$A970,ROW($A$1504)-ROW($A970)),0))</f>
        <v>0</v>
      </c>
      <c r="I970">
        <f ca="1">IF(OR($A970="S",$A970=0),0,MATCH(OFFSET($B970,0,$A970)+1,OFFSET($B970,1,$A970,ROW($A$1504)-ROW($A970)),0))</f>
        <v>0</v>
      </c>
      <c r="J970" s="132" t="s">
        <v>29</v>
      </c>
      <c r="K970" s="121" t="str">
        <f t="shared" ca="1" si="1207"/>
        <v>11.1.25.</v>
      </c>
      <c r="L970" s="137" t="str">
        <f t="shared" ca="1" si="1208"/>
        <v>Cotação</v>
      </c>
      <c r="M970" s="122" t="s">
        <v>79</v>
      </c>
      <c r="N970" s="139" t="s">
        <v>170</v>
      </c>
      <c r="O970" s="137" t="str">
        <f t="shared" ca="1" si="1209"/>
        <v>Saco de lixo (100 litros)</v>
      </c>
      <c r="P970" s="138" t="str">
        <f t="shared" ca="1" si="1210"/>
        <v>Pacote</v>
      </c>
      <c r="Q970" s="134">
        <v>2</v>
      </c>
      <c r="R970" s="124">
        <f t="shared" ca="1" si="1211"/>
        <v>15</v>
      </c>
      <c r="S970" s="136" t="s">
        <v>62</v>
      </c>
      <c r="T970" s="123">
        <f t="shared" ca="1" si="1212"/>
        <v>18.75</v>
      </c>
      <c r="U970" s="126">
        <f t="shared" ca="1" si="1213"/>
        <v>37.5</v>
      </c>
      <c r="V970" s="1"/>
      <c r="W970" s="39" t="str">
        <f ca="1">IF(OR($A970=0,$A970="S",$A970&gt;CFF!$A$9),"",MAX(W$11:OFFSET(W970,-1,0))+1)</f>
        <v/>
      </c>
      <c r="X970" s="4" t="str">
        <f t="shared" si="1214"/>
        <v>Rec. Materiais-026</v>
      </c>
      <c r="Y970" s="39">
        <f t="shared" ca="1" si="1215"/>
        <v>35</v>
      </c>
      <c r="Z970" s="1"/>
      <c r="AA970" s="133">
        <f>IF($J970=$G$2,ROUND(IF(ISNUMBER(S970),S970,IF(LEFT(S970,2)="DI",HLOOKUP(S970,DADOS!$T$29:$X$30,2,FALSE),0)),4),"")</f>
        <v>0.25</v>
      </c>
      <c r="AB970" s="2"/>
    </row>
    <row r="971" spans="1:28">
      <c r="A971">
        <f>CHOOSE(1+LOG(1+2*(J971=$C$2)+4*(J971=$D$2)+8*(J971=$E$2)+16*(J971=$F$2)+32*(J971=$G$2),2),0,1,2,3,4,"S")</f>
        <v>2</v>
      </c>
      <c r="B971">
        <f ca="1">IF(OR(A971="S",A971=0),0,IF(ISERROR(I971),H971,SMALL(H971:I971,1)))</f>
        <v>3</v>
      </c>
      <c r="C971">
        <f ca="1">IF($A971=1,OFFSET(C971,-1,0)+1,OFFSET(C971,-1,0))</f>
        <v>11</v>
      </c>
      <c r="D971">
        <f ca="1">IF($A971=1,0,IF($A971=2,OFFSET(D971,-1,0)+1,OFFSET(D971,-1,0)))</f>
        <v>2</v>
      </c>
      <c r="E971">
        <f ca="1">IF(AND($A971&lt;=2,$A971&lt;&gt;0),0,IF($A971=3,OFFSET(E971,-1,0)+1,OFFSET(E971,-1,0)))</f>
        <v>0</v>
      </c>
      <c r="F971">
        <f ca="1">IF(AND($A971&lt;=3,$A971&lt;&gt;0),0,IF($A971=4,OFFSET(F971,-1,0)+1,OFFSET(F971,-1,0)))</f>
        <v>0</v>
      </c>
      <c r="G971">
        <f ca="1">IF(AND($A971&lt;=4,$A971&lt;&gt;0),0,IF($A971="S",OFFSET(G971,-1,0)+1,OFFSET(G971,-1,0)))</f>
        <v>0</v>
      </c>
      <c r="H971">
        <f ca="1">IF(OR($A971="S",$A971=0),0,MATCH(0,OFFSET($B971,1,$A971,ROW($A$1504)-ROW($A971)),0))</f>
        <v>56</v>
      </c>
      <c r="I971">
        <f ca="1">IF(OR($A971="S",$A971=0),0,MATCH(OFFSET($B971,0,$A971)+1,OFFSET($B971,1,$A971,ROW($A$1504)-ROW($A971)),0))</f>
        <v>3</v>
      </c>
      <c r="J971" s="132" t="s">
        <v>68</v>
      </c>
      <c r="K971" s="121" t="str">
        <f ca="1">IF($A971=0,"-",CONCATENATE(C971&amp;".",IF(AND($A$5&gt;=2,$A971&gt;=2),D971&amp;".",""),IF(AND($A$5&gt;=3,$A971&gt;=3),E971&amp;".",""),IF(AND($A$5&gt;=4,$A971&gt;=4),F971&amp;".",""),IF($A971="S",G971&amp;".","")))</f>
        <v>11.2.</v>
      </c>
      <c r="L971" s="137" t="str">
        <f ca="1">IF(NOT(ISERROR($Y971)),IF($Y971&lt;&gt;FALSE,INDEX(Banco,$Y971,4),""),"")</f>
        <v/>
      </c>
      <c r="M971" s="122"/>
      <c r="N971" s="139"/>
      <c r="O971" s="137" t="s">
        <v>420</v>
      </c>
      <c r="P971" s="138" t="str">
        <f ca="1">IF(NOT(ISERROR($Y971)),IF($Y971&lt;&gt;FALSE,INDEX(Banco,$Y971,6),""),"")</f>
        <v/>
      </c>
      <c r="Q971" s="134"/>
      <c r="R971" s="124">
        <f ca="1">IF(NOT(ISERROR($Y971)),IF($Y971&lt;&gt;FALSE,INDEX(Banco,$Y971,7),0),0)</f>
        <v>0</v>
      </c>
      <c r="S971" s="136" t="s">
        <v>62</v>
      </c>
      <c r="T971" s="123">
        <f>IF($J971=$G$2,ROUND(ROUND($R971,2)*IF($R$9="Preço Unitário (R$)",1,1+$AA971),2),0)</f>
        <v>0</v>
      </c>
      <c r="U971" s="126">
        <f ca="1">IF($A971="S",VTOTAL1,IF($A971=0,0,ROUND(SomaAgrup,2)))</f>
        <v>3427.56</v>
      </c>
      <c r="V971" s="1"/>
      <c r="W971" s="39">
        <f ca="1">IF(OR($A971=0,$A971="S",$A971&gt;CFF!$A$9),"",MAX(W$11:OFFSET(W971,-1,0))+1)</f>
        <v>84</v>
      </c>
      <c r="X971" s="4" t="b">
        <f>IF(AND($J971=$G$2,$N971&lt;&gt;"",$M971&lt;&gt;""),CONCATENATE($M971,"-",$N971))</f>
        <v>0</v>
      </c>
      <c r="Y971" s="39" t="b">
        <f ca="1">IF(X971&lt;&gt;FALSE,MATCH(X971,OFFSET(Banco,0,0,,1),0))</f>
        <v>0</v>
      </c>
      <c r="Z971" s="1"/>
      <c r="AA971" s="133" t="str">
        <f>IF($J971=$G$2,ROUND(IF(ISNUMBER(S971),S971,IF(LEFT(S971,2)="DI",HLOOKUP(S971,DADOS!$T$29:$X$30,2,FALSE),0)),4),"")</f>
        <v/>
      </c>
      <c r="AB971" s="2"/>
    </row>
    <row r="972" spans="1:28">
      <c r="A972" t="str">
        <f t="shared" ref="A972:A976" si="1216">CHOOSE(1+LOG(1+2*(J972=$C$2)+4*(J972=$D$2)+8*(J972=$E$2)+16*(J972=$F$2)+32*(J972=$G$2),2),0,1,2,3,4,"S")</f>
        <v>S</v>
      </c>
      <c r="B972">
        <f t="shared" ref="B972:B976" si="1217">IF(OR(A972="S",A972=0),0,IF(ISERROR(I972),H972,SMALL(H972:I972,1)))</f>
        <v>0</v>
      </c>
      <c r="C972">
        <f t="shared" ref="C972:C973" ca="1" si="1218">IF($A972=1,OFFSET(C972,-1,0)+1,OFFSET(C972,-1,0))</f>
        <v>11</v>
      </c>
      <c r="D972">
        <f t="shared" ref="D972:D973" ca="1" si="1219">IF($A972=1,0,IF($A972=2,OFFSET(D972,-1,0)+1,OFFSET(D972,-1,0)))</f>
        <v>2</v>
      </c>
      <c r="E972">
        <f t="shared" ref="E972:E973" ca="1" si="1220">IF(AND($A972&lt;=2,$A972&lt;&gt;0),0,IF($A972=3,OFFSET(E972,-1,0)+1,OFFSET(E972,-1,0)))</f>
        <v>0</v>
      </c>
      <c r="F972">
        <f t="shared" ref="F972:F973" ca="1" si="1221">IF(AND($A972&lt;=3,$A972&lt;&gt;0),0,IF($A972=4,OFFSET(F972,-1,0)+1,OFFSET(F972,-1,0)))</f>
        <v>0</v>
      </c>
      <c r="G972">
        <f t="shared" ref="G972:G973" ca="1" si="1222">IF(AND($A972&lt;=4,$A972&lt;&gt;0),0,IF($A972="S",OFFSET(G972,-1,0)+1,OFFSET(G972,-1,0)))</f>
        <v>1</v>
      </c>
      <c r="H972">
        <f ca="1">IF(OR($A972="S",$A972=0),0,MATCH(0,OFFSET($B972,1,$A972,ROW($A$1504)-ROW($A972)),0))</f>
        <v>0</v>
      </c>
      <c r="I972">
        <f ca="1">IF(OR($A972="S",$A972=0),0,MATCH(OFFSET($B972,0,$A972)+1,OFFSET($B972,1,$A972,ROW($A$1504)-ROW($A972)),0))</f>
        <v>0</v>
      </c>
      <c r="J972" s="132" t="s">
        <v>29</v>
      </c>
      <c r="K972" s="121" t="str">
        <f t="shared" ref="K972:K976" ca="1" si="1223">IF($A972=0,"-",CONCATENATE(C972&amp;".",IF(AND($A$5&gt;=2,$A972&gt;=2),D972&amp;".",""),IF(AND($A$5&gt;=3,$A972&gt;=3),E972&amp;".",""),IF(AND($A$5&gt;=4,$A972&gt;=4),F972&amp;".",""),IF($A972="S",G972&amp;".","")))</f>
        <v>11.2.1.</v>
      </c>
      <c r="L972" s="137" t="str">
        <f t="shared" ref="L972:L973" ca="1" si="1224">IF(NOT(ISERROR($Y972)),IF($Y972&lt;&gt;FALSE,INDEX(Banco,$Y972,4),""),"")</f>
        <v>CRESS</v>
      </c>
      <c r="M972" s="122" t="s">
        <v>78</v>
      </c>
      <c r="N972" s="139" t="s">
        <v>149</v>
      </c>
      <c r="O972" s="137" t="str">
        <f ca="1">IF(NOT(ISERROR($Y972)),IF($Y972&lt;&gt;FALSE,INDEX(Banco,$Y972,5),""),"")</f>
        <v>Responsável Técnica</v>
      </c>
      <c r="P972" s="138" t="str">
        <f t="shared" ref="P972:P973" ca="1" si="1225">IF(NOT(ISERROR($Y972)),IF($Y972&lt;&gt;FALSE,INDEX(Banco,$Y972,6),""),"")</f>
        <v>Horas</v>
      </c>
      <c r="Q972" s="134">
        <v>4</v>
      </c>
      <c r="R972" s="124">
        <f t="shared" ref="R972:R973" ca="1" si="1226">IF(NOT(ISERROR($Y972)),IF($Y972&lt;&gt;FALSE,INDEX(Banco,$Y972,7),0),0)</f>
        <v>150.28</v>
      </c>
      <c r="S972" s="136" t="s">
        <v>62</v>
      </c>
      <c r="T972" s="123">
        <f t="shared" ref="T972:T973" ca="1" si="1227">IF($J972=$G$2,ROUND(ROUND($R972,2)*IF($R$9="Preço Unitário (R$)",1,1+$AA972),2),0)</f>
        <v>187.85</v>
      </c>
      <c r="U972" s="126">
        <f t="shared" ref="U972:U973" ca="1" si="1228">IF($A972="S",VTOTAL1,IF($A972=0,0,ROUND(SomaAgrup,2)))</f>
        <v>751.4</v>
      </c>
      <c r="V972" s="1"/>
      <c r="W972" s="39" t="str">
        <f ca="1">IF(OR($A972=0,$A972="S",$A972&gt;CFF!$A$9),"",MAX(W$11:OFFSET(W972,-1,0))+1)</f>
        <v/>
      </c>
      <c r="X972" s="4" t="str">
        <f t="shared" ref="X972:X973" si="1229">IF(AND($J972=$G$2,$N972&lt;&gt;"",$M972&lt;&gt;""),CONCATENATE($M972,"-",$N972))</f>
        <v>Rec. Humanos-001</v>
      </c>
      <c r="Y972" s="39">
        <f t="shared" ref="Y972:Y976" ca="1" si="1230">IF(X972&lt;&gt;FALSE,MATCH(X972,OFFSET(Banco,0,0,,1),0))</f>
        <v>3</v>
      </c>
      <c r="Z972" s="1"/>
      <c r="AA972" s="133">
        <f>IF($J972=$G$2,ROUND(IF(ISNUMBER(S972),S972,IF(LEFT(S972,2)="DI",HLOOKUP(S972,DADOS!$T$29:$X$30,2,FALSE),0)),4),"")</f>
        <v>0.25</v>
      </c>
      <c r="AB972" s="2"/>
    </row>
    <row r="973" spans="1:28">
      <c r="A973" t="str">
        <f t="shared" si="1216"/>
        <v>S</v>
      </c>
      <c r="B973">
        <f t="shared" si="1217"/>
        <v>0</v>
      </c>
      <c r="C973">
        <f t="shared" ca="1" si="1218"/>
        <v>11</v>
      </c>
      <c r="D973">
        <f t="shared" ca="1" si="1219"/>
        <v>2</v>
      </c>
      <c r="E973">
        <f t="shared" ca="1" si="1220"/>
        <v>0</v>
      </c>
      <c r="F973">
        <f t="shared" ca="1" si="1221"/>
        <v>0</v>
      </c>
      <c r="G973">
        <f t="shared" ca="1" si="1222"/>
        <v>2</v>
      </c>
      <c r="H973">
        <f ca="1">IF(OR($A973="S",$A973=0),0,MATCH(0,OFFSET($B973,1,$A973,ROW($A$1504)-ROW($A973)),0))</f>
        <v>0</v>
      </c>
      <c r="I973">
        <f ca="1">IF(OR($A973="S",$A973=0),0,MATCH(OFFSET($B973,0,$A973)+1,OFFSET($B973,1,$A973,ROW($A$1504)-ROW($A973)),0))</f>
        <v>0</v>
      </c>
      <c r="J973" s="132" t="s">
        <v>29</v>
      </c>
      <c r="K973" s="121" t="str">
        <f t="shared" ca="1" si="1223"/>
        <v>11.2.2.</v>
      </c>
      <c r="L973" s="137" t="str">
        <f t="shared" ca="1" si="1224"/>
        <v>CRESS</v>
      </c>
      <c r="M973" s="122" t="s">
        <v>78</v>
      </c>
      <c r="N973" s="139" t="s">
        <v>152</v>
      </c>
      <c r="O973" s="137" t="str">
        <f ca="1">IF(NOT(ISERROR($Y973)),IF($Y973&lt;&gt;FALSE,INDEX(Banco,$Y973,5),""),"")</f>
        <v>Assistente Social</v>
      </c>
      <c r="P973" s="138" t="str">
        <f t="shared" ca="1" si="1225"/>
        <v>Horas</v>
      </c>
      <c r="Q973" s="134">
        <v>16</v>
      </c>
      <c r="R973" s="124">
        <f t="shared" ca="1" si="1226"/>
        <v>133.81</v>
      </c>
      <c r="S973" s="136" t="s">
        <v>62</v>
      </c>
      <c r="T973" s="123">
        <f t="shared" ca="1" si="1227"/>
        <v>167.26</v>
      </c>
      <c r="U973" s="126">
        <f t="shared" ca="1" si="1228"/>
        <v>2676.16</v>
      </c>
      <c r="V973" s="1"/>
      <c r="W973" s="39" t="str">
        <f ca="1">IF(OR($A973=0,$A973="S",$A973&gt;CFF!$A$9),"",MAX(W$11:OFFSET(W973,-1,0))+1)</f>
        <v/>
      </c>
      <c r="X973" s="4" t="str">
        <f t="shared" si="1229"/>
        <v>Rec. Humanos-002</v>
      </c>
      <c r="Y973" s="39">
        <f t="shared" ca="1" si="1230"/>
        <v>4</v>
      </c>
      <c r="Z973" s="1"/>
      <c r="AA973" s="133">
        <f>IF($J973=$G$2,ROUND(IF(ISNUMBER(S973),S973,IF(LEFT(S973,2)="DI",HLOOKUP(S973,DADOS!$T$29:$X$30,2,FALSE),0)),4),"")</f>
        <v>0.25</v>
      </c>
      <c r="AB973" s="2"/>
    </row>
    <row r="974" spans="1:28">
      <c r="A974">
        <f>CHOOSE(1+LOG(1+2*(J974=$C$2)+4*(J974=$D$2)+8*(J974=$E$2)+16*(J974=$F$2)+32*(J974=$G$2),2),0,1,2,3,4,"S")</f>
        <v>2</v>
      </c>
      <c r="B974">
        <f ca="1">IF(OR(A974="S",A974=0),0,IF(ISERROR(I974),H974,SMALL(H974:I974,1)))</f>
        <v>19</v>
      </c>
      <c r="C974">
        <f ca="1">IF($A974=1,OFFSET(C974,-1,0)+1,OFFSET(C974,-1,0))</f>
        <v>11</v>
      </c>
      <c r="D974">
        <f ca="1">IF($A974=1,0,IF($A974=2,OFFSET(D974,-1,0)+1,OFFSET(D974,-1,0)))</f>
        <v>3</v>
      </c>
      <c r="E974">
        <f ca="1">IF(AND($A974&lt;=2,$A974&lt;&gt;0),0,IF($A974=3,OFFSET(E974,-1,0)+1,OFFSET(E974,-1,0)))</f>
        <v>0</v>
      </c>
      <c r="F974">
        <f ca="1">IF(AND($A974&lt;=3,$A974&lt;&gt;0),0,IF($A974=4,OFFSET(F974,-1,0)+1,OFFSET(F974,-1,0)))</f>
        <v>0</v>
      </c>
      <c r="G974">
        <f ca="1">IF(AND($A974&lt;=4,$A974&lt;&gt;0),0,IF($A974="S",OFFSET(G974,-1,0)+1,OFFSET(G974,-1,0)))</f>
        <v>0</v>
      </c>
      <c r="H974">
        <f ca="1">IF(OR($A974="S",$A974=0),0,MATCH(0,OFFSET($B974,1,$A974,ROW($A$1504)-ROW($A974)),0))</f>
        <v>53</v>
      </c>
      <c r="I974">
        <f ca="1">IF(OR($A974="S",$A974=0),0,MATCH(OFFSET($B974,0,$A974)+1,OFFSET($B974,1,$A974,ROW($A$1504)-ROW($A974)),0))</f>
        <v>19</v>
      </c>
      <c r="J974" s="132" t="s">
        <v>68</v>
      </c>
      <c r="K974" s="121" t="str">
        <f ca="1">IF($A974=0,"-",CONCATENATE(C974&amp;".",IF(AND($A$5&gt;=2,$A974&gt;=2),D974&amp;".",""),IF(AND($A$5&gt;=3,$A974&gt;=3),E974&amp;".",""),IF(AND($A$5&gt;=4,$A974&gt;=4),F974&amp;".",""),IF($A974="S",G974&amp;".","")))</f>
        <v>11.3.</v>
      </c>
      <c r="L974" s="137" t="str">
        <f ca="1">IF(NOT(ISERROR($Y974)),IF($Y974&lt;&gt;FALSE,INDEX(Banco,$Y974,4),""),"")</f>
        <v/>
      </c>
      <c r="M974" s="122"/>
      <c r="N974" s="139"/>
      <c r="O974" s="137" t="s">
        <v>421</v>
      </c>
      <c r="P974" s="138" t="str">
        <f ca="1">IF(NOT(ISERROR($Y974)),IF($Y974&lt;&gt;FALSE,INDEX(Banco,$Y974,6),""),"")</f>
        <v/>
      </c>
      <c r="Q974" s="134"/>
      <c r="R974" s="124">
        <f ca="1">IF(NOT(ISERROR($Y974)),IF($Y974&lt;&gt;FALSE,INDEX(Banco,$Y974,7),0),0)</f>
        <v>0</v>
      </c>
      <c r="S974" s="136" t="s">
        <v>62</v>
      </c>
      <c r="T974" s="123">
        <f>IF($J974=$G$2,ROUND(ROUND($R974,2)*IF($R$9="Preço Unitário (R$)",1,1+$AA974),2),0)</f>
        <v>0</v>
      </c>
      <c r="U974" s="126">
        <f ca="1">IF($A974="S",VTOTAL1,IF($A974=0,0,ROUND(SomaAgrup,2)))</f>
        <v>9846.75</v>
      </c>
      <c r="V974" s="1"/>
      <c r="W974" s="39">
        <f ca="1">IF(OR($A974=0,$A974="S",$A974&gt;CFF!$A$9),"",MAX(W$11:OFFSET(W974,-1,0))+1)</f>
        <v>85</v>
      </c>
      <c r="X974" s="4" t="b">
        <f>IF(AND($J974=$G$2,$N974&lt;&gt;"",$M974&lt;&gt;""),CONCATENATE($M974,"-",$N974))</f>
        <v>0</v>
      </c>
      <c r="Y974" s="39" t="b">
        <f ca="1">IF(X974&lt;&gt;FALSE,MATCH(X974,OFFSET(Banco,0,0,,1),0))</f>
        <v>0</v>
      </c>
      <c r="Z974" s="1"/>
      <c r="AA974" s="133" t="str">
        <f>IF($J974=$G$2,ROUND(IF(ISNUMBER(S974),S974,IF(LEFT(S974,2)="DI",HLOOKUP(S974,DADOS!$T$29:$X$30,2,FALSE),0)),4),"")</f>
        <v/>
      </c>
      <c r="AB974" s="2"/>
    </row>
    <row r="975" spans="1:28">
      <c r="A975" t="str">
        <f t="shared" si="1216"/>
        <v>S</v>
      </c>
      <c r="B975">
        <f t="shared" si="1217"/>
        <v>0</v>
      </c>
      <c r="C975">
        <f t="shared" ca="1" si="1202"/>
        <v>11</v>
      </c>
      <c r="D975">
        <f t="shared" ca="1" si="1203"/>
        <v>3</v>
      </c>
      <c r="E975">
        <f t="shared" ca="1" si="1204"/>
        <v>0</v>
      </c>
      <c r="F975">
        <f t="shared" ca="1" si="1205"/>
        <v>0</v>
      </c>
      <c r="G975">
        <f t="shared" ca="1" si="1206"/>
        <v>1</v>
      </c>
      <c r="H975">
        <f ca="1">IF(OR($A975="S",$A975=0),0,MATCH(0,OFFSET($B975,1,$A975,ROW($A$1504)-ROW($A975)),0))</f>
        <v>0</v>
      </c>
      <c r="I975">
        <f ca="1">IF(OR($A975="S",$A975=0),0,MATCH(OFFSET($B975,0,$A975)+1,OFFSET($B975,1,$A975,ROW($A$1504)-ROW($A975)),0))</f>
        <v>0</v>
      </c>
      <c r="J975" s="132" t="s">
        <v>29</v>
      </c>
      <c r="K975" s="121" t="str">
        <f t="shared" ca="1" si="1223"/>
        <v>11.3.1.</v>
      </c>
      <c r="L975" s="137" t="str">
        <f t="shared" ca="1" si="1208"/>
        <v>CRESS</v>
      </c>
      <c r="M975" s="122" t="s">
        <v>78</v>
      </c>
      <c r="N975" s="139" t="s">
        <v>149</v>
      </c>
      <c r="O975" s="137" t="str">
        <f ca="1">IF(NOT(ISERROR($Y975)),IF($Y975&lt;&gt;FALSE,INDEX(Banco,$Y975,5),""),"")</f>
        <v>Responsável Técnica</v>
      </c>
      <c r="P975" s="138" t="str">
        <f t="shared" ca="1" si="1210"/>
        <v>Horas</v>
      </c>
      <c r="Q975" s="134">
        <v>12</v>
      </c>
      <c r="R975" s="124">
        <f t="shared" ca="1" si="1211"/>
        <v>150.28</v>
      </c>
      <c r="S975" s="136" t="s">
        <v>62</v>
      </c>
      <c r="T975" s="123">
        <f t="shared" ca="1" si="1212"/>
        <v>187.85</v>
      </c>
      <c r="U975" s="126">
        <f t="shared" ca="1" si="1213"/>
        <v>2254.1999999999998</v>
      </c>
      <c r="V975" s="1"/>
      <c r="W975" s="39" t="str">
        <f ca="1">IF(OR($A975=0,$A975="S",$A975&gt;CFF!$A$9),"",MAX(W$11:OFFSET(W975,-1,0))+1)</f>
        <v/>
      </c>
      <c r="X975" s="4" t="str">
        <f t="shared" si="1214"/>
        <v>Rec. Humanos-001</v>
      </c>
      <c r="Y975" s="39">
        <f t="shared" ca="1" si="1230"/>
        <v>3</v>
      </c>
      <c r="Z975" s="1"/>
      <c r="AA975" s="133">
        <f>IF($J975=$G$2,ROUND(IF(ISNUMBER(S975),S975,IF(LEFT(S975,2)="DI",HLOOKUP(S975,DADOS!$T$29:$X$30,2,FALSE),0)),4),"")</f>
        <v>0.25</v>
      </c>
      <c r="AB975" s="2"/>
    </row>
    <row r="976" spans="1:28">
      <c r="A976" t="str">
        <f t="shared" si="1216"/>
        <v>S</v>
      </c>
      <c r="B976">
        <f t="shared" si="1217"/>
        <v>0</v>
      </c>
      <c r="C976">
        <f t="shared" ca="1" si="1202"/>
        <v>11</v>
      </c>
      <c r="D976">
        <f t="shared" ca="1" si="1203"/>
        <v>3</v>
      </c>
      <c r="E976">
        <f t="shared" ca="1" si="1204"/>
        <v>0</v>
      </c>
      <c r="F976">
        <f t="shared" ca="1" si="1205"/>
        <v>0</v>
      </c>
      <c r="G976">
        <f t="shared" ca="1" si="1206"/>
        <v>2</v>
      </c>
      <c r="H976">
        <f ca="1">IF(OR($A976="S",$A976=0),0,MATCH(0,OFFSET($B976,1,$A976,ROW($A$1504)-ROW($A976)),0))</f>
        <v>0</v>
      </c>
      <c r="I976">
        <f ca="1">IF(OR($A976="S",$A976=0),0,MATCH(OFFSET($B976,0,$A976)+1,OFFSET($B976,1,$A976,ROW($A$1504)-ROW($A976)),0))</f>
        <v>0</v>
      </c>
      <c r="J976" s="132" t="s">
        <v>29</v>
      </c>
      <c r="K976" s="121" t="str">
        <f t="shared" ca="1" si="1223"/>
        <v>11.3.2.</v>
      </c>
      <c r="L976" s="137" t="str">
        <f t="shared" ca="1" si="1208"/>
        <v>CRESS</v>
      </c>
      <c r="M976" s="122" t="s">
        <v>78</v>
      </c>
      <c r="N976" s="139" t="s">
        <v>152</v>
      </c>
      <c r="O976" s="137" t="str">
        <f ca="1">IF(NOT(ISERROR($Y976)),IF($Y976&lt;&gt;FALSE,INDEX(Banco,$Y976,5),""),"")</f>
        <v>Assistente Social</v>
      </c>
      <c r="P976" s="138" t="str">
        <f t="shared" ca="1" si="1210"/>
        <v>Horas</v>
      </c>
      <c r="Q976" s="134">
        <v>10</v>
      </c>
      <c r="R976" s="124">
        <f t="shared" ca="1" si="1211"/>
        <v>133.81</v>
      </c>
      <c r="S976" s="136" t="s">
        <v>62</v>
      </c>
      <c r="T976" s="123">
        <f t="shared" ca="1" si="1212"/>
        <v>167.26</v>
      </c>
      <c r="U976" s="126">
        <f t="shared" ca="1" si="1213"/>
        <v>1672.6</v>
      </c>
      <c r="V976" s="1"/>
      <c r="W976" s="39" t="str">
        <f ca="1">IF(OR($A976=0,$A976="S",$A976&gt;CFF!$A$9),"",MAX(W$11:OFFSET(W976,-1,0))+1)</f>
        <v/>
      </c>
      <c r="X976" s="4" t="str">
        <f t="shared" si="1214"/>
        <v>Rec. Humanos-002</v>
      </c>
      <c r="Y976" s="39">
        <f t="shared" ca="1" si="1230"/>
        <v>4</v>
      </c>
      <c r="Z976" s="1"/>
      <c r="AA976" s="133">
        <f>IF($J976=$G$2,ROUND(IF(ISNUMBER(S976),S976,IF(LEFT(S976,2)="DI",HLOOKUP(S976,DADOS!$T$29:$X$30,2,FALSE),0)),4),"")</f>
        <v>0.25</v>
      </c>
      <c r="AB976" s="2"/>
    </row>
    <row r="977" spans="1:28">
      <c r="A977" t="str">
        <f t="shared" ref="A977:A982" si="1231">CHOOSE(1+LOG(1+2*(J977=$C$2)+4*(J977=$D$2)+8*(J977=$E$2)+16*(J977=$F$2)+32*(J977=$G$2),2),0,1,2,3,4,"S")</f>
        <v>S</v>
      </c>
      <c r="B977">
        <f t="shared" ref="B977:B982" si="1232">IF(OR(A977="S",A977=0),0,IF(ISERROR(I977),H977,SMALL(H977:I977,1)))</f>
        <v>0</v>
      </c>
      <c r="C977">
        <f t="shared" ref="C977:C988" ca="1" si="1233">IF($A977=1,OFFSET(C977,-1,0)+1,OFFSET(C977,-1,0))</f>
        <v>11</v>
      </c>
      <c r="D977">
        <f t="shared" ref="D977:D988" ca="1" si="1234">IF($A977=1,0,IF($A977=2,OFFSET(D977,-1,0)+1,OFFSET(D977,-1,0)))</f>
        <v>3</v>
      </c>
      <c r="E977">
        <f t="shared" ref="E977:E988" ca="1" si="1235">IF(AND($A977&lt;=2,$A977&lt;&gt;0),0,IF($A977=3,OFFSET(E977,-1,0)+1,OFFSET(E977,-1,0)))</f>
        <v>0</v>
      </c>
      <c r="F977">
        <f t="shared" ref="F977:F988" ca="1" si="1236">IF(AND($A977&lt;=3,$A977&lt;&gt;0),0,IF($A977=4,OFFSET(F977,-1,0)+1,OFFSET(F977,-1,0)))</f>
        <v>0</v>
      </c>
      <c r="G977">
        <f t="shared" ref="G977:G988" ca="1" si="1237">IF(AND($A977&lt;=4,$A977&lt;&gt;0),0,IF($A977="S",OFFSET(G977,-1,0)+1,OFFSET(G977,-1,0)))</f>
        <v>3</v>
      </c>
      <c r="H977">
        <f ca="1">IF(OR($A977="S",$A977=0),0,MATCH(0,OFFSET($B977,1,$A977,ROW($A$1504)-ROW($A977)),0))</f>
        <v>0</v>
      </c>
      <c r="I977">
        <f ca="1">IF(OR($A977="S",$A977=0),0,MATCH(OFFSET($B977,0,$A977)+1,OFFSET($B977,1,$A977,ROW($A$1504)-ROW($A977)),0))</f>
        <v>0</v>
      </c>
      <c r="J977" s="132" t="s">
        <v>29</v>
      </c>
      <c r="K977" s="121" t="str">
        <f t="shared" ref="K977:K982" ca="1" si="1238">IF($A977=0,"-",CONCATENATE(C977&amp;".",IF(AND($A$5&gt;=2,$A977&gt;=2),D977&amp;".",""),IF(AND($A$5&gt;=3,$A977&gt;=3),E977&amp;".",""),IF(AND($A$5&gt;=4,$A977&gt;=4),F977&amp;".",""),IF($A977="S",G977&amp;".","")))</f>
        <v>11.3.3.</v>
      </c>
      <c r="L977" s="137" t="str">
        <f t="shared" ref="L977:L988" ca="1" si="1239">IF(NOT(ISERROR($Y977)),IF($Y977&lt;&gt;FALSE,INDEX(Banco,$Y977,4),""),"")</f>
        <v>Cotação</v>
      </c>
      <c r="M977" s="122" t="s">
        <v>78</v>
      </c>
      <c r="N977" s="139" t="s">
        <v>151</v>
      </c>
      <c r="O977" s="137" t="str">
        <f t="shared" ref="O977:O992" ca="1" si="1240">IF(NOT(ISERROR($Y977)),IF($Y977&lt;&gt;FALSE,INDEX(Banco,$Y977,5),""),"")</f>
        <v xml:space="preserve">Administrador (Técnico de Apoio) </v>
      </c>
      <c r="P977" s="138" t="str">
        <f t="shared" ref="P977:P988" ca="1" si="1241">IF(NOT(ISERROR($Y977)),IF($Y977&lt;&gt;FALSE,INDEX(Banco,$Y977,6),""),"")</f>
        <v>Horas</v>
      </c>
      <c r="Q977" s="134">
        <v>4</v>
      </c>
      <c r="R977" s="124">
        <f t="shared" ref="R977:R988" ca="1" si="1242">IF(NOT(ISERROR($Y977)),IF($Y977&lt;&gt;FALSE,INDEX(Banco,$Y977,7),0),0)</f>
        <v>103.65</v>
      </c>
      <c r="S977" s="136" t="s">
        <v>62</v>
      </c>
      <c r="T977" s="123">
        <f t="shared" ref="T977:T988" ca="1" si="1243">IF($J977=$G$2,ROUND(ROUND($R977,2)*IF($R$9="Preço Unitário (R$)",1,1+$AA977),2),0)</f>
        <v>129.56</v>
      </c>
      <c r="U977" s="126">
        <f t="shared" ref="U977:U988" ca="1" si="1244">IF($A977="S",VTOTAL1,IF($A977=0,0,ROUND(SomaAgrup,2)))</f>
        <v>518.24</v>
      </c>
      <c r="V977" s="1"/>
      <c r="W977" s="39" t="str">
        <f ca="1">IF(OR($A977=0,$A977="S",$A977&gt;CFF!$A$9),"",MAX(W$11:OFFSET(W977,-1,0))+1)</f>
        <v/>
      </c>
      <c r="X977" s="4" t="str">
        <f t="shared" ref="X977:X988" si="1245">IF(AND($J977=$G$2,$N977&lt;&gt;"",$M977&lt;&gt;""),CONCATENATE($M977,"-",$N977))</f>
        <v>Rec. Humanos-003</v>
      </c>
      <c r="Y977" s="39">
        <f t="shared" ref="Y977:Y982" ca="1" si="1246">IF(X977&lt;&gt;FALSE,MATCH(X977,OFFSET(Banco,0,0,,1),0))</f>
        <v>5</v>
      </c>
      <c r="Z977" s="1"/>
      <c r="AA977" s="133">
        <f>IF($J977=$G$2,ROUND(IF(ISNUMBER(S977),S977,IF(LEFT(S977,2)="DI",HLOOKUP(S977,DADOS!$T$29:$X$30,2,FALSE),0)),4),"")</f>
        <v>0.25</v>
      </c>
      <c r="AB977" s="2"/>
    </row>
    <row r="978" spans="1:28">
      <c r="A978" t="str">
        <f t="shared" si="1231"/>
        <v>S</v>
      </c>
      <c r="B978">
        <f t="shared" si="1232"/>
        <v>0</v>
      </c>
      <c r="C978">
        <f t="shared" ca="1" si="1233"/>
        <v>11</v>
      </c>
      <c r="D978">
        <f t="shared" ca="1" si="1234"/>
        <v>3</v>
      </c>
      <c r="E978">
        <f t="shared" ca="1" si="1235"/>
        <v>0</v>
      </c>
      <c r="F978">
        <f t="shared" ca="1" si="1236"/>
        <v>0</v>
      </c>
      <c r="G978">
        <f t="shared" ca="1" si="1237"/>
        <v>4</v>
      </c>
      <c r="H978">
        <f ca="1">IF(OR($A978="S",$A978=0),0,MATCH(0,OFFSET($B978,1,$A978,ROW($A$1504)-ROW($A978)),0))</f>
        <v>0</v>
      </c>
      <c r="I978">
        <f ca="1">IF(OR($A978="S",$A978=0),0,MATCH(OFFSET($B978,0,$A978)+1,OFFSET($B978,1,$A978,ROW($A$1504)-ROW($A978)),0))</f>
        <v>0</v>
      </c>
      <c r="J978" s="132" t="s">
        <v>29</v>
      </c>
      <c r="K978" s="121" t="str">
        <f t="shared" ca="1" si="1238"/>
        <v>11.3.4.</v>
      </c>
      <c r="L978" s="137" t="str">
        <f t="shared" ca="1" si="1239"/>
        <v>SINE</v>
      </c>
      <c r="M978" s="122" t="s">
        <v>78</v>
      </c>
      <c r="N978" s="139" t="s">
        <v>153</v>
      </c>
      <c r="O978" s="137" t="str">
        <f t="shared" ca="1" si="1240"/>
        <v>Estagiários</v>
      </c>
      <c r="P978" s="138" t="str">
        <f t="shared" ca="1" si="1241"/>
        <v>Horas</v>
      </c>
      <c r="Q978" s="134">
        <v>22</v>
      </c>
      <c r="R978" s="124">
        <f t="shared" ca="1" si="1242"/>
        <v>9.7899999999999991</v>
      </c>
      <c r="S978" s="136" t="s">
        <v>62</v>
      </c>
      <c r="T978" s="123">
        <f t="shared" ca="1" si="1243"/>
        <v>12.24</v>
      </c>
      <c r="U978" s="126">
        <f t="shared" ca="1" si="1244"/>
        <v>269.27999999999997</v>
      </c>
      <c r="V978" s="1"/>
      <c r="W978" s="39" t="str">
        <f ca="1">IF(OR($A978=0,$A978="S",$A978&gt;CFF!$A$9),"",MAX(W$11:OFFSET(W978,-1,0))+1)</f>
        <v/>
      </c>
      <c r="X978" s="4" t="str">
        <f t="shared" si="1245"/>
        <v>Rec. Humanos-004</v>
      </c>
      <c r="Y978" s="39">
        <f t="shared" ca="1" si="1246"/>
        <v>6</v>
      </c>
      <c r="Z978" s="1"/>
      <c r="AA978" s="133">
        <f>IF($J978=$G$2,ROUND(IF(ISNUMBER(S978),S978,IF(LEFT(S978,2)="DI",HLOOKUP(S978,DADOS!$T$29:$X$30,2,FALSE),0)),4),"")</f>
        <v>0.25</v>
      </c>
      <c r="AB978" s="2"/>
    </row>
    <row r="979" spans="1:28">
      <c r="A979" t="str">
        <f t="shared" si="1231"/>
        <v>S</v>
      </c>
      <c r="B979">
        <f t="shared" si="1232"/>
        <v>0</v>
      </c>
      <c r="C979">
        <f t="shared" ca="1" si="1233"/>
        <v>11</v>
      </c>
      <c r="D979">
        <f t="shared" ca="1" si="1234"/>
        <v>3</v>
      </c>
      <c r="E979">
        <f t="shared" ca="1" si="1235"/>
        <v>0</v>
      </c>
      <c r="F979">
        <f t="shared" ca="1" si="1236"/>
        <v>0</v>
      </c>
      <c r="G979">
        <f t="shared" ca="1" si="1237"/>
        <v>5</v>
      </c>
      <c r="H979">
        <f ca="1">IF(OR($A979="S",$A979=0),0,MATCH(0,OFFSET($B979,1,$A979,ROW($A$1504)-ROW($A979)),0))</f>
        <v>0</v>
      </c>
      <c r="I979">
        <f ca="1">IF(OR($A979="S",$A979=0),0,MATCH(OFFSET($B979,0,$A979)+1,OFFSET($B979,1,$A979,ROW($A$1504)-ROW($A979)),0))</f>
        <v>0</v>
      </c>
      <c r="J979" s="132" t="s">
        <v>29</v>
      </c>
      <c r="K979" s="121" t="str">
        <f t="shared" ca="1" si="1238"/>
        <v>11.3.5.</v>
      </c>
      <c r="L979" s="137" t="str">
        <f t="shared" ca="1" si="1239"/>
        <v>Cotação</v>
      </c>
      <c r="M979" s="122" t="s">
        <v>80</v>
      </c>
      <c r="N979" s="139" t="s">
        <v>149</v>
      </c>
      <c r="O979" s="137" t="str">
        <f t="shared" ca="1" si="1240"/>
        <v>Fotocópias</v>
      </c>
      <c r="P979" s="138" t="str">
        <f t="shared" ca="1" si="1241"/>
        <v>Unidade</v>
      </c>
      <c r="Q979" s="134">
        <v>150</v>
      </c>
      <c r="R979" s="124">
        <f t="shared" ca="1" si="1242"/>
        <v>0.3</v>
      </c>
      <c r="S979" s="136" t="s">
        <v>62</v>
      </c>
      <c r="T979" s="123">
        <f t="shared" ca="1" si="1243"/>
        <v>0.38</v>
      </c>
      <c r="U979" s="126">
        <f t="shared" ca="1" si="1244"/>
        <v>57</v>
      </c>
      <c r="V979" s="1"/>
      <c r="W979" s="39" t="str">
        <f ca="1">IF(OR($A979=0,$A979="S",$A979&gt;CFF!$A$9),"",MAX(W$11:OFFSET(W979,-1,0))+1)</f>
        <v/>
      </c>
      <c r="X979" s="4" t="str">
        <f t="shared" si="1245"/>
        <v>Serv. Terc.-001</v>
      </c>
      <c r="Y979" s="39">
        <f t="shared" ca="1" si="1246"/>
        <v>81</v>
      </c>
      <c r="Z979" s="1"/>
      <c r="AA979" s="133">
        <f>IF($J979=$G$2,ROUND(IF(ISNUMBER(S979),S979,IF(LEFT(S979,2)="DI",HLOOKUP(S979,DADOS!$T$29:$X$30,2,FALSE),0)),4),"")</f>
        <v>0.25</v>
      </c>
      <c r="AB979" s="2"/>
    </row>
    <row r="980" spans="1:28">
      <c r="A980" t="str">
        <f>CHOOSE(1+LOG(1+2*(J980=$C$2)+4*(J980=$D$2)+8*(J980=$E$2)+16*(J980=$F$2)+32*(J980=$G$2),2),0,1,2,3,4,"S")</f>
        <v>S</v>
      </c>
      <c r="B980">
        <f>IF(OR(A980="S",A980=0),0,IF(ISERROR(I980),H980,SMALL(H980:I980,1)))</f>
        <v>0</v>
      </c>
      <c r="C980">
        <f ca="1">IF($A980=1,OFFSET(C980,-1,0)+1,OFFSET(C980,-1,0))</f>
        <v>11</v>
      </c>
      <c r="D980">
        <f ca="1">IF($A980=1,0,IF($A980=2,OFFSET(D980,-1,0)+1,OFFSET(D980,-1,0)))</f>
        <v>3</v>
      </c>
      <c r="E980">
        <f ca="1">IF(AND($A980&lt;=2,$A980&lt;&gt;0),0,IF($A980=3,OFFSET(E980,-1,0)+1,OFFSET(E980,-1,0)))</f>
        <v>0</v>
      </c>
      <c r="F980">
        <f ca="1">IF(AND($A980&lt;=3,$A980&lt;&gt;0),0,IF($A980=4,OFFSET(F980,-1,0)+1,OFFSET(F980,-1,0)))</f>
        <v>0</v>
      </c>
      <c r="G980">
        <f ca="1">IF(AND($A980&lt;=4,$A980&lt;&gt;0),0,IF($A980="S",OFFSET(G980,-1,0)+1,OFFSET(G980,-1,0)))</f>
        <v>6</v>
      </c>
      <c r="H980">
        <f ca="1">IF(OR($A980="S",$A980=0),0,MATCH(0,OFFSET($B980,1,$A980,ROW($A$1504)-ROW($A980)),0))</f>
        <v>0</v>
      </c>
      <c r="I980">
        <f ca="1">IF(OR($A980="S",$A980=0),0,MATCH(OFFSET($B980,0,$A980)+1,OFFSET($B980,1,$A980,ROW($A$1504)-ROW($A980)),0))</f>
        <v>0</v>
      </c>
      <c r="J980" s="132" t="s">
        <v>29</v>
      </c>
      <c r="K980" s="121" t="str">
        <f ca="1">IF($A980=0,"-",CONCATENATE(C980&amp;".",IF(AND($A$5&gt;=2,$A980&gt;=2),D980&amp;".",""),IF(AND($A$5&gt;=3,$A980&gt;=3),E980&amp;".",""),IF(AND($A$5&gt;=4,$A980&gt;=4),F980&amp;".",""),IF($A980="S",G980&amp;".","")))</f>
        <v>11.3.6.</v>
      </c>
      <c r="L980" s="137" t="str">
        <f ca="1">IF(NOT(ISERROR($Y980)),IF($Y980&lt;&gt;FALSE,INDEX(Banco,$Y980,4),""),"")</f>
        <v>Cotação</v>
      </c>
      <c r="M980" s="122" t="s">
        <v>80</v>
      </c>
      <c r="N980" s="139" t="s">
        <v>256</v>
      </c>
      <c r="O980" s="137" t="str">
        <f ca="1">IF(NOT(ISERROR($Y980)),IF($Y980&lt;&gt;FALSE,INDEX(Banco,$Y980,5),""),"")</f>
        <v>Instrutor/Monitor (Educação Fisíca)</v>
      </c>
      <c r="P980" s="138" t="str">
        <f ca="1">IF(NOT(ISERROR($Y980)),IF($Y980&lt;&gt;FALSE,INDEX(Banco,$Y980,6),""),"")</f>
        <v>Horas</v>
      </c>
      <c r="Q980" s="134">
        <v>3</v>
      </c>
      <c r="R980" s="124">
        <f ca="1">IF(NOT(ISERROR($Y980)),IF($Y980&lt;&gt;FALSE,INDEX(Banco,$Y980,7),0),0)</f>
        <v>100</v>
      </c>
      <c r="S980" s="136" t="s">
        <v>62</v>
      </c>
      <c r="T980" s="123">
        <f ca="1">IF($J980=$G$2,ROUND(ROUND($R980,2)*IF($R$9="Preço Unitário (R$)",1,1+$AA980),2),0)</f>
        <v>125</v>
      </c>
      <c r="U980" s="126">
        <f ca="1">IF($A980="S",VTOTAL1,IF($A980=0,0,ROUND(SomaAgrup,2)))</f>
        <v>375</v>
      </c>
      <c r="V980" s="1"/>
      <c r="W980" s="39" t="str">
        <f ca="1">IF(OR($A980=0,$A980="S",$A980&gt;CFF!$A$9),"",MAX(W$11:OFFSET(W980,-1,0))+1)</f>
        <v/>
      </c>
      <c r="X980" s="4" t="str">
        <f>IF(AND($J980=$G$2,$N980&lt;&gt;"",$M980&lt;&gt;""),CONCATENATE($M980,"-",$N980))</f>
        <v>Serv. Terc.-017</v>
      </c>
      <c r="Y980" s="39">
        <f ca="1">IF(X980&lt;&gt;FALSE,MATCH(X980,OFFSET(Banco,0,0,,1),0))</f>
        <v>97</v>
      </c>
      <c r="Z980" s="1"/>
      <c r="AA980" s="133">
        <f>IF($J980=$G$2,ROUND(IF(ISNUMBER(S980),S980,IF(LEFT(S980,2)="DI",HLOOKUP(S980,DADOS!$T$29:$X$30,2,FALSE),0)),4),"")</f>
        <v>0.25</v>
      </c>
      <c r="AB980" s="2"/>
    </row>
    <row r="981" spans="1:28">
      <c r="A981" t="str">
        <f t="shared" si="1231"/>
        <v>S</v>
      </c>
      <c r="B981">
        <f t="shared" si="1232"/>
        <v>0</v>
      </c>
      <c r="C981">
        <f t="shared" ca="1" si="1233"/>
        <v>11</v>
      </c>
      <c r="D981">
        <f t="shared" ca="1" si="1234"/>
        <v>3</v>
      </c>
      <c r="E981">
        <f t="shared" ca="1" si="1235"/>
        <v>0</v>
      </c>
      <c r="F981">
        <f t="shared" ca="1" si="1236"/>
        <v>0</v>
      </c>
      <c r="G981">
        <f t="shared" ca="1" si="1237"/>
        <v>7</v>
      </c>
      <c r="H981">
        <f ca="1">IF(OR($A981="S",$A981=0),0,MATCH(0,OFFSET($B981,1,$A981,ROW($A$1504)-ROW($A981)),0))</f>
        <v>0</v>
      </c>
      <c r="I981">
        <f ca="1">IF(OR($A981="S",$A981=0),0,MATCH(OFFSET($B981,0,$A981)+1,OFFSET($B981,1,$A981,ROW($A$1504)-ROW($A981)),0))</f>
        <v>0</v>
      </c>
      <c r="J981" s="132" t="s">
        <v>29</v>
      </c>
      <c r="K981" s="121" t="str">
        <f t="shared" ca="1" si="1238"/>
        <v>11.3.7.</v>
      </c>
      <c r="L981" s="137" t="str">
        <f t="shared" ca="1" si="1239"/>
        <v>Cotação</v>
      </c>
      <c r="M981" s="122" t="s">
        <v>80</v>
      </c>
      <c r="N981" s="139" t="s">
        <v>152</v>
      </c>
      <c r="O981" s="137" t="str">
        <f t="shared" ca="1" si="1240"/>
        <v>Carro de som com gravação de vinheta</v>
      </c>
      <c r="P981" s="138" t="str">
        <f t="shared" ca="1" si="1241"/>
        <v>Horas</v>
      </c>
      <c r="Q981" s="134">
        <v>3</v>
      </c>
      <c r="R981" s="124">
        <f t="shared" ca="1" si="1242"/>
        <v>200</v>
      </c>
      <c r="S981" s="136" t="s">
        <v>62</v>
      </c>
      <c r="T981" s="123">
        <f t="shared" ca="1" si="1243"/>
        <v>250</v>
      </c>
      <c r="U981" s="126">
        <f t="shared" ca="1" si="1244"/>
        <v>750</v>
      </c>
      <c r="V981" s="1"/>
      <c r="W981" s="39" t="str">
        <f ca="1">IF(OR($A981=0,$A981="S",$A981&gt;CFF!$A$9),"",MAX(W$11:OFFSET(W981,-1,0))+1)</f>
        <v/>
      </c>
      <c r="X981" s="4" t="str">
        <f t="shared" si="1245"/>
        <v>Serv. Terc.-002</v>
      </c>
      <c r="Y981" s="39">
        <f t="shared" ca="1" si="1246"/>
        <v>82</v>
      </c>
      <c r="Z981" s="1"/>
      <c r="AA981" s="133">
        <f>IF($J981=$G$2,ROUND(IF(ISNUMBER(S981),S981,IF(LEFT(S981,2)="DI",HLOOKUP(S981,DADOS!$T$29:$X$30,2,FALSE),0)),4),"")</f>
        <v>0.25</v>
      </c>
      <c r="AB981" s="2"/>
    </row>
    <row r="982" spans="1:28">
      <c r="A982" t="str">
        <f t="shared" si="1231"/>
        <v>S</v>
      </c>
      <c r="B982">
        <f t="shared" si="1232"/>
        <v>0</v>
      </c>
      <c r="C982">
        <f t="shared" ca="1" si="1233"/>
        <v>11</v>
      </c>
      <c r="D982">
        <f t="shared" ca="1" si="1234"/>
        <v>3</v>
      </c>
      <c r="E982">
        <f t="shared" ca="1" si="1235"/>
        <v>0</v>
      </c>
      <c r="F982">
        <f t="shared" ca="1" si="1236"/>
        <v>0</v>
      </c>
      <c r="G982">
        <f t="shared" ca="1" si="1237"/>
        <v>8</v>
      </c>
      <c r="H982">
        <f ca="1">IF(OR($A982="S",$A982=0),0,MATCH(0,OFFSET($B982,1,$A982,ROW($A$1504)-ROW($A982)),0))</f>
        <v>0</v>
      </c>
      <c r="I982">
        <f ca="1">IF(OR($A982="S",$A982=0),0,MATCH(OFFSET($B982,0,$A982)+1,OFFSET($B982,1,$A982,ROW($A$1504)-ROW($A982)),0))</f>
        <v>0</v>
      </c>
      <c r="J982" s="132" t="s">
        <v>29</v>
      </c>
      <c r="K982" s="121" t="str">
        <f t="shared" ca="1" si="1238"/>
        <v>11.3.8.</v>
      </c>
      <c r="L982" s="137" t="str">
        <f t="shared" ca="1" si="1239"/>
        <v>Cotação</v>
      </c>
      <c r="M982" s="122" t="s">
        <v>80</v>
      </c>
      <c r="N982" s="139" t="s">
        <v>154</v>
      </c>
      <c r="O982" s="137" t="str">
        <f t="shared" ca="1" si="1240"/>
        <v>Locação de caixa térmica</v>
      </c>
      <c r="P982" s="138" t="str">
        <f t="shared" ca="1" si="1241"/>
        <v>Unidade</v>
      </c>
      <c r="Q982" s="134">
        <v>2</v>
      </c>
      <c r="R982" s="124">
        <f t="shared" ca="1" si="1242"/>
        <v>40</v>
      </c>
      <c r="S982" s="136" t="s">
        <v>62</v>
      </c>
      <c r="T982" s="123">
        <f t="shared" ca="1" si="1243"/>
        <v>50</v>
      </c>
      <c r="U982" s="126">
        <f t="shared" ca="1" si="1244"/>
        <v>100</v>
      </c>
      <c r="V982" s="1"/>
      <c r="W982" s="39" t="str">
        <f ca="1">IF(OR($A982=0,$A982="S",$A982&gt;CFF!$A$9),"",MAX(W$11:OFFSET(W982,-1,0))+1)</f>
        <v/>
      </c>
      <c r="X982" s="4" t="str">
        <f t="shared" si="1245"/>
        <v>Serv. Terc.-005</v>
      </c>
      <c r="Y982" s="39">
        <f t="shared" ca="1" si="1246"/>
        <v>85</v>
      </c>
      <c r="Z982" s="1"/>
      <c r="AA982" s="133">
        <f>IF($J982=$G$2,ROUND(IF(ISNUMBER(S982),S982,IF(LEFT(S982,2)="DI",HLOOKUP(S982,DADOS!$T$29:$X$30,2,FALSE),0)),4),"")</f>
        <v>0.25</v>
      </c>
      <c r="AB982" s="2"/>
    </row>
    <row r="983" spans="1:28">
      <c r="A983" t="str">
        <f t="shared" ref="A983:A992" si="1247">CHOOSE(1+LOG(1+2*(J983=$C$2)+4*(J983=$D$2)+8*(J983=$E$2)+16*(J983=$F$2)+32*(J983=$G$2),2),0,1,2,3,4,"S")</f>
        <v>S</v>
      </c>
      <c r="B983">
        <f t="shared" ref="B983:B992" si="1248">IF(OR(A983="S",A983=0),0,IF(ISERROR(I983),H983,SMALL(H983:I983,1)))</f>
        <v>0</v>
      </c>
      <c r="C983">
        <f t="shared" ca="1" si="1233"/>
        <v>11</v>
      </c>
      <c r="D983">
        <f t="shared" ca="1" si="1234"/>
        <v>3</v>
      </c>
      <c r="E983">
        <f t="shared" ca="1" si="1235"/>
        <v>0</v>
      </c>
      <c r="F983">
        <f t="shared" ca="1" si="1236"/>
        <v>0</v>
      </c>
      <c r="G983">
        <f t="shared" ca="1" si="1237"/>
        <v>9</v>
      </c>
      <c r="H983">
        <f ca="1">IF(OR($A983="S",$A983=0),0,MATCH(0,OFFSET($B983,1,$A983,ROW($A$1504)-ROW($A983)),0))</f>
        <v>0</v>
      </c>
      <c r="I983">
        <f ca="1">IF(OR($A983="S",$A983=0),0,MATCH(OFFSET($B983,0,$A983)+1,OFFSET($B983,1,$A983,ROW($A$1504)-ROW($A983)),0))</f>
        <v>0</v>
      </c>
      <c r="J983" s="132" t="s">
        <v>29</v>
      </c>
      <c r="K983" s="121" t="str">
        <f t="shared" ref="K983:K992" ca="1" si="1249">IF($A983=0,"-",CONCATENATE(C983&amp;".",IF(AND($A$5&gt;=2,$A983&gt;=2),D983&amp;".",""),IF(AND($A$5&gt;=3,$A983&gt;=3),E983&amp;".",""),IF(AND($A$5&gt;=4,$A983&gt;=4),F983&amp;".",""),IF($A983="S",G983&amp;".","")))</f>
        <v>11.3.9.</v>
      </c>
      <c r="L983" s="137" t="str">
        <f t="shared" ca="1" si="1239"/>
        <v>Cotação</v>
      </c>
      <c r="M983" s="122" t="s">
        <v>80</v>
      </c>
      <c r="N983" s="139" t="s">
        <v>157</v>
      </c>
      <c r="O983" s="137" t="str">
        <f t="shared" ca="1" si="1240"/>
        <v>Locação de pula-pula com monitor</v>
      </c>
      <c r="P983" s="138" t="str">
        <f t="shared" ca="1" si="1241"/>
        <v>Unidade</v>
      </c>
      <c r="Q983" s="134">
        <v>2</v>
      </c>
      <c r="R983" s="124">
        <f t="shared" ca="1" si="1242"/>
        <v>220</v>
      </c>
      <c r="S983" s="136" t="s">
        <v>62</v>
      </c>
      <c r="T983" s="123">
        <f t="shared" ca="1" si="1243"/>
        <v>275</v>
      </c>
      <c r="U983" s="126">
        <f t="shared" ca="1" si="1244"/>
        <v>550</v>
      </c>
      <c r="V983" s="1"/>
      <c r="W983" s="39" t="str">
        <f ca="1">IF(OR($A983=0,$A983="S",$A983&gt;CFF!$A$9),"",MAX(W$11:OFFSET(W983,-1,0))+1)</f>
        <v/>
      </c>
      <c r="X983" s="4" t="str">
        <f t="shared" si="1245"/>
        <v>Serv. Terc.-008</v>
      </c>
      <c r="Y983" s="39">
        <f t="shared" ref="Y983:Y992" ca="1" si="1250">IF(X983&lt;&gt;FALSE,MATCH(X983,OFFSET(Banco,0,0,,1),0))</f>
        <v>88</v>
      </c>
      <c r="Z983" s="1"/>
      <c r="AA983" s="133">
        <f>IF($J983=$G$2,ROUND(IF(ISNUMBER(S983),S983,IF(LEFT(S983,2)="DI",HLOOKUP(S983,DADOS!$T$29:$X$30,2,FALSE),0)),4),"")</f>
        <v>0.25</v>
      </c>
      <c r="AB983" s="2"/>
    </row>
    <row r="984" spans="1:28">
      <c r="A984" t="str">
        <f t="shared" si="1247"/>
        <v>S</v>
      </c>
      <c r="B984">
        <f t="shared" si="1248"/>
        <v>0</v>
      </c>
      <c r="C984">
        <f t="shared" ca="1" si="1233"/>
        <v>11</v>
      </c>
      <c r="D984">
        <f t="shared" ca="1" si="1234"/>
        <v>3</v>
      </c>
      <c r="E984">
        <f t="shared" ca="1" si="1235"/>
        <v>0</v>
      </c>
      <c r="F984">
        <f t="shared" ca="1" si="1236"/>
        <v>0</v>
      </c>
      <c r="G984">
        <f t="shared" ca="1" si="1237"/>
        <v>10</v>
      </c>
      <c r="H984">
        <f ca="1">IF(OR($A984="S",$A984=0),0,MATCH(0,OFFSET($B984,1,$A984,ROW($A$1504)-ROW($A984)),0))</f>
        <v>0</v>
      </c>
      <c r="I984">
        <f ca="1">IF(OR($A984="S",$A984=0),0,MATCH(OFFSET($B984,0,$A984)+1,OFFSET($B984,1,$A984,ROW($A$1504)-ROW($A984)),0))</f>
        <v>0</v>
      </c>
      <c r="J984" s="132" t="s">
        <v>29</v>
      </c>
      <c r="K984" s="121" t="str">
        <f t="shared" ca="1" si="1249"/>
        <v>11.3.10.</v>
      </c>
      <c r="L984" s="137" t="str">
        <f t="shared" ca="1" si="1239"/>
        <v xml:space="preserve">Cotação </v>
      </c>
      <c r="M984" s="122" t="s">
        <v>80</v>
      </c>
      <c r="N984" s="139" t="s">
        <v>160</v>
      </c>
      <c r="O984" s="137" t="str">
        <f t="shared" ca="1" si="1240"/>
        <v>Barra de gelo</v>
      </c>
      <c r="P984" s="138" t="str">
        <f t="shared" ca="1" si="1241"/>
        <v>Unidade</v>
      </c>
      <c r="Q984" s="134">
        <v>4</v>
      </c>
      <c r="R984" s="124">
        <f t="shared" ca="1" si="1242"/>
        <v>12</v>
      </c>
      <c r="S984" s="136" t="s">
        <v>62</v>
      </c>
      <c r="T984" s="123">
        <f t="shared" ca="1" si="1243"/>
        <v>15</v>
      </c>
      <c r="U984" s="126">
        <f t="shared" ca="1" si="1244"/>
        <v>60</v>
      </c>
      <c r="V984" s="1"/>
      <c r="W984" s="39" t="str">
        <f ca="1">IF(OR($A984=0,$A984="S",$A984&gt;CFF!$A$9),"",MAX(W$11:OFFSET(W984,-1,0))+1)</f>
        <v/>
      </c>
      <c r="X984" s="4" t="str">
        <f t="shared" si="1245"/>
        <v>Serv. Terc.-011</v>
      </c>
      <c r="Y984" s="39">
        <f t="shared" ca="1" si="1250"/>
        <v>91</v>
      </c>
      <c r="Z984" s="1"/>
      <c r="AA984" s="133">
        <f>IF($J984=$G$2,ROUND(IF(ISNUMBER(S984),S984,IF(LEFT(S984,2)="DI",HLOOKUP(S984,DADOS!$T$29:$X$30,2,FALSE),0)),4),"")</f>
        <v>0.25</v>
      </c>
      <c r="AB984" s="2"/>
    </row>
    <row r="985" spans="1:28">
      <c r="A985" t="str">
        <f t="shared" si="1247"/>
        <v>S</v>
      </c>
      <c r="B985">
        <f t="shared" si="1248"/>
        <v>0</v>
      </c>
      <c r="C985">
        <f t="shared" ca="1" si="1233"/>
        <v>11</v>
      </c>
      <c r="D985">
        <f t="shared" ca="1" si="1234"/>
        <v>3</v>
      </c>
      <c r="E985">
        <f t="shared" ca="1" si="1235"/>
        <v>0</v>
      </c>
      <c r="F985">
        <f t="shared" ca="1" si="1236"/>
        <v>0</v>
      </c>
      <c r="G985">
        <f t="shared" ca="1" si="1237"/>
        <v>11</v>
      </c>
      <c r="H985">
        <f ca="1">IF(OR($A985="S",$A985=0),0,MATCH(0,OFFSET($B985,1,$A985,ROW($A$1504)-ROW($A985)),0))</f>
        <v>0</v>
      </c>
      <c r="I985">
        <f ca="1">IF(OR($A985="S",$A985=0),0,MATCH(OFFSET($B985,0,$A985)+1,OFFSET($B985,1,$A985,ROW($A$1504)-ROW($A985)),0))</f>
        <v>0</v>
      </c>
      <c r="J985" s="132" t="s">
        <v>29</v>
      </c>
      <c r="K985" s="121" t="str">
        <f t="shared" ca="1" si="1249"/>
        <v>11.3.11.</v>
      </c>
      <c r="L985" s="137" t="str">
        <f t="shared" ca="1" si="1239"/>
        <v>Cotação</v>
      </c>
      <c r="M985" s="122" t="s">
        <v>80</v>
      </c>
      <c r="N985" s="139" t="s">
        <v>150</v>
      </c>
      <c r="O985" s="137" t="str">
        <f t="shared" ca="1" si="1240"/>
        <v>Sucos</v>
      </c>
      <c r="P985" s="138" t="str">
        <f t="shared" ca="1" si="1241"/>
        <v>Unidade</v>
      </c>
      <c r="Q985" s="134">
        <v>12</v>
      </c>
      <c r="R985" s="124">
        <f t="shared" ca="1" si="1242"/>
        <v>6.4</v>
      </c>
      <c r="S985" s="136" t="s">
        <v>62</v>
      </c>
      <c r="T985" s="123">
        <f t="shared" ca="1" si="1243"/>
        <v>8</v>
      </c>
      <c r="U985" s="126">
        <f t="shared" ca="1" si="1244"/>
        <v>96</v>
      </c>
      <c r="V985" s="1"/>
      <c r="W985" s="39" t="str">
        <f ca="1">IF(OR($A985=0,$A985="S",$A985&gt;CFF!$A$9),"",MAX(W$11:OFFSET(W985,-1,0))+1)</f>
        <v/>
      </c>
      <c r="X985" s="4" t="str">
        <f t="shared" si="1245"/>
        <v>Serv. Terc.-013</v>
      </c>
      <c r="Y985" s="39">
        <f t="shared" ca="1" si="1250"/>
        <v>93</v>
      </c>
      <c r="Z985" s="1"/>
      <c r="AA985" s="133">
        <f>IF($J985=$G$2,ROUND(IF(ISNUMBER(S985),S985,IF(LEFT(S985,2)="DI",HLOOKUP(S985,DADOS!$T$29:$X$30,2,FALSE),0)),4),"")</f>
        <v>0.25</v>
      </c>
      <c r="AB985" s="2"/>
    </row>
    <row r="986" spans="1:28">
      <c r="A986" t="str">
        <f>CHOOSE(1+LOG(1+2*(J986=$C$2)+4*(J986=$D$2)+8*(J986=$E$2)+16*(J986=$F$2)+32*(J986=$G$2),2),0,1,2,3,4,"S")</f>
        <v>S</v>
      </c>
      <c r="B986">
        <f>IF(OR(A986="S",A986=0),0,IF(ISERROR(I986),H986,SMALL(H986:I986,1)))</f>
        <v>0</v>
      </c>
      <c r="C986">
        <f ca="1">IF($A986=1,OFFSET(C986,-1,0)+1,OFFSET(C986,-1,0))</f>
        <v>11</v>
      </c>
      <c r="D986">
        <f ca="1">IF($A986=1,0,IF($A986=2,OFFSET(D986,-1,0)+1,OFFSET(D986,-1,0)))</f>
        <v>3</v>
      </c>
      <c r="E986">
        <f ca="1">IF(AND($A986&lt;=2,$A986&lt;&gt;0),0,IF($A986=3,OFFSET(E986,-1,0)+1,OFFSET(E986,-1,0)))</f>
        <v>0</v>
      </c>
      <c r="F986">
        <f ca="1">IF(AND($A986&lt;=3,$A986&lt;&gt;0),0,IF($A986=4,OFFSET(F986,-1,0)+1,OFFSET(F986,-1,0)))</f>
        <v>0</v>
      </c>
      <c r="G986">
        <f ca="1">IF(AND($A986&lt;=4,$A986&lt;&gt;0),0,IF($A986="S",OFFSET(G986,-1,0)+1,OFFSET(G986,-1,0)))</f>
        <v>12</v>
      </c>
      <c r="H986">
        <f ca="1">IF(OR($A986="S",$A986=0),0,MATCH(0,OFFSET($B986,1,$A986,ROW($A$1504)-ROW($A986)),0))</f>
        <v>0</v>
      </c>
      <c r="I986">
        <f ca="1">IF(OR($A986="S",$A986=0),0,MATCH(OFFSET($B986,0,$A986)+1,OFFSET($B986,1,$A986,ROW($A$1504)-ROW($A986)),0))</f>
        <v>0</v>
      </c>
      <c r="J986" s="132" t="s">
        <v>29</v>
      </c>
      <c r="K986" s="121" t="str">
        <f ca="1">IF($A986=0,"-",CONCATENATE(C986&amp;".",IF(AND($A$5&gt;=2,$A986&gt;=2),D986&amp;".",""),IF(AND($A$5&gt;=3,$A986&gt;=3),E986&amp;".",""),IF(AND($A$5&gt;=4,$A986&gt;=4),F986&amp;".",""),IF($A986="S",G986&amp;".","")))</f>
        <v>11.3.12.</v>
      </c>
      <c r="L986" s="137" t="str">
        <f ca="1">IF(NOT(ISERROR($Y986)),IF($Y986&lt;&gt;FALSE,INDEX(Banco,$Y986,4),""),"")</f>
        <v>Cotação</v>
      </c>
      <c r="M986" s="122" t="s">
        <v>80</v>
      </c>
      <c r="N986" s="139" t="s">
        <v>171</v>
      </c>
      <c r="O986" s="137" t="str">
        <f ca="1">IF(NOT(ISERROR($Y986)),IF($Y986&lt;&gt;FALSE,INDEX(Banco,$Y986,5),""),"")</f>
        <v xml:space="preserve">Refrigerantes (02 litros) </v>
      </c>
      <c r="P986" s="138" t="str">
        <f ca="1">IF(NOT(ISERROR($Y986)),IF($Y986&lt;&gt;FALSE,INDEX(Banco,$Y986,6),""),"")</f>
        <v>Unidade</v>
      </c>
      <c r="Q986" s="134">
        <v>20</v>
      </c>
      <c r="R986" s="124">
        <f ca="1">IF(NOT(ISERROR($Y986)),IF($Y986&lt;&gt;FALSE,INDEX(Banco,$Y986,7),0),0)</f>
        <v>6</v>
      </c>
      <c r="S986" s="136" t="s">
        <v>62</v>
      </c>
      <c r="T986" s="123">
        <f ca="1">IF($J986=$G$2,ROUND(ROUND($R986,2)*IF($R$9="Preço Unitário (R$)",1,1+$AA986),2),0)</f>
        <v>7.5</v>
      </c>
      <c r="U986" s="126">
        <f ca="1">IF($A986="S",VTOTAL1,IF($A986=0,0,ROUND(SomaAgrup,2)))</f>
        <v>150</v>
      </c>
      <c r="V986" s="1"/>
      <c r="W986" s="39" t="str">
        <f ca="1">IF(OR($A986=0,$A986="S",$A986&gt;CFF!$A$9),"",MAX(W$11:OFFSET(W986,-1,0))+1)</f>
        <v/>
      </c>
      <c r="X986" s="4" t="str">
        <f>IF(AND($J986=$G$2,$N986&lt;&gt;"",$M986&lt;&gt;""),CONCATENATE($M986,"-",$N986))</f>
        <v>Serv. Terc.-027</v>
      </c>
      <c r="Y986" s="39">
        <f ca="1">IF(X986&lt;&gt;FALSE,MATCH(X986,OFFSET(Banco,0,0,,1),0))</f>
        <v>107</v>
      </c>
      <c r="Z986" s="1"/>
      <c r="AA986" s="133">
        <f>IF($J986=$G$2,ROUND(IF(ISNUMBER(S986),S986,IF(LEFT(S986,2)="DI",HLOOKUP(S986,DADOS!$T$29:$X$30,2,FALSE),0)),4),"")</f>
        <v>0.25</v>
      </c>
      <c r="AB986" s="2"/>
    </row>
    <row r="987" spans="1:28">
      <c r="A987" t="str">
        <f t="shared" si="1247"/>
        <v>S</v>
      </c>
      <c r="B987">
        <f t="shared" si="1248"/>
        <v>0</v>
      </c>
      <c r="C987">
        <f t="shared" ca="1" si="1233"/>
        <v>11</v>
      </c>
      <c r="D987">
        <f t="shared" ca="1" si="1234"/>
        <v>3</v>
      </c>
      <c r="E987">
        <f t="shared" ca="1" si="1235"/>
        <v>0</v>
      </c>
      <c r="F987">
        <f t="shared" ca="1" si="1236"/>
        <v>0</v>
      </c>
      <c r="G987">
        <f t="shared" ca="1" si="1237"/>
        <v>13</v>
      </c>
      <c r="H987">
        <f ca="1">IF(OR($A987="S",$A987=0),0,MATCH(0,OFFSET($B987,1,$A987,ROW($A$1504)-ROW($A987)),0))</f>
        <v>0</v>
      </c>
      <c r="I987">
        <f ca="1">IF(OR($A987="S",$A987=0),0,MATCH(OFFSET($B987,0,$A987)+1,OFFSET($B987,1,$A987,ROW($A$1504)-ROW($A987)),0))</f>
        <v>0</v>
      </c>
      <c r="J987" s="132" t="s">
        <v>29</v>
      </c>
      <c r="K987" s="121" t="str">
        <f t="shared" ca="1" si="1249"/>
        <v>11.3.13.</v>
      </c>
      <c r="L987" s="137" t="str">
        <f t="shared" ca="1" si="1239"/>
        <v xml:space="preserve">Cotação </v>
      </c>
      <c r="M987" s="122" t="s">
        <v>80</v>
      </c>
      <c r="N987" s="139" t="s">
        <v>159</v>
      </c>
      <c r="O987" s="137" t="str">
        <f t="shared" ca="1" si="1240"/>
        <v>Brindes ( descrição nos orçamentos e PTS)</v>
      </c>
      <c r="P987" s="138" t="str">
        <f t="shared" ca="1" si="1241"/>
        <v>Unidade</v>
      </c>
      <c r="Q987" s="134">
        <v>4</v>
      </c>
      <c r="R987" s="124">
        <f t="shared" ca="1" si="1242"/>
        <v>120</v>
      </c>
      <c r="S987" s="136" t="s">
        <v>62</v>
      </c>
      <c r="T987" s="123">
        <f t="shared" ca="1" si="1243"/>
        <v>150</v>
      </c>
      <c r="U987" s="126">
        <f t="shared" ca="1" si="1244"/>
        <v>600</v>
      </c>
      <c r="V987" s="1"/>
      <c r="W987" s="39" t="str">
        <f ca="1">IF(OR($A987=0,$A987="S",$A987&gt;CFF!$A$9),"",MAX(W$11:OFFSET(W987,-1,0))+1)</f>
        <v/>
      </c>
      <c r="X987" s="4" t="str">
        <f t="shared" si="1245"/>
        <v>Serv. Terc.-010</v>
      </c>
      <c r="Y987" s="39">
        <f t="shared" ca="1" si="1250"/>
        <v>90</v>
      </c>
      <c r="Z987" s="1"/>
      <c r="AA987" s="133">
        <f>IF($J987=$G$2,ROUND(IF(ISNUMBER(S987),S987,IF(LEFT(S987,2)="DI",HLOOKUP(S987,DADOS!$T$29:$X$30,2,FALSE),0)),4),"")</f>
        <v>0.25</v>
      </c>
      <c r="AB987" s="2"/>
    </row>
    <row r="988" spans="1:28">
      <c r="A988" t="str">
        <f t="shared" si="1247"/>
        <v>S</v>
      </c>
      <c r="B988">
        <f t="shared" si="1248"/>
        <v>0</v>
      </c>
      <c r="C988">
        <f t="shared" ca="1" si="1233"/>
        <v>11</v>
      </c>
      <c r="D988">
        <f t="shared" ca="1" si="1234"/>
        <v>3</v>
      </c>
      <c r="E988">
        <f t="shared" ca="1" si="1235"/>
        <v>0</v>
      </c>
      <c r="F988">
        <f t="shared" ca="1" si="1236"/>
        <v>0</v>
      </c>
      <c r="G988">
        <f t="shared" ca="1" si="1237"/>
        <v>14</v>
      </c>
      <c r="H988">
        <f ca="1">IF(OR($A988="S",$A988=0),0,MATCH(0,OFFSET($B988,1,$A988,ROW($A$1504)-ROW($A988)),0))</f>
        <v>0</v>
      </c>
      <c r="I988">
        <f ca="1">IF(OR($A988="S",$A988=0),0,MATCH(OFFSET($B988,0,$A988)+1,OFFSET($B988,1,$A988,ROW($A$1504)-ROW($A988)),0))</f>
        <v>0</v>
      </c>
      <c r="J988" s="132" t="s">
        <v>29</v>
      </c>
      <c r="K988" s="121" t="str">
        <f t="shared" ca="1" si="1249"/>
        <v>11.3.14.</v>
      </c>
      <c r="L988" s="137" t="str">
        <f t="shared" ca="1" si="1239"/>
        <v>Cotação</v>
      </c>
      <c r="M988" s="122" t="s">
        <v>80</v>
      </c>
      <c r="N988" s="139" t="s">
        <v>162</v>
      </c>
      <c r="O988" s="137" t="str">
        <f t="shared" ca="1" si="1240"/>
        <v>Coffee break (salgados)</v>
      </c>
      <c r="P988" s="138" t="str">
        <f t="shared" ca="1" si="1241"/>
        <v>Centro</v>
      </c>
      <c r="Q988" s="134">
        <v>15</v>
      </c>
      <c r="R988" s="124">
        <f t="shared" ca="1" si="1242"/>
        <v>65</v>
      </c>
      <c r="S988" s="136" t="s">
        <v>62</v>
      </c>
      <c r="T988" s="123">
        <f t="shared" ca="1" si="1243"/>
        <v>81.25</v>
      </c>
      <c r="U988" s="126">
        <f t="shared" ca="1" si="1244"/>
        <v>1218.75</v>
      </c>
      <c r="V988" s="1"/>
      <c r="W988" s="39" t="str">
        <f ca="1">IF(OR($A988=0,$A988="S",$A988&gt;CFF!$A$9),"",MAX(W$11:OFFSET(W988,-1,0))+1)</f>
        <v/>
      </c>
      <c r="X988" s="4" t="str">
        <f t="shared" si="1245"/>
        <v>Serv. Terc.-015</v>
      </c>
      <c r="Y988" s="39">
        <f t="shared" ca="1" si="1250"/>
        <v>95</v>
      </c>
      <c r="Z988" s="1"/>
      <c r="AA988" s="133">
        <f>IF($J988=$G$2,ROUND(IF(ISNUMBER(S988),S988,IF(LEFT(S988,2)="DI",HLOOKUP(S988,DADOS!$T$29:$X$30,2,FALSE),0)),4),"")</f>
        <v>0.25</v>
      </c>
      <c r="AB988" s="2"/>
    </row>
    <row r="989" spans="1:28">
      <c r="A989" t="str">
        <f>CHOOSE(1+LOG(1+2*(J989=$C$2)+4*(J989=$D$2)+8*(J989=$E$2)+16*(J989=$F$2)+32*(J989=$G$2),2),0,1,2,3,4,"S")</f>
        <v>S</v>
      </c>
      <c r="B989">
        <f>IF(OR(A989="S",A989=0),0,IF(ISERROR(I989),H989,SMALL(H989:I989,1)))</f>
        <v>0</v>
      </c>
      <c r="C989">
        <f t="shared" ref="C989:C995" ca="1" si="1251">IF($A989=1,OFFSET(C989,-1,0)+1,OFFSET(C989,-1,0))</f>
        <v>11</v>
      </c>
      <c r="D989">
        <f t="shared" ref="D989:D995" ca="1" si="1252">IF($A989=1,0,IF($A989=2,OFFSET(D989,-1,0)+1,OFFSET(D989,-1,0)))</f>
        <v>3</v>
      </c>
      <c r="E989">
        <f t="shared" ref="E989:E995" ca="1" si="1253">IF(AND($A989&lt;=2,$A989&lt;&gt;0),0,IF($A989=3,OFFSET(E989,-1,0)+1,OFFSET(E989,-1,0)))</f>
        <v>0</v>
      </c>
      <c r="F989">
        <f t="shared" ref="F989:F995" ca="1" si="1254">IF(AND($A989&lt;=3,$A989&lt;&gt;0),0,IF($A989=4,OFFSET(F989,-1,0)+1,OFFSET(F989,-1,0)))</f>
        <v>0</v>
      </c>
      <c r="G989">
        <f t="shared" ref="G989:G995" ca="1" si="1255">IF(AND($A989&lt;=4,$A989&lt;&gt;0),0,IF($A989="S",OFFSET(G989,-1,0)+1,OFFSET(G989,-1,0)))</f>
        <v>15</v>
      </c>
      <c r="H989">
        <f ca="1">IF(OR($A989="S",$A989=0),0,MATCH(0,OFFSET($B989,1,$A989,ROW($A$1504)-ROW($A989)),0))</f>
        <v>0</v>
      </c>
      <c r="I989">
        <f ca="1">IF(OR($A989="S",$A989=0),0,MATCH(OFFSET($B989,0,$A989)+1,OFFSET($B989,1,$A989,ROW($A$1504)-ROW($A989)),0))</f>
        <v>0</v>
      </c>
      <c r="J989" s="132" t="s">
        <v>29</v>
      </c>
      <c r="K989" s="121" t="str">
        <f ca="1">IF($A989=0,"-",CONCATENATE(C989&amp;".",IF(AND($A$5&gt;=2,$A989&gt;=2),D989&amp;".",""),IF(AND($A$5&gt;=3,$A989&gt;=3),E989&amp;".",""),IF(AND($A$5&gt;=4,$A989&gt;=4),F989&amp;".",""),IF($A989="S",G989&amp;".","")))</f>
        <v>11.3.15.</v>
      </c>
      <c r="L989" s="137" t="str">
        <f t="shared" ref="L989:L995" ca="1" si="1256">IF(NOT(ISERROR($Y989)),IF($Y989&lt;&gt;FALSE,INDEX(Banco,$Y989,4),""),"")</f>
        <v>CRESS</v>
      </c>
      <c r="M989" s="122" t="s">
        <v>80</v>
      </c>
      <c r="N989" s="139" t="s">
        <v>276</v>
      </c>
      <c r="O989" s="137" t="str">
        <f ca="1">IF(NOT(ISERROR($Y989)),IF($Y989&lt;&gt;FALSE,INDEX(Banco,$Y989,5),""),"")</f>
        <v>Assistente Social com especialização em politicas sociais</v>
      </c>
      <c r="P989" s="138" t="str">
        <f t="shared" ref="P989:P995" ca="1" si="1257">IF(NOT(ISERROR($Y989)),IF($Y989&lt;&gt;FALSE,INDEX(Banco,$Y989,6),""),"")</f>
        <v>Horas</v>
      </c>
      <c r="Q989" s="134">
        <v>6</v>
      </c>
      <c r="R989" s="124">
        <f t="shared" ref="R989:R995" ca="1" si="1258">IF(NOT(ISERROR($Y989)),IF($Y989&lt;&gt;FALSE,INDEX(Banco,$Y989,7),0),0)</f>
        <v>141.75</v>
      </c>
      <c r="S989" s="136" t="s">
        <v>62</v>
      </c>
      <c r="T989" s="123">
        <f t="shared" ref="T989:T995" ca="1" si="1259">IF($J989=$G$2,ROUND(ROUND($R989,2)*IF($R$9="Preço Unitário (R$)",1,1+$AA989),2),0)</f>
        <v>177.19</v>
      </c>
      <c r="U989" s="126">
        <f t="shared" ref="U989:U995" ca="1" si="1260">IF($A989="S",VTOTAL1,IF($A989=0,0,ROUND(SomaAgrup,2)))</f>
        <v>1063.1400000000001</v>
      </c>
      <c r="V989" s="1"/>
      <c r="W989" s="39" t="str">
        <f ca="1">IF(OR($A989=0,$A989="S",$A989&gt;CFF!$A$9),"",MAX(W$11:OFFSET(W989,-1,0))+1)</f>
        <v/>
      </c>
      <c r="X989" s="4" t="str">
        <f t="shared" ref="X989:X995" si="1261">IF(AND($J989=$G$2,$N989&lt;&gt;"",$M989&lt;&gt;""),CONCATENATE($M989,"-",$N989))</f>
        <v>Serv. Terc.-065</v>
      </c>
      <c r="Y989" s="39">
        <f ca="1">IF(X989&lt;&gt;FALSE,MATCH(X989,OFFSET(Banco,0,0,,1),0))</f>
        <v>145</v>
      </c>
      <c r="Z989" s="1"/>
      <c r="AA989" s="133">
        <f>IF($J989=$G$2,ROUND(IF(ISNUMBER(S989),S989,IF(LEFT(S989,2)="DI",HLOOKUP(S989,DADOS!$T$29:$X$30,2,FALSE),0)),4),"")</f>
        <v>0.25</v>
      </c>
      <c r="AB989" s="2"/>
    </row>
    <row r="990" spans="1:28">
      <c r="A990" t="str">
        <f t="shared" si="1247"/>
        <v>S</v>
      </c>
      <c r="B990">
        <f t="shared" si="1248"/>
        <v>0</v>
      </c>
      <c r="C990">
        <f t="shared" ca="1" si="1251"/>
        <v>11</v>
      </c>
      <c r="D990">
        <f t="shared" ca="1" si="1252"/>
        <v>3</v>
      </c>
      <c r="E990">
        <f t="shared" ca="1" si="1253"/>
        <v>0</v>
      </c>
      <c r="F990">
        <f t="shared" ca="1" si="1254"/>
        <v>0</v>
      </c>
      <c r="G990">
        <f t="shared" ca="1" si="1255"/>
        <v>16</v>
      </c>
      <c r="H990">
        <f ca="1">IF(OR($A990="S",$A990=0),0,MATCH(0,OFFSET($B990,1,$A990,ROW($A$1504)-ROW($A990)),0))</f>
        <v>0</v>
      </c>
      <c r="I990">
        <f ca="1">IF(OR($A990="S",$A990=0),0,MATCH(OFFSET($B990,0,$A990)+1,OFFSET($B990,1,$A990,ROW($A$1504)-ROW($A990)),0))</f>
        <v>0</v>
      </c>
      <c r="J990" s="132" t="s">
        <v>29</v>
      </c>
      <c r="K990" s="121" t="str">
        <f t="shared" ca="1" si="1249"/>
        <v>11.3.16.</v>
      </c>
      <c r="L990" s="137" t="str">
        <f t="shared" ca="1" si="1256"/>
        <v>Cotação</v>
      </c>
      <c r="M990" s="122" t="s">
        <v>79</v>
      </c>
      <c r="N990" s="139" t="s">
        <v>163</v>
      </c>
      <c r="O990" s="137" t="str">
        <f t="shared" ca="1" si="1240"/>
        <v>Guloseimas (balas e pirulito)</v>
      </c>
      <c r="P990" s="138" t="str">
        <f t="shared" ca="1" si="1257"/>
        <v>Pacote</v>
      </c>
      <c r="Q990" s="134">
        <v>4</v>
      </c>
      <c r="R990" s="124">
        <f t="shared" ca="1" si="1258"/>
        <v>12</v>
      </c>
      <c r="S990" s="136" t="s">
        <v>62</v>
      </c>
      <c r="T990" s="123">
        <f t="shared" ca="1" si="1259"/>
        <v>15</v>
      </c>
      <c r="U990" s="126">
        <f t="shared" ca="1" si="1260"/>
        <v>60</v>
      </c>
      <c r="V990" s="1"/>
      <c r="W990" s="39" t="str">
        <f ca="1">IF(OR($A990=0,$A990="S",$A990&gt;CFF!$A$9),"",MAX(W$11:OFFSET(W990,-1,0))+1)</f>
        <v/>
      </c>
      <c r="X990" s="4" t="str">
        <f t="shared" si="1261"/>
        <v>Rec. Materiais-020</v>
      </c>
      <c r="Y990" s="39">
        <f t="shared" ca="1" si="1250"/>
        <v>29</v>
      </c>
      <c r="Z990" s="1"/>
      <c r="AA990" s="133">
        <f>IF($J990=$G$2,ROUND(IF(ISNUMBER(S990),S990,IF(LEFT(S990,2)="DI",HLOOKUP(S990,DADOS!$T$29:$X$30,2,FALSE),0)),4),"")</f>
        <v>0.25</v>
      </c>
      <c r="AB990" s="2"/>
    </row>
    <row r="991" spans="1:28">
      <c r="A991" t="str">
        <f t="shared" si="1247"/>
        <v>S</v>
      </c>
      <c r="B991">
        <f t="shared" si="1248"/>
        <v>0</v>
      </c>
      <c r="C991">
        <f t="shared" ca="1" si="1251"/>
        <v>11</v>
      </c>
      <c r="D991">
        <f t="shared" ca="1" si="1252"/>
        <v>3</v>
      </c>
      <c r="E991">
        <f t="shared" ca="1" si="1253"/>
        <v>0</v>
      </c>
      <c r="F991">
        <f t="shared" ca="1" si="1254"/>
        <v>0</v>
      </c>
      <c r="G991">
        <f t="shared" ca="1" si="1255"/>
        <v>17</v>
      </c>
      <c r="H991">
        <f ca="1">IF(OR($A991="S",$A991=0),0,MATCH(0,OFFSET($B991,1,$A991,ROW($A$1504)-ROW($A991)),0))</f>
        <v>0</v>
      </c>
      <c r="I991">
        <f ca="1">IF(OR($A991="S",$A991=0),0,MATCH(OFFSET($B991,0,$A991)+1,OFFSET($B991,1,$A991,ROW($A$1504)-ROW($A991)),0))</f>
        <v>0</v>
      </c>
      <c r="J991" s="132" t="s">
        <v>29</v>
      </c>
      <c r="K991" s="121" t="str">
        <f t="shared" ca="1" si="1249"/>
        <v>11.3.17.</v>
      </c>
      <c r="L991" s="137" t="str">
        <f t="shared" ca="1" si="1256"/>
        <v>Cotação</v>
      </c>
      <c r="M991" s="122" t="s">
        <v>79</v>
      </c>
      <c r="N991" s="139" t="s">
        <v>165</v>
      </c>
      <c r="O991" s="137" t="str">
        <f t="shared" ca="1" si="1240"/>
        <v>Papel de presente</v>
      </c>
      <c r="P991" s="138" t="str">
        <f t="shared" ca="1" si="1257"/>
        <v>Folhas</v>
      </c>
      <c r="Q991" s="134">
        <v>8</v>
      </c>
      <c r="R991" s="124">
        <f t="shared" ca="1" si="1258"/>
        <v>1.5</v>
      </c>
      <c r="S991" s="136" t="s">
        <v>62</v>
      </c>
      <c r="T991" s="123">
        <f t="shared" ca="1" si="1259"/>
        <v>1.88</v>
      </c>
      <c r="U991" s="126">
        <f t="shared" ca="1" si="1260"/>
        <v>15.04</v>
      </c>
      <c r="V991" s="1"/>
      <c r="W991" s="39" t="str">
        <f ca="1">IF(OR($A991=0,$A991="S",$A991&gt;CFF!$A$9),"",MAX(W$11:OFFSET(W991,-1,0))+1)</f>
        <v/>
      </c>
      <c r="X991" s="4" t="str">
        <f t="shared" si="1261"/>
        <v>Rec. Materiais-021</v>
      </c>
      <c r="Y991" s="39">
        <f t="shared" ca="1" si="1250"/>
        <v>30</v>
      </c>
      <c r="Z991" s="1"/>
      <c r="AA991" s="133">
        <f>IF($J991=$G$2,ROUND(IF(ISNUMBER(S991),S991,IF(LEFT(S991,2)="DI",HLOOKUP(S991,DADOS!$T$29:$X$30,2,FALSE),0)),4),"")</f>
        <v>0.25</v>
      </c>
      <c r="AB991" s="2"/>
    </row>
    <row r="992" spans="1:28">
      <c r="A992" t="str">
        <f t="shared" si="1247"/>
        <v>S</v>
      </c>
      <c r="B992">
        <f t="shared" si="1248"/>
        <v>0</v>
      </c>
      <c r="C992">
        <f t="shared" ca="1" si="1251"/>
        <v>11</v>
      </c>
      <c r="D992">
        <f t="shared" ca="1" si="1252"/>
        <v>3</v>
      </c>
      <c r="E992">
        <f t="shared" ca="1" si="1253"/>
        <v>0</v>
      </c>
      <c r="F992">
        <f t="shared" ca="1" si="1254"/>
        <v>0</v>
      </c>
      <c r="G992">
        <f t="shared" ca="1" si="1255"/>
        <v>18</v>
      </c>
      <c r="H992">
        <f ca="1">IF(OR($A992="S",$A992=0),0,MATCH(0,OFFSET($B992,1,$A992,ROW($A$1504)-ROW($A992)),0))</f>
        <v>0</v>
      </c>
      <c r="I992">
        <f ca="1">IF(OR($A992="S",$A992=0),0,MATCH(OFFSET($B992,0,$A992)+1,OFFSET($B992,1,$A992,ROW($A$1504)-ROW($A992)),0))</f>
        <v>0</v>
      </c>
      <c r="J992" s="132" t="s">
        <v>29</v>
      </c>
      <c r="K992" s="121" t="str">
        <f t="shared" ca="1" si="1249"/>
        <v>11.3.18.</v>
      </c>
      <c r="L992" s="137" t="str">
        <f t="shared" ca="1" si="1256"/>
        <v>Cotação</v>
      </c>
      <c r="M992" s="122" t="s">
        <v>79</v>
      </c>
      <c r="N992" s="139" t="s">
        <v>170</v>
      </c>
      <c r="O992" s="137" t="str">
        <f t="shared" ca="1" si="1240"/>
        <v>Saco de lixo (100 litros)</v>
      </c>
      <c r="P992" s="138" t="str">
        <f t="shared" ca="1" si="1257"/>
        <v>Pacote</v>
      </c>
      <c r="Q992" s="134">
        <v>2</v>
      </c>
      <c r="R992" s="124">
        <f t="shared" ca="1" si="1258"/>
        <v>15</v>
      </c>
      <c r="S992" s="136" t="s">
        <v>62</v>
      </c>
      <c r="T992" s="123">
        <f t="shared" ca="1" si="1259"/>
        <v>18.75</v>
      </c>
      <c r="U992" s="126">
        <f t="shared" ca="1" si="1260"/>
        <v>37.5</v>
      </c>
      <c r="V992" s="1"/>
      <c r="W992" s="39" t="str">
        <f ca="1">IF(OR($A992=0,$A992="S",$A992&gt;CFF!$A$9),"",MAX(W$11:OFFSET(W992,-1,0))+1)</f>
        <v/>
      </c>
      <c r="X992" s="4" t="str">
        <f t="shared" si="1261"/>
        <v>Rec. Materiais-026</v>
      </c>
      <c r="Y992" s="39">
        <f t="shared" ca="1" si="1250"/>
        <v>35</v>
      </c>
      <c r="Z992" s="1"/>
      <c r="AA992" s="133">
        <f>IF($J992=$G$2,ROUND(IF(ISNUMBER(S992),S992,IF(LEFT(S992,2)="DI",HLOOKUP(S992,DADOS!$T$29:$X$30,2,FALSE),0)),4),"")</f>
        <v>0.25</v>
      </c>
      <c r="AB992" s="2"/>
    </row>
    <row r="993" spans="1:28">
      <c r="A993">
        <f>CHOOSE(1+LOG(1+2*(J993=$C$2)+4*(J993=$D$2)+8*(J993=$E$2)+16*(J993=$F$2)+32*(J993=$G$2),2),0,1,2,3,4,"S")</f>
        <v>2</v>
      </c>
      <c r="B993">
        <f ca="1">IF(OR(A993="S",A993=0),0,IF(ISERROR(I993),H993,SMALL(H993:I993,1)))</f>
        <v>3</v>
      </c>
      <c r="C993">
        <f ca="1">IF($A993=1,OFFSET(C993,-1,0)+1,OFFSET(C993,-1,0))</f>
        <v>11</v>
      </c>
      <c r="D993">
        <f ca="1">IF($A993=1,0,IF($A993=2,OFFSET(D993,-1,0)+1,OFFSET(D993,-1,0)))</f>
        <v>4</v>
      </c>
      <c r="E993">
        <f ca="1">IF(AND($A993&lt;=2,$A993&lt;&gt;0),0,IF($A993=3,OFFSET(E993,-1,0)+1,OFFSET(E993,-1,0)))</f>
        <v>0</v>
      </c>
      <c r="F993">
        <f ca="1">IF(AND($A993&lt;=3,$A993&lt;&gt;0),0,IF($A993=4,OFFSET(F993,-1,0)+1,OFFSET(F993,-1,0)))</f>
        <v>0</v>
      </c>
      <c r="G993">
        <f ca="1">IF(AND($A993&lt;=4,$A993&lt;&gt;0),0,IF($A993="S",OFFSET(G993,-1,0)+1,OFFSET(G993,-1,0)))</f>
        <v>0</v>
      </c>
      <c r="H993">
        <f ca="1">IF(OR($A993="S",$A993=0),0,MATCH(0,OFFSET($B993,1,$A993,ROW($A$1504)-ROW($A993)),0))</f>
        <v>34</v>
      </c>
      <c r="I993">
        <f ca="1">IF(OR($A993="S",$A993=0),0,MATCH(OFFSET($B993,0,$A993)+1,OFFSET($B993,1,$A993,ROW($A$1504)-ROW($A993)),0))</f>
        <v>3</v>
      </c>
      <c r="J993" s="132" t="s">
        <v>68</v>
      </c>
      <c r="K993" s="121" t="str">
        <f ca="1">IF($A993=0,"-",CONCATENATE(C993&amp;".",IF(AND($A$5&gt;=2,$A993&gt;=2),D993&amp;".",""),IF(AND($A$5&gt;=3,$A993&gt;=3),E993&amp;".",""),IF(AND($A$5&gt;=4,$A993&gt;=4),F993&amp;".",""),IF($A993="S",G993&amp;".","")))</f>
        <v>11.4.</v>
      </c>
      <c r="L993" s="137" t="str">
        <f ca="1">IF(NOT(ISERROR($Y993)),IF($Y993&lt;&gt;FALSE,INDEX(Banco,$Y993,4),""),"")</f>
        <v/>
      </c>
      <c r="M993" s="122"/>
      <c r="N993" s="139"/>
      <c r="O993" s="137" t="s">
        <v>422</v>
      </c>
      <c r="P993" s="138" t="str">
        <f ca="1">IF(NOT(ISERROR($Y993)),IF($Y993&lt;&gt;FALSE,INDEX(Banco,$Y993,6),""),"")</f>
        <v/>
      </c>
      <c r="Q993" s="134"/>
      <c r="R993" s="124">
        <f ca="1">IF(NOT(ISERROR($Y993)),IF($Y993&lt;&gt;FALSE,INDEX(Banco,$Y993,7),0),0)</f>
        <v>0</v>
      </c>
      <c r="S993" s="136" t="s">
        <v>62</v>
      </c>
      <c r="T993" s="123">
        <f>IF($J993=$G$2,ROUND(ROUND($R993,2)*IF($R$9="Preço Unitário (R$)",1,1+$AA993),2),0)</f>
        <v>0</v>
      </c>
      <c r="U993" s="126">
        <f ca="1">IF($A993="S",VTOTAL1,IF($A993=0,0,ROUND(SomaAgrup,2)))</f>
        <v>3427.56</v>
      </c>
      <c r="V993" s="1"/>
      <c r="W993" s="39">
        <f ca="1">IF(OR($A993=0,$A993="S",$A993&gt;CFF!$A$9),"",MAX(W$11:OFFSET(W993,-1,0))+1)</f>
        <v>86</v>
      </c>
      <c r="X993" s="4" t="b">
        <f>IF(AND($J993=$G$2,$N993&lt;&gt;"",$M993&lt;&gt;""),CONCATENATE($M993,"-",$N993))</f>
        <v>0</v>
      </c>
      <c r="Y993" s="39" t="b">
        <f ca="1">IF(X993&lt;&gt;FALSE,MATCH(X993,OFFSET(Banco,0,0,,1),0))</f>
        <v>0</v>
      </c>
      <c r="Z993" s="1"/>
      <c r="AA993" s="133" t="str">
        <f>IF($J993=$G$2,ROUND(IF(ISNUMBER(S993),S993,IF(LEFT(S993,2)="DI",HLOOKUP(S993,DADOS!$T$29:$X$30,2,FALSE),0)),4),"")</f>
        <v/>
      </c>
      <c r="AB993" s="2"/>
    </row>
    <row r="994" spans="1:28">
      <c r="A994" t="str">
        <f t="shared" ref="A994:A1002" si="1262">CHOOSE(1+LOG(1+2*(J994=$C$2)+4*(J994=$D$2)+8*(J994=$E$2)+16*(J994=$F$2)+32*(J994=$G$2),2),0,1,2,3,4,"S")</f>
        <v>S</v>
      </c>
      <c r="B994">
        <f t="shared" ref="B994:B1002" si="1263">IF(OR(A994="S",A994=0),0,IF(ISERROR(I994),H994,SMALL(H994:I994,1)))</f>
        <v>0</v>
      </c>
      <c r="C994">
        <f t="shared" ca="1" si="1251"/>
        <v>11</v>
      </c>
      <c r="D994">
        <f t="shared" ca="1" si="1252"/>
        <v>4</v>
      </c>
      <c r="E994">
        <f t="shared" ca="1" si="1253"/>
        <v>0</v>
      </c>
      <c r="F994">
        <f t="shared" ca="1" si="1254"/>
        <v>0</v>
      </c>
      <c r="G994">
        <f t="shared" ca="1" si="1255"/>
        <v>1</v>
      </c>
      <c r="H994">
        <f ca="1">IF(OR($A994="S",$A994=0),0,MATCH(0,OFFSET($B994,1,$A994,ROW($A$1504)-ROW($A994)),0))</f>
        <v>0</v>
      </c>
      <c r="I994">
        <f ca="1">IF(OR($A994="S",$A994=0),0,MATCH(OFFSET($B994,0,$A994)+1,OFFSET($B994,1,$A994,ROW($A$1504)-ROW($A994)),0))</f>
        <v>0</v>
      </c>
      <c r="J994" s="132" t="s">
        <v>29</v>
      </c>
      <c r="K994" s="121" t="str">
        <f t="shared" ref="K994:K1002" ca="1" si="1264">IF($A994=0,"-",CONCATENATE(C994&amp;".",IF(AND($A$5&gt;=2,$A994&gt;=2),D994&amp;".",""),IF(AND($A$5&gt;=3,$A994&gt;=3),E994&amp;".",""),IF(AND($A$5&gt;=4,$A994&gt;=4),F994&amp;".",""),IF($A994="S",G994&amp;".","")))</f>
        <v>11.4.1.</v>
      </c>
      <c r="L994" s="137" t="str">
        <f t="shared" ca="1" si="1256"/>
        <v>CRESS</v>
      </c>
      <c r="M994" s="122" t="s">
        <v>78</v>
      </c>
      <c r="N994" s="139" t="s">
        <v>149</v>
      </c>
      <c r="O994" s="137" t="str">
        <f ca="1">IF(NOT(ISERROR($Y994)),IF($Y994&lt;&gt;FALSE,INDEX(Banco,$Y994,5),""),"")</f>
        <v>Responsável Técnica</v>
      </c>
      <c r="P994" s="138" t="str">
        <f t="shared" ca="1" si="1257"/>
        <v>Horas</v>
      </c>
      <c r="Q994" s="134">
        <v>4</v>
      </c>
      <c r="R994" s="124">
        <f t="shared" ca="1" si="1258"/>
        <v>150.28</v>
      </c>
      <c r="S994" s="136" t="s">
        <v>62</v>
      </c>
      <c r="T994" s="123">
        <f t="shared" ca="1" si="1259"/>
        <v>187.85</v>
      </c>
      <c r="U994" s="126">
        <f t="shared" ca="1" si="1260"/>
        <v>751.4</v>
      </c>
      <c r="V994" s="1"/>
      <c r="W994" s="39" t="str">
        <f ca="1">IF(OR($A994=0,$A994="S",$A994&gt;CFF!$A$9),"",MAX(W$11:OFFSET(W994,-1,0))+1)</f>
        <v/>
      </c>
      <c r="X994" s="4" t="str">
        <f t="shared" si="1261"/>
        <v>Rec. Humanos-001</v>
      </c>
      <c r="Y994" s="39">
        <f t="shared" ref="Y994:Y1002" ca="1" si="1265">IF(X994&lt;&gt;FALSE,MATCH(X994,OFFSET(Banco,0,0,,1),0))</f>
        <v>3</v>
      </c>
      <c r="Z994" s="1"/>
      <c r="AA994" s="133">
        <f>IF($J994=$G$2,ROUND(IF(ISNUMBER(S994),S994,IF(LEFT(S994,2)="DI",HLOOKUP(S994,DADOS!$T$29:$X$30,2,FALSE),0)),4),"")</f>
        <v>0.25</v>
      </c>
      <c r="AB994" s="2"/>
    </row>
    <row r="995" spans="1:28">
      <c r="A995" t="str">
        <f t="shared" si="1262"/>
        <v>S</v>
      </c>
      <c r="B995">
        <f t="shared" si="1263"/>
        <v>0</v>
      </c>
      <c r="C995">
        <f t="shared" ca="1" si="1251"/>
        <v>11</v>
      </c>
      <c r="D995">
        <f t="shared" ca="1" si="1252"/>
        <v>4</v>
      </c>
      <c r="E995">
        <f t="shared" ca="1" si="1253"/>
        <v>0</v>
      </c>
      <c r="F995">
        <f t="shared" ca="1" si="1254"/>
        <v>0</v>
      </c>
      <c r="G995">
        <f t="shared" ca="1" si="1255"/>
        <v>2</v>
      </c>
      <c r="H995">
        <f ca="1">IF(OR($A995="S",$A995=0),0,MATCH(0,OFFSET($B995,1,$A995,ROW($A$1504)-ROW($A995)),0))</f>
        <v>0</v>
      </c>
      <c r="I995">
        <f ca="1">IF(OR($A995="S",$A995=0),0,MATCH(OFFSET($B995,0,$A995)+1,OFFSET($B995,1,$A995,ROW($A$1504)-ROW($A995)),0))</f>
        <v>0</v>
      </c>
      <c r="J995" s="132" t="s">
        <v>29</v>
      </c>
      <c r="K995" s="121" t="str">
        <f t="shared" ca="1" si="1264"/>
        <v>11.4.2.</v>
      </c>
      <c r="L995" s="137" t="str">
        <f t="shared" ca="1" si="1256"/>
        <v>CRESS</v>
      </c>
      <c r="M995" s="122" t="s">
        <v>78</v>
      </c>
      <c r="N995" s="139" t="s">
        <v>152</v>
      </c>
      <c r="O995" s="137" t="str">
        <f ca="1">IF(NOT(ISERROR($Y995)),IF($Y995&lt;&gt;FALSE,INDEX(Banco,$Y995,5),""),"")</f>
        <v>Assistente Social</v>
      </c>
      <c r="P995" s="138" t="str">
        <f t="shared" ca="1" si="1257"/>
        <v>Horas</v>
      </c>
      <c r="Q995" s="134">
        <v>16</v>
      </c>
      <c r="R995" s="124">
        <f t="shared" ca="1" si="1258"/>
        <v>133.81</v>
      </c>
      <c r="S995" s="136" t="s">
        <v>62</v>
      </c>
      <c r="T995" s="123">
        <f t="shared" ca="1" si="1259"/>
        <v>167.26</v>
      </c>
      <c r="U995" s="126">
        <f t="shared" ca="1" si="1260"/>
        <v>2676.16</v>
      </c>
      <c r="V995" s="1"/>
      <c r="W995" s="39" t="str">
        <f ca="1">IF(OR($A995=0,$A995="S",$A995&gt;CFF!$A$9),"",MAX(W$11:OFFSET(W995,-1,0))+1)</f>
        <v/>
      </c>
      <c r="X995" s="4" t="str">
        <f t="shared" si="1261"/>
        <v>Rec. Humanos-002</v>
      </c>
      <c r="Y995" s="39">
        <f t="shared" ca="1" si="1265"/>
        <v>4</v>
      </c>
      <c r="Z995" s="1"/>
      <c r="AA995" s="133">
        <f>IF($J995=$G$2,ROUND(IF(ISNUMBER(S995),S995,IF(LEFT(S995,2)="DI",HLOOKUP(S995,DADOS!$T$29:$X$30,2,FALSE),0)),4),"")</f>
        <v>0.25</v>
      </c>
      <c r="AB995" s="2"/>
    </row>
    <row r="996" spans="1:28" ht="25.5">
      <c r="A996">
        <f>CHOOSE(1+LOG(1+2*(J996=$C$2)+4*(J996=$D$2)+8*(J996=$E$2)+16*(J996=$F$2)+32*(J996=$G$2),2),0,1,2,3,4,"S")</f>
        <v>2</v>
      </c>
      <c r="B996">
        <f ca="1">IF(OR(A996="S",A996=0),0,IF(ISERROR(I996),H996,SMALL(H996:I996,1)))</f>
        <v>19</v>
      </c>
      <c r="C996">
        <f ca="1">IF($A996=1,OFFSET(C996,-1,0)+1,OFFSET(C996,-1,0))</f>
        <v>11</v>
      </c>
      <c r="D996">
        <f ca="1">IF($A996=1,0,IF($A996=2,OFFSET(D996,-1,0)+1,OFFSET(D996,-1,0)))</f>
        <v>5</v>
      </c>
      <c r="E996">
        <f ca="1">IF(AND($A996&lt;=2,$A996&lt;&gt;0),0,IF($A996=3,OFFSET(E996,-1,0)+1,OFFSET(E996,-1,0)))</f>
        <v>0</v>
      </c>
      <c r="F996">
        <f ca="1">IF(AND($A996&lt;=3,$A996&lt;&gt;0),0,IF($A996=4,OFFSET(F996,-1,0)+1,OFFSET(F996,-1,0)))</f>
        <v>0</v>
      </c>
      <c r="G996">
        <f ca="1">IF(AND($A996&lt;=4,$A996&lt;&gt;0),0,IF($A996="S",OFFSET(G996,-1,0)+1,OFFSET(G996,-1,0)))</f>
        <v>0</v>
      </c>
      <c r="H996">
        <f ca="1">IF(OR($A996="S",$A996=0),0,MATCH(0,OFFSET($B996,1,$A996,ROW($A$1504)-ROW($A996)),0))</f>
        <v>31</v>
      </c>
      <c r="I996">
        <f ca="1">IF(OR($A996="S",$A996=0),0,MATCH(OFFSET($B996,0,$A996)+1,OFFSET($B996,1,$A996,ROW($A$1504)-ROW($A996)),0))</f>
        <v>19</v>
      </c>
      <c r="J996" s="132" t="s">
        <v>68</v>
      </c>
      <c r="K996" s="121" t="str">
        <f ca="1">IF($A996=0,"-",CONCATENATE(C996&amp;".",IF(AND($A$5&gt;=2,$A996&gt;=2),D996&amp;".",""),IF(AND($A$5&gt;=3,$A996&gt;=3),E996&amp;".",""),IF(AND($A$5&gt;=4,$A996&gt;=4),F996&amp;".",""),IF($A996="S",G996&amp;".","")))</f>
        <v>11.5.</v>
      </c>
      <c r="L996" s="137" t="str">
        <f ca="1">IF(NOT(ISERROR($Y996)),IF($Y996&lt;&gt;FALSE,INDEX(Banco,$Y996,4),""),"")</f>
        <v/>
      </c>
      <c r="M996" s="122"/>
      <c r="N996" s="139"/>
      <c r="O996" s="137" t="s">
        <v>423</v>
      </c>
      <c r="P996" s="138" t="str">
        <f ca="1">IF(NOT(ISERROR($Y996)),IF($Y996&lt;&gt;FALSE,INDEX(Banco,$Y996,6),""),"")</f>
        <v/>
      </c>
      <c r="Q996" s="134"/>
      <c r="R996" s="124">
        <f ca="1">IF(NOT(ISERROR($Y996)),IF($Y996&lt;&gt;FALSE,INDEX(Banco,$Y996,7),0),0)</f>
        <v>0</v>
      </c>
      <c r="S996" s="136" t="s">
        <v>62</v>
      </c>
      <c r="T996" s="123">
        <f>IF($J996=$G$2,ROUND(ROUND($R996,2)*IF($R$9="Preço Unitário (R$)",1,1+$AA996),2),0)</f>
        <v>0</v>
      </c>
      <c r="U996" s="126">
        <f ca="1">IF($A996="S",VTOTAL1,IF($A996=0,0,ROUND(SomaAgrup,2)))</f>
        <v>8707.98</v>
      </c>
      <c r="V996" s="1"/>
      <c r="W996" s="39">
        <f ca="1">IF(OR($A996=0,$A996="S",$A996&gt;CFF!$A$9),"",MAX(W$11:OFFSET(W996,-1,0))+1)</f>
        <v>87</v>
      </c>
      <c r="X996" s="4" t="b">
        <f>IF(AND($J996=$G$2,$N996&lt;&gt;"",$M996&lt;&gt;""),CONCATENATE($M996,"-",$N996))</f>
        <v>0</v>
      </c>
      <c r="Y996" s="39" t="b">
        <f ca="1">IF(X996&lt;&gt;FALSE,MATCH(X996,OFFSET(Banco,0,0,,1),0))</f>
        <v>0</v>
      </c>
      <c r="Z996" s="1"/>
      <c r="AA996" s="133" t="str">
        <f>IF($J996=$G$2,ROUND(IF(ISNUMBER(S996),S996,IF(LEFT(S996,2)="DI",HLOOKUP(S996,DADOS!$T$29:$X$30,2,FALSE),0)),4),"")</f>
        <v/>
      </c>
      <c r="AB996" s="2"/>
    </row>
    <row r="997" spans="1:28">
      <c r="A997" t="str">
        <f t="shared" si="1262"/>
        <v>S</v>
      </c>
      <c r="B997">
        <f t="shared" si="1263"/>
        <v>0</v>
      </c>
      <c r="C997">
        <f t="shared" ref="C997:C1010" ca="1" si="1266">IF($A997=1,OFFSET(C997,-1,0)+1,OFFSET(C997,-1,0))</f>
        <v>11</v>
      </c>
      <c r="D997">
        <f t="shared" ref="D997:D1010" ca="1" si="1267">IF($A997=1,0,IF($A997=2,OFFSET(D997,-1,0)+1,OFFSET(D997,-1,0)))</f>
        <v>5</v>
      </c>
      <c r="E997">
        <f t="shared" ref="E997:E1010" ca="1" si="1268">IF(AND($A997&lt;=2,$A997&lt;&gt;0),0,IF($A997=3,OFFSET(E997,-1,0)+1,OFFSET(E997,-1,0)))</f>
        <v>0</v>
      </c>
      <c r="F997">
        <f t="shared" ref="F997:F1010" ca="1" si="1269">IF(AND($A997&lt;=3,$A997&lt;&gt;0),0,IF($A997=4,OFFSET(F997,-1,0)+1,OFFSET(F997,-1,0)))</f>
        <v>0</v>
      </c>
      <c r="G997">
        <f t="shared" ref="G997:G1010" ca="1" si="1270">IF(AND($A997&lt;=4,$A997&lt;&gt;0),0,IF($A997="S",OFFSET(G997,-1,0)+1,OFFSET(G997,-1,0)))</f>
        <v>1</v>
      </c>
      <c r="H997">
        <f ca="1">IF(OR($A997="S",$A997=0),0,MATCH(0,OFFSET($B997,1,$A997,ROW($A$1504)-ROW($A997)),0))</f>
        <v>0</v>
      </c>
      <c r="I997">
        <f ca="1">IF(OR($A997="S",$A997=0),0,MATCH(OFFSET($B997,0,$A997)+1,OFFSET($B997,1,$A997,ROW($A$1504)-ROW($A997)),0))</f>
        <v>0</v>
      </c>
      <c r="J997" s="132" t="s">
        <v>29</v>
      </c>
      <c r="K997" s="121" t="str">
        <f t="shared" ca="1" si="1264"/>
        <v>11.5.1.</v>
      </c>
      <c r="L997" s="137" t="str">
        <f t="shared" ref="L997:L1010" ca="1" si="1271">IF(NOT(ISERROR($Y997)),IF($Y997&lt;&gt;FALSE,INDEX(Banco,$Y997,4),""),"")</f>
        <v>CRESS</v>
      </c>
      <c r="M997" s="122" t="s">
        <v>78</v>
      </c>
      <c r="N997" s="139" t="s">
        <v>149</v>
      </c>
      <c r="O997" s="137" t="str">
        <f ca="1">IF(NOT(ISERROR($Y997)),IF($Y997&lt;&gt;FALSE,INDEX(Banco,$Y997,5),""),"")</f>
        <v>Responsável Técnica</v>
      </c>
      <c r="P997" s="138" t="str">
        <f t="shared" ref="P997:P1010" ca="1" si="1272">IF(NOT(ISERROR($Y997)),IF($Y997&lt;&gt;FALSE,INDEX(Banco,$Y997,6),""),"")</f>
        <v>Horas</v>
      </c>
      <c r="Q997" s="134">
        <v>9</v>
      </c>
      <c r="R997" s="124">
        <f t="shared" ref="R997:R1010" ca="1" si="1273">IF(NOT(ISERROR($Y997)),IF($Y997&lt;&gt;FALSE,INDEX(Banco,$Y997,7),0),0)</f>
        <v>150.28</v>
      </c>
      <c r="S997" s="136" t="s">
        <v>62</v>
      </c>
      <c r="T997" s="123">
        <f t="shared" ref="T997:T1010" ca="1" si="1274">IF($J997=$G$2,ROUND(ROUND($R997,2)*IF($R$9="Preço Unitário (R$)",1,1+$AA997),2),0)</f>
        <v>187.85</v>
      </c>
      <c r="U997" s="126">
        <f t="shared" ref="U997:U1010" ca="1" si="1275">IF($A997="S",VTOTAL1,IF($A997=0,0,ROUND(SomaAgrup,2)))</f>
        <v>1690.65</v>
      </c>
      <c r="V997" s="1"/>
      <c r="W997" s="39" t="str">
        <f ca="1">IF(OR($A997=0,$A997="S",$A997&gt;CFF!$A$9),"",MAX(W$11:OFFSET(W997,-1,0))+1)</f>
        <v/>
      </c>
      <c r="X997" s="4" t="str">
        <f t="shared" ref="X997:X1010" si="1276">IF(AND($J997=$G$2,$N997&lt;&gt;"",$M997&lt;&gt;""),CONCATENATE($M997,"-",$N997))</f>
        <v>Rec. Humanos-001</v>
      </c>
      <c r="Y997" s="39">
        <f t="shared" ca="1" si="1265"/>
        <v>3</v>
      </c>
      <c r="Z997" s="1"/>
      <c r="AA997" s="133">
        <f>IF($J997=$G$2,ROUND(IF(ISNUMBER(S997),S997,IF(LEFT(S997,2)="DI",HLOOKUP(S997,DADOS!$T$29:$X$30,2,FALSE),0)),4),"")</f>
        <v>0.25</v>
      </c>
      <c r="AB997" s="2"/>
    </row>
    <row r="998" spans="1:28">
      <c r="A998" t="str">
        <f t="shared" si="1262"/>
        <v>S</v>
      </c>
      <c r="B998">
        <f t="shared" si="1263"/>
        <v>0</v>
      </c>
      <c r="C998">
        <f t="shared" ca="1" si="1266"/>
        <v>11</v>
      </c>
      <c r="D998">
        <f t="shared" ca="1" si="1267"/>
        <v>5</v>
      </c>
      <c r="E998">
        <f t="shared" ca="1" si="1268"/>
        <v>0</v>
      </c>
      <c r="F998">
        <f t="shared" ca="1" si="1269"/>
        <v>0</v>
      </c>
      <c r="G998">
        <f t="shared" ca="1" si="1270"/>
        <v>2</v>
      </c>
      <c r="H998">
        <f ca="1">IF(OR($A998="S",$A998=0),0,MATCH(0,OFFSET($B998,1,$A998,ROW($A$1504)-ROW($A998)),0))</f>
        <v>0</v>
      </c>
      <c r="I998">
        <f ca="1">IF(OR($A998="S",$A998=0),0,MATCH(OFFSET($B998,0,$A998)+1,OFFSET($B998,1,$A998,ROW($A$1504)-ROW($A998)),0))</f>
        <v>0</v>
      </c>
      <c r="J998" s="132" t="s">
        <v>29</v>
      </c>
      <c r="K998" s="121" t="str">
        <f t="shared" ca="1" si="1264"/>
        <v>11.5.2.</v>
      </c>
      <c r="L998" s="137" t="str">
        <f t="shared" ca="1" si="1271"/>
        <v>CRESS</v>
      </c>
      <c r="M998" s="122" t="s">
        <v>78</v>
      </c>
      <c r="N998" s="139" t="s">
        <v>152</v>
      </c>
      <c r="O998" s="137" t="str">
        <f ca="1">IF(NOT(ISERROR($Y998)),IF($Y998&lt;&gt;FALSE,INDEX(Banco,$Y998,5),""),"")</f>
        <v>Assistente Social</v>
      </c>
      <c r="P998" s="138" t="str">
        <f t="shared" ca="1" si="1272"/>
        <v>Horas</v>
      </c>
      <c r="Q998" s="134">
        <v>7</v>
      </c>
      <c r="R998" s="124">
        <f t="shared" ca="1" si="1273"/>
        <v>133.81</v>
      </c>
      <c r="S998" s="136" t="s">
        <v>62</v>
      </c>
      <c r="T998" s="123">
        <f t="shared" ca="1" si="1274"/>
        <v>167.26</v>
      </c>
      <c r="U998" s="126">
        <f t="shared" ca="1" si="1275"/>
        <v>1170.82</v>
      </c>
      <c r="V998" s="1"/>
      <c r="W998" s="39" t="str">
        <f ca="1">IF(OR($A998=0,$A998="S",$A998&gt;CFF!$A$9),"",MAX(W$11:OFFSET(W998,-1,0))+1)</f>
        <v/>
      </c>
      <c r="X998" s="4" t="str">
        <f t="shared" si="1276"/>
        <v>Rec. Humanos-002</v>
      </c>
      <c r="Y998" s="39">
        <f t="shared" ca="1" si="1265"/>
        <v>4</v>
      </c>
      <c r="Z998" s="1"/>
      <c r="AA998" s="133">
        <f>IF($J998=$G$2,ROUND(IF(ISNUMBER(S998),S998,IF(LEFT(S998,2)="DI",HLOOKUP(S998,DADOS!$T$29:$X$30,2,FALSE),0)),4),"")</f>
        <v>0.25</v>
      </c>
      <c r="AB998" s="2"/>
    </row>
    <row r="999" spans="1:28">
      <c r="A999" t="str">
        <f t="shared" si="1262"/>
        <v>S</v>
      </c>
      <c r="B999">
        <f t="shared" si="1263"/>
        <v>0</v>
      </c>
      <c r="C999">
        <f t="shared" ca="1" si="1266"/>
        <v>11</v>
      </c>
      <c r="D999">
        <f t="shared" ca="1" si="1267"/>
        <v>5</v>
      </c>
      <c r="E999">
        <f t="shared" ca="1" si="1268"/>
        <v>0</v>
      </c>
      <c r="F999">
        <f t="shared" ca="1" si="1269"/>
        <v>0</v>
      </c>
      <c r="G999">
        <f t="shared" ca="1" si="1270"/>
        <v>3</v>
      </c>
      <c r="H999">
        <f ca="1">IF(OR($A999="S",$A999=0),0,MATCH(0,OFFSET($B999,1,$A999,ROW($A$1504)-ROW($A999)),0))</f>
        <v>0</v>
      </c>
      <c r="I999">
        <f ca="1">IF(OR($A999="S",$A999=0),0,MATCH(OFFSET($B999,0,$A999)+1,OFFSET($B999,1,$A999,ROW($A$1504)-ROW($A999)),0))</f>
        <v>0</v>
      </c>
      <c r="J999" s="132" t="s">
        <v>29</v>
      </c>
      <c r="K999" s="121" t="str">
        <f t="shared" ca="1" si="1264"/>
        <v>11.5.3.</v>
      </c>
      <c r="L999" s="137" t="str">
        <f t="shared" ca="1" si="1271"/>
        <v>Cotação</v>
      </c>
      <c r="M999" s="122" t="s">
        <v>78</v>
      </c>
      <c r="N999" s="139" t="s">
        <v>151</v>
      </c>
      <c r="O999" s="137" t="str">
        <f t="shared" ref="O999:O1014" ca="1" si="1277">IF(NOT(ISERROR($Y999)),IF($Y999&lt;&gt;FALSE,INDEX(Banco,$Y999,5),""),"")</f>
        <v xml:space="preserve">Administrador (Técnico de Apoio) </v>
      </c>
      <c r="P999" s="138" t="str">
        <f t="shared" ca="1" si="1272"/>
        <v>Horas</v>
      </c>
      <c r="Q999" s="134">
        <v>4</v>
      </c>
      <c r="R999" s="124">
        <f t="shared" ca="1" si="1273"/>
        <v>103.65</v>
      </c>
      <c r="S999" s="136" t="s">
        <v>62</v>
      </c>
      <c r="T999" s="123">
        <f t="shared" ca="1" si="1274"/>
        <v>129.56</v>
      </c>
      <c r="U999" s="126">
        <f t="shared" ca="1" si="1275"/>
        <v>518.24</v>
      </c>
      <c r="V999" s="1"/>
      <c r="W999" s="39" t="str">
        <f ca="1">IF(OR($A999=0,$A999="S",$A999&gt;CFF!$A$9),"",MAX(W$11:OFFSET(W999,-1,0))+1)</f>
        <v/>
      </c>
      <c r="X999" s="4" t="str">
        <f t="shared" si="1276"/>
        <v>Rec. Humanos-003</v>
      </c>
      <c r="Y999" s="39">
        <f t="shared" ca="1" si="1265"/>
        <v>5</v>
      </c>
      <c r="Z999" s="1"/>
      <c r="AA999" s="133">
        <f>IF($J999=$G$2,ROUND(IF(ISNUMBER(S999),S999,IF(LEFT(S999,2)="DI",HLOOKUP(S999,DADOS!$T$29:$X$30,2,FALSE),0)),4),"")</f>
        <v>0.25</v>
      </c>
      <c r="AB999" s="2"/>
    </row>
    <row r="1000" spans="1:28">
      <c r="A1000" t="str">
        <f t="shared" si="1262"/>
        <v>S</v>
      </c>
      <c r="B1000">
        <f t="shared" si="1263"/>
        <v>0</v>
      </c>
      <c r="C1000">
        <f t="shared" ca="1" si="1266"/>
        <v>11</v>
      </c>
      <c r="D1000">
        <f t="shared" ca="1" si="1267"/>
        <v>5</v>
      </c>
      <c r="E1000">
        <f t="shared" ca="1" si="1268"/>
        <v>0</v>
      </c>
      <c r="F1000">
        <f t="shared" ca="1" si="1269"/>
        <v>0</v>
      </c>
      <c r="G1000">
        <f t="shared" ca="1" si="1270"/>
        <v>4</v>
      </c>
      <c r="H1000">
        <f ca="1">IF(OR($A1000="S",$A1000=0),0,MATCH(0,OFFSET($B1000,1,$A1000,ROW($A$1504)-ROW($A1000)),0))</f>
        <v>0</v>
      </c>
      <c r="I1000">
        <f ca="1">IF(OR($A1000="S",$A1000=0),0,MATCH(OFFSET($B1000,0,$A1000)+1,OFFSET($B1000,1,$A1000,ROW($A$1504)-ROW($A1000)),0))</f>
        <v>0</v>
      </c>
      <c r="J1000" s="132" t="s">
        <v>29</v>
      </c>
      <c r="K1000" s="121" t="str">
        <f t="shared" ca="1" si="1264"/>
        <v>11.5.4.</v>
      </c>
      <c r="L1000" s="137" t="str">
        <f t="shared" ca="1" si="1271"/>
        <v>SINE</v>
      </c>
      <c r="M1000" s="122" t="s">
        <v>78</v>
      </c>
      <c r="N1000" s="139" t="s">
        <v>153</v>
      </c>
      <c r="O1000" s="137" t="str">
        <f t="shared" ca="1" si="1277"/>
        <v>Estagiários</v>
      </c>
      <c r="P1000" s="138" t="str">
        <f t="shared" ca="1" si="1272"/>
        <v>Horas</v>
      </c>
      <c r="Q1000" s="134">
        <v>16</v>
      </c>
      <c r="R1000" s="124">
        <f t="shared" ca="1" si="1273"/>
        <v>9.7899999999999991</v>
      </c>
      <c r="S1000" s="136" t="s">
        <v>62</v>
      </c>
      <c r="T1000" s="123">
        <f t="shared" ca="1" si="1274"/>
        <v>12.24</v>
      </c>
      <c r="U1000" s="126">
        <f t="shared" ca="1" si="1275"/>
        <v>195.84</v>
      </c>
      <c r="V1000" s="1"/>
      <c r="W1000" s="39" t="str">
        <f ca="1">IF(OR($A1000=0,$A1000="S",$A1000&gt;CFF!$A$9),"",MAX(W$11:OFFSET(W1000,-1,0))+1)</f>
        <v/>
      </c>
      <c r="X1000" s="4" t="str">
        <f t="shared" si="1276"/>
        <v>Rec. Humanos-004</v>
      </c>
      <c r="Y1000" s="39">
        <f t="shared" ca="1" si="1265"/>
        <v>6</v>
      </c>
      <c r="Z1000" s="1"/>
      <c r="AA1000" s="133">
        <f>IF($J1000=$G$2,ROUND(IF(ISNUMBER(S1000),S1000,IF(LEFT(S1000,2)="DI",HLOOKUP(S1000,DADOS!$T$29:$X$30,2,FALSE),0)),4),"")</f>
        <v>0.25</v>
      </c>
      <c r="AB1000" s="2"/>
    </row>
    <row r="1001" spans="1:28">
      <c r="A1001" t="str">
        <f t="shared" si="1262"/>
        <v>S</v>
      </c>
      <c r="B1001">
        <f t="shared" si="1263"/>
        <v>0</v>
      </c>
      <c r="C1001">
        <f t="shared" ca="1" si="1266"/>
        <v>11</v>
      </c>
      <c r="D1001">
        <f t="shared" ca="1" si="1267"/>
        <v>5</v>
      </c>
      <c r="E1001">
        <f t="shared" ca="1" si="1268"/>
        <v>0</v>
      </c>
      <c r="F1001">
        <f t="shared" ca="1" si="1269"/>
        <v>0</v>
      </c>
      <c r="G1001">
        <f t="shared" ca="1" si="1270"/>
        <v>5</v>
      </c>
      <c r="H1001">
        <f ca="1">IF(OR($A1001="S",$A1001=0),0,MATCH(0,OFFSET($B1001,1,$A1001,ROW($A$1504)-ROW($A1001)),0))</f>
        <v>0</v>
      </c>
      <c r="I1001">
        <f ca="1">IF(OR($A1001="S",$A1001=0),0,MATCH(OFFSET($B1001,0,$A1001)+1,OFFSET($B1001,1,$A1001,ROW($A$1504)-ROW($A1001)),0))</f>
        <v>0</v>
      </c>
      <c r="J1001" s="132" t="s">
        <v>29</v>
      </c>
      <c r="K1001" s="121" t="str">
        <f t="shared" ca="1" si="1264"/>
        <v>11.5.5.</v>
      </c>
      <c r="L1001" s="137" t="str">
        <f t="shared" ca="1" si="1271"/>
        <v>Cotação</v>
      </c>
      <c r="M1001" s="122" t="s">
        <v>80</v>
      </c>
      <c r="N1001" s="139" t="s">
        <v>149</v>
      </c>
      <c r="O1001" s="137" t="str">
        <f t="shared" ca="1" si="1277"/>
        <v>Fotocópias</v>
      </c>
      <c r="P1001" s="138" t="str">
        <f t="shared" ca="1" si="1272"/>
        <v>Unidade</v>
      </c>
      <c r="Q1001" s="134">
        <v>150</v>
      </c>
      <c r="R1001" s="124">
        <f t="shared" ca="1" si="1273"/>
        <v>0.3</v>
      </c>
      <c r="S1001" s="136" t="s">
        <v>62</v>
      </c>
      <c r="T1001" s="123">
        <f t="shared" ca="1" si="1274"/>
        <v>0.38</v>
      </c>
      <c r="U1001" s="126">
        <f t="shared" ca="1" si="1275"/>
        <v>57</v>
      </c>
      <c r="V1001" s="1"/>
      <c r="W1001" s="39" t="str">
        <f ca="1">IF(OR($A1001=0,$A1001="S",$A1001&gt;CFF!$A$9),"",MAX(W$11:OFFSET(W1001,-1,0))+1)</f>
        <v/>
      </c>
      <c r="X1001" s="4" t="str">
        <f t="shared" si="1276"/>
        <v>Serv. Terc.-001</v>
      </c>
      <c r="Y1001" s="39">
        <f t="shared" ca="1" si="1265"/>
        <v>81</v>
      </c>
      <c r="Z1001" s="1"/>
      <c r="AA1001" s="133">
        <f>IF($J1001=$G$2,ROUND(IF(ISNUMBER(S1001),S1001,IF(LEFT(S1001,2)="DI",HLOOKUP(S1001,DADOS!$T$29:$X$30,2,FALSE),0)),4),"")</f>
        <v>0.25</v>
      </c>
      <c r="AB1001" s="2"/>
    </row>
    <row r="1002" spans="1:28">
      <c r="A1002" t="str">
        <f t="shared" si="1262"/>
        <v>S</v>
      </c>
      <c r="B1002">
        <f t="shared" si="1263"/>
        <v>0</v>
      </c>
      <c r="C1002">
        <f ca="1">IF($A1002=1,OFFSET(C1002,-1,0)+1,OFFSET(C1002,-1,0))</f>
        <v>11</v>
      </c>
      <c r="D1002">
        <f ca="1">IF($A1002=1,0,IF($A1002=2,OFFSET(D1002,-1,0)+1,OFFSET(D1002,-1,0)))</f>
        <v>5</v>
      </c>
      <c r="E1002">
        <f ca="1">IF(AND($A1002&lt;=2,$A1002&lt;&gt;0),0,IF($A1002=3,OFFSET(E1002,-1,0)+1,OFFSET(E1002,-1,0)))</f>
        <v>0</v>
      </c>
      <c r="F1002">
        <f ca="1">IF(AND($A1002&lt;=3,$A1002&lt;&gt;0),0,IF($A1002=4,OFFSET(F1002,-1,0)+1,OFFSET(F1002,-1,0)))</f>
        <v>0</v>
      </c>
      <c r="G1002">
        <f ca="1">IF(AND($A1002&lt;=4,$A1002&lt;&gt;0),0,IF($A1002="S",OFFSET(G1002,-1,0)+1,OFFSET(G1002,-1,0)))</f>
        <v>6</v>
      </c>
      <c r="H1002">
        <f ca="1">IF(OR($A1002="S",$A1002=0),0,MATCH(0,OFFSET($B1002,1,$A1002,ROW($A$1504)-ROW($A1002)),0))</f>
        <v>0</v>
      </c>
      <c r="I1002">
        <f ca="1">IF(OR($A1002="S",$A1002=0),0,MATCH(OFFSET($B1002,0,$A1002)+1,OFFSET($B1002,1,$A1002,ROW($A$1504)-ROW($A1002)),0))</f>
        <v>0</v>
      </c>
      <c r="J1002" s="132" t="s">
        <v>29</v>
      </c>
      <c r="K1002" s="121" t="str">
        <f t="shared" ca="1" si="1264"/>
        <v>11.5.6.</v>
      </c>
      <c r="L1002" s="137" t="str">
        <f ca="1">IF(NOT(ISERROR($Y1002)),IF($Y1002&lt;&gt;FALSE,INDEX(Banco,$Y1002,4),""),"")</f>
        <v>Cotação</v>
      </c>
      <c r="M1002" s="122" t="s">
        <v>80</v>
      </c>
      <c r="N1002" s="139" t="s">
        <v>256</v>
      </c>
      <c r="O1002" s="137" t="str">
        <f ca="1">IF(NOT(ISERROR($Y1002)),IF($Y1002&lt;&gt;FALSE,INDEX(Banco,$Y1002,5),""),"")</f>
        <v>Instrutor/Monitor (Educação Fisíca)</v>
      </c>
      <c r="P1002" s="138" t="str">
        <f ca="1">IF(NOT(ISERROR($Y1002)),IF($Y1002&lt;&gt;FALSE,INDEX(Banco,$Y1002,6),""),"")</f>
        <v>Horas</v>
      </c>
      <c r="Q1002" s="134">
        <v>3</v>
      </c>
      <c r="R1002" s="124">
        <f ca="1">IF(NOT(ISERROR($Y1002)),IF($Y1002&lt;&gt;FALSE,INDEX(Banco,$Y1002,7),0),0)</f>
        <v>100</v>
      </c>
      <c r="S1002" s="136" t="s">
        <v>62</v>
      </c>
      <c r="T1002" s="123">
        <f ca="1">IF($J1002=$G$2,ROUND(ROUND($R1002,2)*IF($R$9="Preço Unitário (R$)",1,1+$AA1002),2),0)</f>
        <v>125</v>
      </c>
      <c r="U1002" s="126">
        <f ca="1">IF($A1002="S",VTOTAL1,IF($A1002=0,0,ROUND(SomaAgrup,2)))</f>
        <v>375</v>
      </c>
      <c r="V1002" s="1"/>
      <c r="W1002" s="39" t="str">
        <f ca="1">IF(OR($A1002=0,$A1002="S",$A1002&gt;CFF!$A$9),"",MAX(W$11:OFFSET(W1002,-1,0))+1)</f>
        <v/>
      </c>
      <c r="X1002" s="4" t="str">
        <f>IF(AND($J1002=$G$2,$N1002&lt;&gt;"",$M1002&lt;&gt;""),CONCATENATE($M1002,"-",$N1002))</f>
        <v>Serv. Terc.-017</v>
      </c>
      <c r="Y1002" s="39">
        <f t="shared" ca="1" si="1265"/>
        <v>97</v>
      </c>
      <c r="Z1002" s="1"/>
      <c r="AA1002" s="133">
        <f>IF($J1002=$G$2,ROUND(IF(ISNUMBER(S1002),S1002,IF(LEFT(S1002,2)="DI",HLOOKUP(S1002,DADOS!$T$29:$X$30,2,FALSE),0)),4),"")</f>
        <v>0.25</v>
      </c>
      <c r="AB1002" s="2"/>
    </row>
    <row r="1003" spans="1:28">
      <c r="A1003" t="str">
        <f t="shared" ref="A1003:A1014" si="1278">CHOOSE(1+LOG(1+2*(J1003=$C$2)+4*(J1003=$D$2)+8*(J1003=$E$2)+16*(J1003=$F$2)+32*(J1003=$G$2),2),0,1,2,3,4,"S")</f>
        <v>S</v>
      </c>
      <c r="B1003">
        <f t="shared" ref="B1003:B1014" si="1279">IF(OR(A1003="S",A1003=0),0,IF(ISERROR(I1003),H1003,SMALL(H1003:I1003,1)))</f>
        <v>0</v>
      </c>
      <c r="C1003">
        <f t="shared" ca="1" si="1266"/>
        <v>11</v>
      </c>
      <c r="D1003">
        <f t="shared" ca="1" si="1267"/>
        <v>5</v>
      </c>
      <c r="E1003">
        <f t="shared" ca="1" si="1268"/>
        <v>0</v>
      </c>
      <c r="F1003">
        <f t="shared" ca="1" si="1269"/>
        <v>0</v>
      </c>
      <c r="G1003">
        <f t="shared" ca="1" si="1270"/>
        <v>7</v>
      </c>
      <c r="H1003">
        <f ca="1">IF(OR($A1003="S",$A1003=0),0,MATCH(0,OFFSET($B1003,1,$A1003,ROW($A$1504)-ROW($A1003)),0))</f>
        <v>0</v>
      </c>
      <c r="I1003">
        <f ca="1">IF(OR($A1003="S",$A1003=0),0,MATCH(OFFSET($B1003,0,$A1003)+1,OFFSET($B1003,1,$A1003,ROW($A$1504)-ROW($A1003)),0))</f>
        <v>0</v>
      </c>
      <c r="J1003" s="132" t="s">
        <v>29</v>
      </c>
      <c r="K1003" s="121" t="str">
        <f t="shared" ref="K1003:K1014" ca="1" si="1280">IF($A1003=0,"-",CONCATENATE(C1003&amp;".",IF(AND($A$5&gt;=2,$A1003&gt;=2),D1003&amp;".",""),IF(AND($A$5&gt;=3,$A1003&gt;=3),E1003&amp;".",""),IF(AND($A$5&gt;=4,$A1003&gt;=4),F1003&amp;".",""),IF($A1003="S",G1003&amp;".","")))</f>
        <v>11.5.7.</v>
      </c>
      <c r="L1003" s="137" t="str">
        <f t="shared" ca="1" si="1271"/>
        <v>Cotação</v>
      </c>
      <c r="M1003" s="122" t="s">
        <v>80</v>
      </c>
      <c r="N1003" s="139" t="s">
        <v>152</v>
      </c>
      <c r="O1003" s="137" t="str">
        <f t="shared" ca="1" si="1277"/>
        <v>Carro de som com gravação de vinheta</v>
      </c>
      <c r="P1003" s="138" t="str">
        <f t="shared" ca="1" si="1272"/>
        <v>Horas</v>
      </c>
      <c r="Q1003" s="134">
        <v>3</v>
      </c>
      <c r="R1003" s="124">
        <f t="shared" ca="1" si="1273"/>
        <v>200</v>
      </c>
      <c r="S1003" s="136" t="s">
        <v>62</v>
      </c>
      <c r="T1003" s="123">
        <f t="shared" ca="1" si="1274"/>
        <v>250</v>
      </c>
      <c r="U1003" s="126">
        <f t="shared" ca="1" si="1275"/>
        <v>750</v>
      </c>
      <c r="V1003" s="1"/>
      <c r="W1003" s="39" t="str">
        <f ca="1">IF(OR($A1003=0,$A1003="S",$A1003&gt;CFF!$A$9),"",MAX(W$11:OFFSET(W1003,-1,0))+1)</f>
        <v/>
      </c>
      <c r="X1003" s="4" t="str">
        <f t="shared" si="1276"/>
        <v>Serv. Terc.-002</v>
      </c>
      <c r="Y1003" s="39">
        <f t="shared" ref="Y1003:Y1014" ca="1" si="1281">IF(X1003&lt;&gt;FALSE,MATCH(X1003,OFFSET(Banco,0,0,,1),0))</f>
        <v>82</v>
      </c>
      <c r="Z1003" s="1"/>
      <c r="AA1003" s="133">
        <f>IF($J1003=$G$2,ROUND(IF(ISNUMBER(S1003),S1003,IF(LEFT(S1003,2)="DI",HLOOKUP(S1003,DADOS!$T$29:$X$30,2,FALSE),0)),4),"")</f>
        <v>0.25</v>
      </c>
      <c r="AB1003" s="2"/>
    </row>
    <row r="1004" spans="1:28">
      <c r="A1004" t="str">
        <f t="shared" si="1278"/>
        <v>S</v>
      </c>
      <c r="B1004">
        <f t="shared" si="1279"/>
        <v>0</v>
      </c>
      <c r="C1004">
        <f t="shared" ca="1" si="1266"/>
        <v>11</v>
      </c>
      <c r="D1004">
        <f t="shared" ca="1" si="1267"/>
        <v>5</v>
      </c>
      <c r="E1004">
        <f t="shared" ca="1" si="1268"/>
        <v>0</v>
      </c>
      <c r="F1004">
        <f t="shared" ca="1" si="1269"/>
        <v>0</v>
      </c>
      <c r="G1004">
        <f t="shared" ca="1" si="1270"/>
        <v>8</v>
      </c>
      <c r="H1004">
        <f ca="1">IF(OR($A1004="S",$A1004=0),0,MATCH(0,OFFSET($B1004,1,$A1004,ROW($A$1504)-ROW($A1004)),0))</f>
        <v>0</v>
      </c>
      <c r="I1004">
        <f ca="1">IF(OR($A1004="S",$A1004=0),0,MATCH(OFFSET($B1004,0,$A1004)+1,OFFSET($B1004,1,$A1004,ROW($A$1504)-ROW($A1004)),0))</f>
        <v>0</v>
      </c>
      <c r="J1004" s="132" t="s">
        <v>29</v>
      </c>
      <c r="K1004" s="121" t="str">
        <f t="shared" ca="1" si="1280"/>
        <v>11.5.8.</v>
      </c>
      <c r="L1004" s="137" t="str">
        <f t="shared" ca="1" si="1271"/>
        <v>Cotação</v>
      </c>
      <c r="M1004" s="122" t="s">
        <v>80</v>
      </c>
      <c r="N1004" s="139" t="s">
        <v>154</v>
      </c>
      <c r="O1004" s="137" t="str">
        <f t="shared" ca="1" si="1277"/>
        <v>Locação de caixa térmica</v>
      </c>
      <c r="P1004" s="138" t="str">
        <f t="shared" ca="1" si="1272"/>
        <v>Unidade</v>
      </c>
      <c r="Q1004" s="134">
        <v>2</v>
      </c>
      <c r="R1004" s="124">
        <f t="shared" ca="1" si="1273"/>
        <v>40</v>
      </c>
      <c r="S1004" s="136" t="s">
        <v>62</v>
      </c>
      <c r="T1004" s="123">
        <f t="shared" ca="1" si="1274"/>
        <v>50</v>
      </c>
      <c r="U1004" s="126">
        <f t="shared" ca="1" si="1275"/>
        <v>100</v>
      </c>
      <c r="V1004" s="1"/>
      <c r="W1004" s="39" t="str">
        <f ca="1">IF(OR($A1004=0,$A1004="S",$A1004&gt;CFF!$A$9),"",MAX(W$11:OFFSET(W1004,-1,0))+1)</f>
        <v/>
      </c>
      <c r="X1004" s="4" t="str">
        <f t="shared" si="1276"/>
        <v>Serv. Terc.-005</v>
      </c>
      <c r="Y1004" s="39">
        <f t="shared" ca="1" si="1281"/>
        <v>85</v>
      </c>
      <c r="Z1004" s="1"/>
      <c r="AA1004" s="133">
        <f>IF($J1004=$G$2,ROUND(IF(ISNUMBER(S1004),S1004,IF(LEFT(S1004,2)="DI",HLOOKUP(S1004,DADOS!$T$29:$X$30,2,FALSE),0)),4),"")</f>
        <v>0.25</v>
      </c>
      <c r="AB1004" s="2"/>
    </row>
    <row r="1005" spans="1:28">
      <c r="A1005" t="str">
        <f t="shared" si="1278"/>
        <v>S</v>
      </c>
      <c r="B1005">
        <f t="shared" si="1279"/>
        <v>0</v>
      </c>
      <c r="C1005">
        <f t="shared" ca="1" si="1266"/>
        <v>11</v>
      </c>
      <c r="D1005">
        <f t="shared" ca="1" si="1267"/>
        <v>5</v>
      </c>
      <c r="E1005">
        <f t="shared" ca="1" si="1268"/>
        <v>0</v>
      </c>
      <c r="F1005">
        <f t="shared" ca="1" si="1269"/>
        <v>0</v>
      </c>
      <c r="G1005">
        <f t="shared" ca="1" si="1270"/>
        <v>9</v>
      </c>
      <c r="H1005">
        <f ca="1">IF(OR($A1005="S",$A1005=0),0,MATCH(0,OFFSET($B1005,1,$A1005,ROW($A$1504)-ROW($A1005)),0))</f>
        <v>0</v>
      </c>
      <c r="I1005">
        <f ca="1">IF(OR($A1005="S",$A1005=0),0,MATCH(OFFSET($B1005,0,$A1005)+1,OFFSET($B1005,1,$A1005,ROW($A$1504)-ROW($A1005)),0))</f>
        <v>0</v>
      </c>
      <c r="J1005" s="132" t="s">
        <v>29</v>
      </c>
      <c r="K1005" s="121" t="str">
        <f t="shared" ca="1" si="1280"/>
        <v>11.5.9.</v>
      </c>
      <c r="L1005" s="137" t="str">
        <f t="shared" ca="1" si="1271"/>
        <v>Cotação</v>
      </c>
      <c r="M1005" s="122" t="s">
        <v>80</v>
      </c>
      <c r="N1005" s="139" t="s">
        <v>157</v>
      </c>
      <c r="O1005" s="137" t="str">
        <f t="shared" ca="1" si="1277"/>
        <v>Locação de pula-pula com monitor</v>
      </c>
      <c r="P1005" s="138" t="str">
        <f t="shared" ca="1" si="1272"/>
        <v>Unidade</v>
      </c>
      <c r="Q1005" s="134">
        <v>2</v>
      </c>
      <c r="R1005" s="124">
        <f t="shared" ca="1" si="1273"/>
        <v>220</v>
      </c>
      <c r="S1005" s="136" t="s">
        <v>62</v>
      </c>
      <c r="T1005" s="123">
        <f t="shared" ca="1" si="1274"/>
        <v>275</v>
      </c>
      <c r="U1005" s="126">
        <f t="shared" ca="1" si="1275"/>
        <v>550</v>
      </c>
      <c r="V1005" s="1"/>
      <c r="W1005" s="39" t="str">
        <f ca="1">IF(OR($A1005=0,$A1005="S",$A1005&gt;CFF!$A$9),"",MAX(W$11:OFFSET(W1005,-1,0))+1)</f>
        <v/>
      </c>
      <c r="X1005" s="4" t="str">
        <f t="shared" si="1276"/>
        <v>Serv. Terc.-008</v>
      </c>
      <c r="Y1005" s="39">
        <f t="shared" ca="1" si="1281"/>
        <v>88</v>
      </c>
      <c r="Z1005" s="1"/>
      <c r="AA1005" s="133">
        <f>IF($J1005=$G$2,ROUND(IF(ISNUMBER(S1005),S1005,IF(LEFT(S1005,2)="DI",HLOOKUP(S1005,DADOS!$T$29:$X$30,2,FALSE),0)),4),"")</f>
        <v>0.25</v>
      </c>
      <c r="AB1005" s="2"/>
    </row>
    <row r="1006" spans="1:28">
      <c r="A1006" t="str">
        <f t="shared" si="1278"/>
        <v>S</v>
      </c>
      <c r="B1006">
        <f t="shared" si="1279"/>
        <v>0</v>
      </c>
      <c r="C1006">
        <f t="shared" ca="1" si="1266"/>
        <v>11</v>
      </c>
      <c r="D1006">
        <f t="shared" ca="1" si="1267"/>
        <v>5</v>
      </c>
      <c r="E1006">
        <f t="shared" ca="1" si="1268"/>
        <v>0</v>
      </c>
      <c r="F1006">
        <f t="shared" ca="1" si="1269"/>
        <v>0</v>
      </c>
      <c r="G1006">
        <f t="shared" ca="1" si="1270"/>
        <v>10</v>
      </c>
      <c r="H1006">
        <f ca="1">IF(OR($A1006="S",$A1006=0),0,MATCH(0,OFFSET($B1006,1,$A1006,ROW($A$1504)-ROW($A1006)),0))</f>
        <v>0</v>
      </c>
      <c r="I1006">
        <f ca="1">IF(OR($A1006="S",$A1006=0),0,MATCH(OFFSET($B1006,0,$A1006)+1,OFFSET($B1006,1,$A1006,ROW($A$1504)-ROW($A1006)),0))</f>
        <v>0</v>
      </c>
      <c r="J1006" s="132" t="s">
        <v>29</v>
      </c>
      <c r="K1006" s="121" t="str">
        <f t="shared" ca="1" si="1280"/>
        <v>11.5.10.</v>
      </c>
      <c r="L1006" s="137" t="str">
        <f t="shared" ca="1" si="1271"/>
        <v xml:space="preserve">Cotação </v>
      </c>
      <c r="M1006" s="122" t="s">
        <v>80</v>
      </c>
      <c r="N1006" s="139" t="s">
        <v>160</v>
      </c>
      <c r="O1006" s="137" t="str">
        <f t="shared" ca="1" si="1277"/>
        <v>Barra de gelo</v>
      </c>
      <c r="P1006" s="138" t="str">
        <f t="shared" ca="1" si="1272"/>
        <v>Unidade</v>
      </c>
      <c r="Q1006" s="134">
        <v>4</v>
      </c>
      <c r="R1006" s="124">
        <f t="shared" ca="1" si="1273"/>
        <v>12</v>
      </c>
      <c r="S1006" s="136" t="s">
        <v>62</v>
      </c>
      <c r="T1006" s="123">
        <f t="shared" ca="1" si="1274"/>
        <v>15</v>
      </c>
      <c r="U1006" s="126">
        <f t="shared" ca="1" si="1275"/>
        <v>60</v>
      </c>
      <c r="V1006" s="1"/>
      <c r="W1006" s="39" t="str">
        <f ca="1">IF(OR($A1006=0,$A1006="S",$A1006&gt;CFF!$A$9),"",MAX(W$11:OFFSET(W1006,-1,0))+1)</f>
        <v/>
      </c>
      <c r="X1006" s="4" t="str">
        <f t="shared" si="1276"/>
        <v>Serv. Terc.-011</v>
      </c>
      <c r="Y1006" s="39">
        <f t="shared" ca="1" si="1281"/>
        <v>91</v>
      </c>
      <c r="Z1006" s="1"/>
      <c r="AA1006" s="133">
        <f>IF($J1006=$G$2,ROUND(IF(ISNUMBER(S1006),S1006,IF(LEFT(S1006,2)="DI",HLOOKUP(S1006,DADOS!$T$29:$X$30,2,FALSE),0)),4),"")</f>
        <v>0.25</v>
      </c>
      <c r="AB1006" s="2"/>
    </row>
    <row r="1007" spans="1:28">
      <c r="A1007" t="str">
        <f t="shared" si="1278"/>
        <v>S</v>
      </c>
      <c r="B1007">
        <f t="shared" si="1279"/>
        <v>0</v>
      </c>
      <c r="C1007">
        <f t="shared" ca="1" si="1266"/>
        <v>11</v>
      </c>
      <c r="D1007">
        <f t="shared" ca="1" si="1267"/>
        <v>5</v>
      </c>
      <c r="E1007">
        <f t="shared" ca="1" si="1268"/>
        <v>0</v>
      </c>
      <c r="F1007">
        <f t="shared" ca="1" si="1269"/>
        <v>0</v>
      </c>
      <c r="G1007">
        <f t="shared" ca="1" si="1270"/>
        <v>11</v>
      </c>
      <c r="H1007">
        <f ca="1">IF(OR($A1007="S",$A1007=0),0,MATCH(0,OFFSET($B1007,1,$A1007,ROW($A$1504)-ROW($A1007)),0))</f>
        <v>0</v>
      </c>
      <c r="I1007">
        <f ca="1">IF(OR($A1007="S",$A1007=0),0,MATCH(OFFSET($B1007,0,$A1007)+1,OFFSET($B1007,1,$A1007,ROW($A$1504)-ROW($A1007)),0))</f>
        <v>0</v>
      </c>
      <c r="J1007" s="132" t="s">
        <v>29</v>
      </c>
      <c r="K1007" s="121" t="str">
        <f t="shared" ca="1" si="1280"/>
        <v>11.5.11.</v>
      </c>
      <c r="L1007" s="137" t="str">
        <f t="shared" ca="1" si="1271"/>
        <v>Cotação</v>
      </c>
      <c r="M1007" s="122" t="s">
        <v>80</v>
      </c>
      <c r="N1007" s="139" t="s">
        <v>150</v>
      </c>
      <c r="O1007" s="137" t="str">
        <f t="shared" ca="1" si="1277"/>
        <v>Sucos</v>
      </c>
      <c r="P1007" s="138" t="str">
        <f t="shared" ca="1" si="1272"/>
        <v>Unidade</v>
      </c>
      <c r="Q1007" s="134">
        <v>12</v>
      </c>
      <c r="R1007" s="124">
        <f t="shared" ca="1" si="1273"/>
        <v>6.4</v>
      </c>
      <c r="S1007" s="136" t="s">
        <v>62</v>
      </c>
      <c r="T1007" s="123">
        <f t="shared" ca="1" si="1274"/>
        <v>8</v>
      </c>
      <c r="U1007" s="126">
        <f t="shared" ca="1" si="1275"/>
        <v>96</v>
      </c>
      <c r="V1007" s="1"/>
      <c r="W1007" s="39" t="str">
        <f ca="1">IF(OR($A1007=0,$A1007="S",$A1007&gt;CFF!$A$9),"",MAX(W$11:OFFSET(W1007,-1,0))+1)</f>
        <v/>
      </c>
      <c r="X1007" s="4" t="str">
        <f t="shared" si="1276"/>
        <v>Serv. Terc.-013</v>
      </c>
      <c r="Y1007" s="39">
        <f t="shared" ca="1" si="1281"/>
        <v>93</v>
      </c>
      <c r="Z1007" s="1"/>
      <c r="AA1007" s="133">
        <f>IF($J1007=$G$2,ROUND(IF(ISNUMBER(S1007),S1007,IF(LEFT(S1007,2)="DI",HLOOKUP(S1007,DADOS!$T$29:$X$30,2,FALSE),0)),4),"")</f>
        <v>0.25</v>
      </c>
      <c r="AB1007" s="2"/>
    </row>
    <row r="1008" spans="1:28">
      <c r="A1008" t="str">
        <f>CHOOSE(1+LOG(1+2*(J1008=$C$2)+4*(J1008=$D$2)+8*(J1008=$E$2)+16*(J1008=$F$2)+32*(J1008=$G$2),2),0,1,2,3,4,"S")</f>
        <v>S</v>
      </c>
      <c r="B1008">
        <f>IF(OR(A1008="S",A1008=0),0,IF(ISERROR(I1008),H1008,SMALL(H1008:I1008,1)))</f>
        <v>0</v>
      </c>
      <c r="C1008">
        <f ca="1">IF($A1008=1,OFFSET(C1008,-1,0)+1,OFFSET(C1008,-1,0))</f>
        <v>11</v>
      </c>
      <c r="D1008">
        <f ca="1">IF($A1008=1,0,IF($A1008=2,OFFSET(D1008,-1,0)+1,OFFSET(D1008,-1,0)))</f>
        <v>5</v>
      </c>
      <c r="E1008">
        <f ca="1">IF(AND($A1008&lt;=2,$A1008&lt;&gt;0),0,IF($A1008=3,OFFSET(E1008,-1,0)+1,OFFSET(E1008,-1,0)))</f>
        <v>0</v>
      </c>
      <c r="F1008">
        <f ca="1">IF(AND($A1008&lt;=3,$A1008&lt;&gt;0),0,IF($A1008=4,OFFSET(F1008,-1,0)+1,OFFSET(F1008,-1,0)))</f>
        <v>0</v>
      </c>
      <c r="G1008">
        <f ca="1">IF(AND($A1008&lt;=4,$A1008&lt;&gt;0),0,IF($A1008="S",OFFSET(G1008,-1,0)+1,OFFSET(G1008,-1,0)))</f>
        <v>12</v>
      </c>
      <c r="H1008">
        <f ca="1">IF(OR($A1008="S",$A1008=0),0,MATCH(0,OFFSET($B1008,1,$A1008,ROW($A$1504)-ROW($A1008)),0))</f>
        <v>0</v>
      </c>
      <c r="I1008">
        <f ca="1">IF(OR($A1008="S",$A1008=0),0,MATCH(OFFSET($B1008,0,$A1008)+1,OFFSET($B1008,1,$A1008,ROW($A$1504)-ROW($A1008)),0))</f>
        <v>0</v>
      </c>
      <c r="J1008" s="132" t="s">
        <v>29</v>
      </c>
      <c r="K1008" s="121" t="str">
        <f ca="1">IF($A1008=0,"-",CONCATENATE(C1008&amp;".",IF(AND($A$5&gt;=2,$A1008&gt;=2),D1008&amp;".",""),IF(AND($A$5&gt;=3,$A1008&gt;=3),E1008&amp;".",""),IF(AND($A$5&gt;=4,$A1008&gt;=4),F1008&amp;".",""),IF($A1008="S",G1008&amp;".","")))</f>
        <v>11.5.12.</v>
      </c>
      <c r="L1008" s="137" t="str">
        <f ca="1">IF(NOT(ISERROR($Y1008)),IF($Y1008&lt;&gt;FALSE,INDEX(Banco,$Y1008,4),""),"")</f>
        <v>Cotação</v>
      </c>
      <c r="M1008" s="122" t="s">
        <v>80</v>
      </c>
      <c r="N1008" s="139" t="s">
        <v>171</v>
      </c>
      <c r="O1008" s="137" t="str">
        <f ca="1">IF(NOT(ISERROR($Y1008)),IF($Y1008&lt;&gt;FALSE,INDEX(Banco,$Y1008,5),""),"")</f>
        <v xml:space="preserve">Refrigerantes (02 litros) </v>
      </c>
      <c r="P1008" s="138" t="str">
        <f ca="1">IF(NOT(ISERROR($Y1008)),IF($Y1008&lt;&gt;FALSE,INDEX(Banco,$Y1008,6),""),"")</f>
        <v>Unidade</v>
      </c>
      <c r="Q1008" s="134">
        <v>20</v>
      </c>
      <c r="R1008" s="124">
        <f ca="1">IF(NOT(ISERROR($Y1008)),IF($Y1008&lt;&gt;FALSE,INDEX(Banco,$Y1008,7),0),0)</f>
        <v>6</v>
      </c>
      <c r="S1008" s="136" t="s">
        <v>62</v>
      </c>
      <c r="T1008" s="123">
        <f ca="1">IF($J1008=$G$2,ROUND(ROUND($R1008,2)*IF($R$9="Preço Unitário (R$)",1,1+$AA1008),2),0)</f>
        <v>7.5</v>
      </c>
      <c r="U1008" s="126">
        <f ca="1">IF($A1008="S",VTOTAL1,IF($A1008=0,0,ROUND(SomaAgrup,2)))</f>
        <v>150</v>
      </c>
      <c r="V1008" s="1"/>
      <c r="W1008" s="39" t="str">
        <f ca="1">IF(OR($A1008=0,$A1008="S",$A1008&gt;CFF!$A$9),"",MAX(W$11:OFFSET(W1008,-1,0))+1)</f>
        <v/>
      </c>
      <c r="X1008" s="4" t="str">
        <f>IF(AND($J1008=$G$2,$N1008&lt;&gt;"",$M1008&lt;&gt;""),CONCATENATE($M1008,"-",$N1008))</f>
        <v>Serv. Terc.-027</v>
      </c>
      <c r="Y1008" s="39">
        <f ca="1">IF(X1008&lt;&gt;FALSE,MATCH(X1008,OFFSET(Banco,0,0,,1),0))</f>
        <v>107</v>
      </c>
      <c r="Z1008" s="1"/>
      <c r="AA1008" s="133">
        <f>IF($J1008=$G$2,ROUND(IF(ISNUMBER(S1008),S1008,IF(LEFT(S1008,2)="DI",HLOOKUP(S1008,DADOS!$T$29:$X$30,2,FALSE),0)),4),"")</f>
        <v>0.25</v>
      </c>
      <c r="AB1008" s="2"/>
    </row>
    <row r="1009" spans="1:28">
      <c r="A1009" t="str">
        <f t="shared" si="1278"/>
        <v>S</v>
      </c>
      <c r="B1009">
        <f t="shared" si="1279"/>
        <v>0</v>
      </c>
      <c r="C1009">
        <f t="shared" ca="1" si="1266"/>
        <v>11</v>
      </c>
      <c r="D1009">
        <f t="shared" ca="1" si="1267"/>
        <v>5</v>
      </c>
      <c r="E1009">
        <f t="shared" ca="1" si="1268"/>
        <v>0</v>
      </c>
      <c r="F1009">
        <f t="shared" ca="1" si="1269"/>
        <v>0</v>
      </c>
      <c r="G1009">
        <f t="shared" ca="1" si="1270"/>
        <v>13</v>
      </c>
      <c r="H1009">
        <f ca="1">IF(OR($A1009="S",$A1009=0),0,MATCH(0,OFFSET($B1009,1,$A1009,ROW($A$1504)-ROW($A1009)),0))</f>
        <v>0</v>
      </c>
      <c r="I1009">
        <f ca="1">IF(OR($A1009="S",$A1009=0),0,MATCH(OFFSET($B1009,0,$A1009)+1,OFFSET($B1009,1,$A1009,ROW($A$1504)-ROW($A1009)),0))</f>
        <v>0</v>
      </c>
      <c r="J1009" s="132" t="s">
        <v>29</v>
      </c>
      <c r="K1009" s="121" t="str">
        <f t="shared" ca="1" si="1280"/>
        <v>11.5.13.</v>
      </c>
      <c r="L1009" s="137" t="str">
        <f t="shared" ca="1" si="1271"/>
        <v xml:space="preserve">Cotação </v>
      </c>
      <c r="M1009" s="122" t="s">
        <v>80</v>
      </c>
      <c r="N1009" s="139" t="s">
        <v>159</v>
      </c>
      <c r="O1009" s="137" t="str">
        <f t="shared" ca="1" si="1277"/>
        <v>Brindes ( descrição nos orçamentos e PTS)</v>
      </c>
      <c r="P1009" s="138" t="str">
        <f t="shared" ca="1" si="1272"/>
        <v>Unidade</v>
      </c>
      <c r="Q1009" s="134">
        <v>4</v>
      </c>
      <c r="R1009" s="124">
        <f t="shared" ca="1" si="1273"/>
        <v>120</v>
      </c>
      <c r="S1009" s="136" t="s">
        <v>62</v>
      </c>
      <c r="T1009" s="123">
        <f t="shared" ca="1" si="1274"/>
        <v>150</v>
      </c>
      <c r="U1009" s="126">
        <f t="shared" ca="1" si="1275"/>
        <v>600</v>
      </c>
      <c r="V1009" s="1"/>
      <c r="W1009" s="39" t="str">
        <f ca="1">IF(OR($A1009=0,$A1009="S",$A1009&gt;CFF!$A$9),"",MAX(W$11:OFFSET(W1009,-1,0))+1)</f>
        <v/>
      </c>
      <c r="X1009" s="4" t="str">
        <f t="shared" si="1276"/>
        <v>Serv. Terc.-010</v>
      </c>
      <c r="Y1009" s="39">
        <f t="shared" ca="1" si="1281"/>
        <v>90</v>
      </c>
      <c r="Z1009" s="1"/>
      <c r="AA1009" s="133">
        <f>IF($J1009=$G$2,ROUND(IF(ISNUMBER(S1009),S1009,IF(LEFT(S1009,2)="DI",HLOOKUP(S1009,DADOS!$T$29:$X$30,2,FALSE),0)),4),"")</f>
        <v>0.25</v>
      </c>
      <c r="AB1009" s="2"/>
    </row>
    <row r="1010" spans="1:28">
      <c r="A1010" t="str">
        <f t="shared" si="1278"/>
        <v>S</v>
      </c>
      <c r="B1010">
        <f t="shared" si="1279"/>
        <v>0</v>
      </c>
      <c r="C1010">
        <f t="shared" ca="1" si="1266"/>
        <v>11</v>
      </c>
      <c r="D1010">
        <f t="shared" ca="1" si="1267"/>
        <v>5</v>
      </c>
      <c r="E1010">
        <f t="shared" ca="1" si="1268"/>
        <v>0</v>
      </c>
      <c r="F1010">
        <f t="shared" ca="1" si="1269"/>
        <v>0</v>
      </c>
      <c r="G1010">
        <f t="shared" ca="1" si="1270"/>
        <v>14</v>
      </c>
      <c r="H1010">
        <f ca="1">IF(OR($A1010="S",$A1010=0),0,MATCH(0,OFFSET($B1010,1,$A1010,ROW($A$1504)-ROW($A1010)),0))</f>
        <v>0</v>
      </c>
      <c r="I1010">
        <f ca="1">IF(OR($A1010="S",$A1010=0),0,MATCH(OFFSET($B1010,0,$A1010)+1,OFFSET($B1010,1,$A1010,ROW($A$1504)-ROW($A1010)),0))</f>
        <v>0</v>
      </c>
      <c r="J1010" s="132" t="s">
        <v>29</v>
      </c>
      <c r="K1010" s="121" t="str">
        <f t="shared" ca="1" si="1280"/>
        <v>11.5.14.</v>
      </c>
      <c r="L1010" s="137" t="str">
        <f t="shared" ca="1" si="1271"/>
        <v>Cotação</v>
      </c>
      <c r="M1010" s="122" t="s">
        <v>80</v>
      </c>
      <c r="N1010" s="139" t="s">
        <v>162</v>
      </c>
      <c r="O1010" s="137" t="str">
        <f t="shared" ca="1" si="1277"/>
        <v>Coffee break (salgados)</v>
      </c>
      <c r="P1010" s="138" t="str">
        <f t="shared" ca="1" si="1272"/>
        <v>Centro</v>
      </c>
      <c r="Q1010" s="134">
        <v>15</v>
      </c>
      <c r="R1010" s="124">
        <f t="shared" ca="1" si="1273"/>
        <v>65</v>
      </c>
      <c r="S1010" s="136" t="s">
        <v>62</v>
      </c>
      <c r="T1010" s="123">
        <f t="shared" ca="1" si="1274"/>
        <v>81.25</v>
      </c>
      <c r="U1010" s="126">
        <f t="shared" ca="1" si="1275"/>
        <v>1218.75</v>
      </c>
      <c r="V1010" s="1"/>
      <c r="W1010" s="39" t="str">
        <f ca="1">IF(OR($A1010=0,$A1010="S",$A1010&gt;CFF!$A$9),"",MAX(W$11:OFFSET(W1010,-1,0))+1)</f>
        <v/>
      </c>
      <c r="X1010" s="4" t="str">
        <f t="shared" si="1276"/>
        <v>Serv. Terc.-015</v>
      </c>
      <c r="Y1010" s="39">
        <f t="shared" ca="1" si="1281"/>
        <v>95</v>
      </c>
      <c r="Z1010" s="1"/>
      <c r="AA1010" s="133">
        <f>IF($J1010=$G$2,ROUND(IF(ISNUMBER(S1010),S1010,IF(LEFT(S1010,2)="DI",HLOOKUP(S1010,DADOS!$T$29:$X$30,2,FALSE),0)),4),"")</f>
        <v>0.25</v>
      </c>
      <c r="AB1010" s="2"/>
    </row>
    <row r="1011" spans="1:28">
      <c r="A1011" t="str">
        <f>CHOOSE(1+LOG(1+2*(J1011=$C$2)+4*(J1011=$D$2)+8*(J1011=$E$2)+16*(J1011=$F$2)+32*(J1011=$G$2),2),0,1,2,3,4,"S")</f>
        <v>S</v>
      </c>
      <c r="B1011">
        <f>IF(OR(A1011="S",A1011=0),0,IF(ISERROR(I1011),H1011,SMALL(H1011:I1011,1)))</f>
        <v>0</v>
      </c>
      <c r="C1011">
        <f t="shared" ref="C1011:C1026" ca="1" si="1282">IF($A1011=1,OFFSET(C1011,-1,0)+1,OFFSET(C1011,-1,0))</f>
        <v>11</v>
      </c>
      <c r="D1011">
        <f t="shared" ref="D1011:D1026" ca="1" si="1283">IF($A1011=1,0,IF($A1011=2,OFFSET(D1011,-1,0)+1,OFFSET(D1011,-1,0)))</f>
        <v>5</v>
      </c>
      <c r="E1011">
        <f t="shared" ref="E1011:E1026" ca="1" si="1284">IF(AND($A1011&lt;=2,$A1011&lt;&gt;0),0,IF($A1011=3,OFFSET(E1011,-1,0)+1,OFFSET(E1011,-1,0)))</f>
        <v>0</v>
      </c>
      <c r="F1011">
        <f t="shared" ref="F1011:F1026" ca="1" si="1285">IF(AND($A1011&lt;=3,$A1011&lt;&gt;0),0,IF($A1011=4,OFFSET(F1011,-1,0)+1,OFFSET(F1011,-1,0)))</f>
        <v>0</v>
      </c>
      <c r="G1011">
        <f t="shared" ref="G1011:G1026" ca="1" si="1286">IF(AND($A1011&lt;=4,$A1011&lt;&gt;0),0,IF($A1011="S",OFFSET(G1011,-1,0)+1,OFFSET(G1011,-1,0)))</f>
        <v>15</v>
      </c>
      <c r="H1011">
        <f ca="1">IF(OR($A1011="S",$A1011=0),0,MATCH(0,OFFSET($B1011,1,$A1011,ROW($A$1504)-ROW($A1011)),0))</f>
        <v>0</v>
      </c>
      <c r="I1011">
        <f ca="1">IF(OR($A1011="S",$A1011=0),0,MATCH(OFFSET($B1011,0,$A1011)+1,OFFSET($B1011,1,$A1011,ROW($A$1504)-ROW($A1011)),0))</f>
        <v>0</v>
      </c>
      <c r="J1011" s="132" t="s">
        <v>29</v>
      </c>
      <c r="K1011" s="121" t="str">
        <f ca="1">IF($A1011=0,"-",CONCATENATE(C1011&amp;".",IF(AND($A$5&gt;=2,$A1011&gt;=2),D1011&amp;".",""),IF(AND($A$5&gt;=3,$A1011&gt;=3),E1011&amp;".",""),IF(AND($A$5&gt;=4,$A1011&gt;=4),F1011&amp;".",""),IF($A1011="S",G1011&amp;".","")))</f>
        <v>11.5.15.</v>
      </c>
      <c r="L1011" s="137" t="str">
        <f t="shared" ref="L1011:L1026" ca="1" si="1287">IF(NOT(ISERROR($Y1011)),IF($Y1011&lt;&gt;FALSE,INDEX(Banco,$Y1011,4),""),"")</f>
        <v>CRESS</v>
      </c>
      <c r="M1011" s="122" t="s">
        <v>80</v>
      </c>
      <c r="N1011" s="139" t="s">
        <v>276</v>
      </c>
      <c r="O1011" s="137" t="str">
        <f ca="1">IF(NOT(ISERROR($Y1011)),IF($Y1011&lt;&gt;FALSE,INDEX(Banco,$Y1011,5),""),"")</f>
        <v>Assistente Social com especialização em politicas sociais</v>
      </c>
      <c r="P1011" s="138" t="str">
        <f t="shared" ref="P1011:P1026" ca="1" si="1288">IF(NOT(ISERROR($Y1011)),IF($Y1011&lt;&gt;FALSE,INDEX(Banco,$Y1011,6),""),"")</f>
        <v>Horas</v>
      </c>
      <c r="Q1011" s="134">
        <v>6</v>
      </c>
      <c r="R1011" s="124">
        <f t="shared" ref="R1011:R1026" ca="1" si="1289">IF(NOT(ISERROR($Y1011)),IF($Y1011&lt;&gt;FALSE,INDEX(Banco,$Y1011,7),0),0)</f>
        <v>141.75</v>
      </c>
      <c r="S1011" s="136" t="s">
        <v>62</v>
      </c>
      <c r="T1011" s="123">
        <f t="shared" ref="T1011:T1026" ca="1" si="1290">IF($J1011=$G$2,ROUND(ROUND($R1011,2)*IF($R$9="Preço Unitário (R$)",1,1+$AA1011),2),0)</f>
        <v>177.19</v>
      </c>
      <c r="U1011" s="126">
        <f t="shared" ref="U1011:U1026" ca="1" si="1291">IF($A1011="S",VTOTAL1,IF($A1011=0,0,ROUND(SomaAgrup,2)))</f>
        <v>1063.1400000000001</v>
      </c>
      <c r="V1011" s="1"/>
      <c r="W1011" s="39" t="str">
        <f ca="1">IF(OR($A1011=0,$A1011="S",$A1011&gt;CFF!$A$9),"",MAX(W$11:OFFSET(W1011,-1,0))+1)</f>
        <v/>
      </c>
      <c r="X1011" s="4" t="str">
        <f t="shared" ref="X1011:X1026" si="1292">IF(AND($J1011=$G$2,$N1011&lt;&gt;"",$M1011&lt;&gt;""),CONCATENATE($M1011,"-",$N1011))</f>
        <v>Serv. Terc.-065</v>
      </c>
      <c r="Y1011" s="39">
        <f ca="1">IF(X1011&lt;&gt;FALSE,MATCH(X1011,OFFSET(Banco,0,0,,1),0))</f>
        <v>145</v>
      </c>
      <c r="Z1011" s="1"/>
      <c r="AA1011" s="133">
        <f>IF($J1011=$G$2,ROUND(IF(ISNUMBER(S1011),S1011,IF(LEFT(S1011,2)="DI",HLOOKUP(S1011,DADOS!$T$29:$X$30,2,FALSE),0)),4),"")</f>
        <v>0.25</v>
      </c>
      <c r="AB1011" s="2"/>
    </row>
    <row r="1012" spans="1:28">
      <c r="A1012" t="str">
        <f t="shared" si="1278"/>
        <v>S</v>
      </c>
      <c r="B1012">
        <f t="shared" si="1279"/>
        <v>0</v>
      </c>
      <c r="C1012">
        <f t="shared" ca="1" si="1282"/>
        <v>11</v>
      </c>
      <c r="D1012">
        <f t="shared" ca="1" si="1283"/>
        <v>5</v>
      </c>
      <c r="E1012">
        <f t="shared" ca="1" si="1284"/>
        <v>0</v>
      </c>
      <c r="F1012">
        <f t="shared" ca="1" si="1285"/>
        <v>0</v>
      </c>
      <c r="G1012">
        <f t="shared" ca="1" si="1286"/>
        <v>16</v>
      </c>
      <c r="H1012">
        <f ca="1">IF(OR($A1012="S",$A1012=0),0,MATCH(0,OFFSET($B1012,1,$A1012,ROW($A$1504)-ROW($A1012)),0))</f>
        <v>0</v>
      </c>
      <c r="I1012">
        <f ca="1">IF(OR($A1012="S",$A1012=0),0,MATCH(OFFSET($B1012,0,$A1012)+1,OFFSET($B1012,1,$A1012,ROW($A$1504)-ROW($A1012)),0))</f>
        <v>0</v>
      </c>
      <c r="J1012" s="132" t="s">
        <v>29</v>
      </c>
      <c r="K1012" s="121" t="str">
        <f t="shared" ca="1" si="1280"/>
        <v>11.5.16.</v>
      </c>
      <c r="L1012" s="137" t="str">
        <f t="shared" ca="1" si="1287"/>
        <v>Cotação</v>
      </c>
      <c r="M1012" s="122" t="s">
        <v>79</v>
      </c>
      <c r="N1012" s="139" t="s">
        <v>163</v>
      </c>
      <c r="O1012" s="137" t="str">
        <f t="shared" ca="1" si="1277"/>
        <v>Guloseimas (balas e pirulito)</v>
      </c>
      <c r="P1012" s="138" t="str">
        <f t="shared" ca="1" si="1288"/>
        <v>Pacote</v>
      </c>
      <c r="Q1012" s="134">
        <v>4</v>
      </c>
      <c r="R1012" s="124">
        <f t="shared" ca="1" si="1289"/>
        <v>12</v>
      </c>
      <c r="S1012" s="136" t="s">
        <v>62</v>
      </c>
      <c r="T1012" s="123">
        <f t="shared" ca="1" si="1290"/>
        <v>15</v>
      </c>
      <c r="U1012" s="126">
        <f t="shared" ca="1" si="1291"/>
        <v>60</v>
      </c>
      <c r="V1012" s="1"/>
      <c r="W1012" s="39" t="str">
        <f ca="1">IF(OR($A1012=0,$A1012="S",$A1012&gt;CFF!$A$9),"",MAX(W$11:OFFSET(W1012,-1,0))+1)</f>
        <v/>
      </c>
      <c r="X1012" s="4" t="str">
        <f t="shared" si="1292"/>
        <v>Rec. Materiais-020</v>
      </c>
      <c r="Y1012" s="39">
        <f t="shared" ca="1" si="1281"/>
        <v>29</v>
      </c>
      <c r="Z1012" s="1"/>
      <c r="AA1012" s="133">
        <f>IF($J1012=$G$2,ROUND(IF(ISNUMBER(S1012),S1012,IF(LEFT(S1012,2)="DI",HLOOKUP(S1012,DADOS!$T$29:$X$30,2,FALSE),0)),4),"")</f>
        <v>0.25</v>
      </c>
      <c r="AB1012" s="2"/>
    </row>
    <row r="1013" spans="1:28">
      <c r="A1013" t="str">
        <f t="shared" si="1278"/>
        <v>S</v>
      </c>
      <c r="B1013">
        <f t="shared" si="1279"/>
        <v>0</v>
      </c>
      <c r="C1013">
        <f t="shared" ca="1" si="1282"/>
        <v>11</v>
      </c>
      <c r="D1013">
        <f t="shared" ca="1" si="1283"/>
        <v>5</v>
      </c>
      <c r="E1013">
        <f t="shared" ca="1" si="1284"/>
        <v>0</v>
      </c>
      <c r="F1013">
        <f t="shared" ca="1" si="1285"/>
        <v>0</v>
      </c>
      <c r="G1013">
        <f t="shared" ca="1" si="1286"/>
        <v>17</v>
      </c>
      <c r="H1013">
        <f ca="1">IF(OR($A1013="S",$A1013=0),0,MATCH(0,OFFSET($B1013,1,$A1013,ROW($A$1504)-ROW($A1013)),0))</f>
        <v>0</v>
      </c>
      <c r="I1013">
        <f ca="1">IF(OR($A1013="S",$A1013=0),0,MATCH(OFFSET($B1013,0,$A1013)+1,OFFSET($B1013,1,$A1013,ROW($A$1504)-ROW($A1013)),0))</f>
        <v>0</v>
      </c>
      <c r="J1013" s="132" t="s">
        <v>29</v>
      </c>
      <c r="K1013" s="121" t="str">
        <f t="shared" ca="1" si="1280"/>
        <v>11.5.17.</v>
      </c>
      <c r="L1013" s="137" t="str">
        <f t="shared" ca="1" si="1287"/>
        <v>Cotação</v>
      </c>
      <c r="M1013" s="122" t="s">
        <v>79</v>
      </c>
      <c r="N1013" s="139" t="s">
        <v>165</v>
      </c>
      <c r="O1013" s="137" t="str">
        <f t="shared" ca="1" si="1277"/>
        <v>Papel de presente</v>
      </c>
      <c r="P1013" s="138" t="str">
        <f t="shared" ca="1" si="1288"/>
        <v>Folhas</v>
      </c>
      <c r="Q1013" s="134">
        <v>8</v>
      </c>
      <c r="R1013" s="124">
        <f t="shared" ca="1" si="1289"/>
        <v>1.5</v>
      </c>
      <c r="S1013" s="136" t="s">
        <v>62</v>
      </c>
      <c r="T1013" s="123">
        <f t="shared" ca="1" si="1290"/>
        <v>1.88</v>
      </c>
      <c r="U1013" s="126">
        <f t="shared" ca="1" si="1291"/>
        <v>15.04</v>
      </c>
      <c r="V1013" s="1"/>
      <c r="W1013" s="39" t="str">
        <f ca="1">IF(OR($A1013=0,$A1013="S",$A1013&gt;CFF!$A$9),"",MAX(W$11:OFFSET(W1013,-1,0))+1)</f>
        <v/>
      </c>
      <c r="X1013" s="4" t="str">
        <f t="shared" si="1292"/>
        <v>Rec. Materiais-021</v>
      </c>
      <c r="Y1013" s="39">
        <f t="shared" ca="1" si="1281"/>
        <v>30</v>
      </c>
      <c r="Z1013" s="1"/>
      <c r="AA1013" s="133">
        <f>IF($J1013=$G$2,ROUND(IF(ISNUMBER(S1013),S1013,IF(LEFT(S1013,2)="DI",HLOOKUP(S1013,DADOS!$T$29:$X$30,2,FALSE),0)),4),"")</f>
        <v>0.25</v>
      </c>
      <c r="AB1013" s="2"/>
    </row>
    <row r="1014" spans="1:28">
      <c r="A1014" t="str">
        <f t="shared" si="1278"/>
        <v>S</v>
      </c>
      <c r="B1014">
        <f t="shared" si="1279"/>
        <v>0</v>
      </c>
      <c r="C1014">
        <f t="shared" ca="1" si="1282"/>
        <v>11</v>
      </c>
      <c r="D1014">
        <f t="shared" ca="1" si="1283"/>
        <v>5</v>
      </c>
      <c r="E1014">
        <f t="shared" ca="1" si="1284"/>
        <v>0</v>
      </c>
      <c r="F1014">
        <f t="shared" ca="1" si="1285"/>
        <v>0</v>
      </c>
      <c r="G1014">
        <f t="shared" ca="1" si="1286"/>
        <v>18</v>
      </c>
      <c r="H1014">
        <f ca="1">IF(OR($A1014="S",$A1014=0),0,MATCH(0,OFFSET($B1014,1,$A1014,ROW($A$1504)-ROW($A1014)),0))</f>
        <v>0</v>
      </c>
      <c r="I1014">
        <f ca="1">IF(OR($A1014="S",$A1014=0),0,MATCH(OFFSET($B1014,0,$A1014)+1,OFFSET($B1014,1,$A1014,ROW($A$1504)-ROW($A1014)),0))</f>
        <v>0</v>
      </c>
      <c r="J1014" s="132" t="s">
        <v>29</v>
      </c>
      <c r="K1014" s="121" t="str">
        <f t="shared" ca="1" si="1280"/>
        <v>11.5.18.</v>
      </c>
      <c r="L1014" s="137" t="str">
        <f t="shared" ca="1" si="1287"/>
        <v>Cotação</v>
      </c>
      <c r="M1014" s="122" t="s">
        <v>79</v>
      </c>
      <c r="N1014" s="139" t="s">
        <v>170</v>
      </c>
      <c r="O1014" s="137" t="str">
        <f t="shared" ca="1" si="1277"/>
        <v>Saco de lixo (100 litros)</v>
      </c>
      <c r="P1014" s="138" t="str">
        <f t="shared" ca="1" si="1288"/>
        <v>Pacote</v>
      </c>
      <c r="Q1014" s="134">
        <v>2</v>
      </c>
      <c r="R1014" s="124">
        <f t="shared" ca="1" si="1289"/>
        <v>15</v>
      </c>
      <c r="S1014" s="136" t="s">
        <v>62</v>
      </c>
      <c r="T1014" s="123">
        <f t="shared" ca="1" si="1290"/>
        <v>18.75</v>
      </c>
      <c r="U1014" s="126">
        <f t="shared" ca="1" si="1291"/>
        <v>37.5</v>
      </c>
      <c r="V1014" s="1"/>
      <c r="W1014" s="39" t="str">
        <f ca="1">IF(OR($A1014=0,$A1014="S",$A1014&gt;CFF!$A$9),"",MAX(W$11:OFFSET(W1014,-1,0))+1)</f>
        <v/>
      </c>
      <c r="X1014" s="4" t="str">
        <f t="shared" si="1292"/>
        <v>Rec. Materiais-026</v>
      </c>
      <c r="Y1014" s="39">
        <f t="shared" ca="1" si="1281"/>
        <v>35</v>
      </c>
      <c r="Z1014" s="1"/>
      <c r="AA1014" s="133">
        <f>IF($J1014=$G$2,ROUND(IF(ISNUMBER(S1014),S1014,IF(LEFT(S1014,2)="DI",HLOOKUP(S1014,DADOS!$T$29:$X$30,2,FALSE),0)),4),"")</f>
        <v>0.25</v>
      </c>
      <c r="AB1014" s="2"/>
    </row>
    <row r="1015" spans="1:28">
      <c r="A1015">
        <f>CHOOSE(1+LOG(1+2*(J1015=$C$2)+4*(J1015=$D$2)+8*(J1015=$E$2)+16*(J1015=$F$2)+32*(J1015=$G$2),2),0,1,2,3,4,"S")</f>
        <v>2</v>
      </c>
      <c r="B1015">
        <f ca="1">IF(OR(A1015="S",A1015=0),0,IF(ISERROR(I1015),H1015,SMALL(H1015:I1015,1)))</f>
        <v>6</v>
      </c>
      <c r="C1015">
        <f ca="1">IF($A1015=1,OFFSET(C1015,-1,0)+1,OFFSET(C1015,-1,0))</f>
        <v>11</v>
      </c>
      <c r="D1015">
        <f ca="1">IF($A1015=1,0,IF($A1015=2,OFFSET(D1015,-1,0)+1,OFFSET(D1015,-1,0)))</f>
        <v>6</v>
      </c>
      <c r="E1015">
        <f ca="1">IF(AND($A1015&lt;=2,$A1015&lt;&gt;0),0,IF($A1015=3,OFFSET(E1015,-1,0)+1,OFFSET(E1015,-1,0)))</f>
        <v>0</v>
      </c>
      <c r="F1015">
        <f ca="1">IF(AND($A1015&lt;=3,$A1015&lt;&gt;0),0,IF($A1015=4,OFFSET(F1015,-1,0)+1,OFFSET(F1015,-1,0)))</f>
        <v>0</v>
      </c>
      <c r="G1015">
        <f ca="1">IF(AND($A1015&lt;=4,$A1015&lt;&gt;0),0,IF($A1015="S",OFFSET(G1015,-1,0)+1,OFFSET(G1015,-1,0)))</f>
        <v>0</v>
      </c>
      <c r="H1015">
        <f ca="1">IF(OR($A1015="S",$A1015=0),0,MATCH(0,OFFSET($B1015,1,$A1015,ROW($A$1504)-ROW($A1015)),0))</f>
        <v>12</v>
      </c>
      <c r="I1015">
        <f ca="1">IF(OR($A1015="S",$A1015=0),0,MATCH(OFFSET($B1015,0,$A1015)+1,OFFSET($B1015,1,$A1015,ROW($A$1504)-ROW($A1015)),0))</f>
        <v>6</v>
      </c>
      <c r="J1015" s="132" t="s">
        <v>68</v>
      </c>
      <c r="K1015" s="121" t="str">
        <f ca="1">IF($A1015=0,"-",CONCATENATE(C1015&amp;".",IF(AND($A$5&gt;=2,$A1015&gt;=2),D1015&amp;".",""),IF(AND($A$5&gt;=3,$A1015&gt;=3),E1015&amp;".",""),IF(AND($A$5&gt;=4,$A1015&gt;=4),F1015&amp;".",""),IF($A1015="S",G1015&amp;".","")))</f>
        <v>11.6.</v>
      </c>
      <c r="L1015" s="137" t="str">
        <f ca="1">IF(NOT(ISERROR($Y1015)),IF($Y1015&lt;&gt;FALSE,INDEX(Banco,$Y1015,4),""),"")</f>
        <v/>
      </c>
      <c r="M1015" s="122"/>
      <c r="N1015" s="139"/>
      <c r="O1015" s="137" t="s">
        <v>424</v>
      </c>
      <c r="P1015" s="138" t="str">
        <f ca="1">IF(NOT(ISERROR($Y1015)),IF($Y1015&lt;&gt;FALSE,INDEX(Banco,$Y1015,6),""),"")</f>
        <v/>
      </c>
      <c r="Q1015" s="134"/>
      <c r="R1015" s="124">
        <f ca="1">IF(NOT(ISERROR($Y1015)),IF($Y1015&lt;&gt;FALSE,INDEX(Banco,$Y1015,7),0),0)</f>
        <v>0</v>
      </c>
      <c r="S1015" s="136" t="s">
        <v>62</v>
      </c>
      <c r="T1015" s="123">
        <f>IF($J1015=$G$2,ROUND(ROUND($R1015,2)*IF($R$9="Preço Unitário (R$)",1,1+$AA1015),2),0)</f>
        <v>0</v>
      </c>
      <c r="U1015" s="126">
        <f ca="1">IF($A1015="S",VTOTAL1,IF($A1015=0,0,ROUND(SomaAgrup,2)))</f>
        <v>25193.42</v>
      </c>
      <c r="V1015" s="1"/>
      <c r="W1015" s="39">
        <f ca="1">IF(OR($A1015=0,$A1015="S",$A1015&gt;CFF!$A$9),"",MAX(W$11:OFFSET(W1015,-1,0))+1)</f>
        <v>88</v>
      </c>
      <c r="X1015" s="4" t="b">
        <f>IF(AND($J1015=$G$2,$N1015&lt;&gt;"",$M1015&lt;&gt;""),CONCATENATE($M1015,"-",$N1015))</f>
        <v>0</v>
      </c>
      <c r="Y1015" s="39" t="b">
        <f ca="1">IF(X1015&lt;&gt;FALSE,MATCH(X1015,OFFSET(Banco,0,0,,1),0))</f>
        <v>0</v>
      </c>
      <c r="Z1015" s="1"/>
      <c r="AA1015" s="133" t="str">
        <f>IF($J1015=$G$2,ROUND(IF(ISNUMBER(S1015),S1015,IF(LEFT(S1015,2)="DI",HLOOKUP(S1015,DADOS!$T$29:$X$30,2,FALSE),0)),4),"")</f>
        <v/>
      </c>
      <c r="AB1015" s="2"/>
    </row>
    <row r="1016" spans="1:28">
      <c r="A1016" t="str">
        <f t="shared" ref="A1016:A1026" si="1293">CHOOSE(1+LOG(1+2*(J1016=$C$2)+4*(J1016=$D$2)+8*(J1016=$E$2)+16*(J1016=$F$2)+32*(J1016=$G$2),2),0,1,2,3,4,"S")</f>
        <v>S</v>
      </c>
      <c r="B1016">
        <f t="shared" ref="B1016:B1026" si="1294">IF(OR(A1016="S",A1016=0),0,IF(ISERROR(I1016),H1016,SMALL(H1016:I1016,1)))</f>
        <v>0</v>
      </c>
      <c r="C1016">
        <f t="shared" ca="1" si="1282"/>
        <v>11</v>
      </c>
      <c r="D1016">
        <f t="shared" ca="1" si="1283"/>
        <v>6</v>
      </c>
      <c r="E1016">
        <f t="shared" ca="1" si="1284"/>
        <v>0</v>
      </c>
      <c r="F1016">
        <f t="shared" ca="1" si="1285"/>
        <v>0</v>
      </c>
      <c r="G1016">
        <f t="shared" ca="1" si="1286"/>
        <v>1</v>
      </c>
      <c r="H1016">
        <f ca="1">IF(OR($A1016="S",$A1016=0),0,MATCH(0,OFFSET($B1016,1,$A1016,ROW($A$1504)-ROW($A1016)),0))</f>
        <v>0</v>
      </c>
      <c r="I1016">
        <f ca="1">IF(OR($A1016="S",$A1016=0),0,MATCH(OFFSET($B1016,0,$A1016)+1,OFFSET($B1016,1,$A1016,ROW($A$1504)-ROW($A1016)),0))</f>
        <v>0</v>
      </c>
      <c r="J1016" s="132" t="s">
        <v>29</v>
      </c>
      <c r="K1016" s="121" t="str">
        <f t="shared" ref="K1016:K1026" ca="1" si="1295">IF($A1016=0,"-",CONCATENATE(C1016&amp;".",IF(AND($A$5&gt;=2,$A1016&gt;=2),D1016&amp;".",""),IF(AND($A$5&gt;=3,$A1016&gt;=3),E1016&amp;".",""),IF(AND($A$5&gt;=4,$A1016&gt;=4),F1016&amp;".",""),IF($A1016="S",G1016&amp;".","")))</f>
        <v>11.6.1.</v>
      </c>
      <c r="L1016" s="137" t="str">
        <f t="shared" ca="1" si="1287"/>
        <v>CRESS</v>
      </c>
      <c r="M1016" s="122" t="s">
        <v>78</v>
      </c>
      <c r="N1016" s="139" t="s">
        <v>152</v>
      </c>
      <c r="O1016" s="137" t="str">
        <f ca="1">IF(NOT(ISERROR($Y1016)),IF($Y1016&lt;&gt;FALSE,INDEX(Banco,$Y1016,5),""),"")</f>
        <v>Assistente Social</v>
      </c>
      <c r="P1016" s="138" t="str">
        <f t="shared" ca="1" si="1288"/>
        <v>Horas</v>
      </c>
      <c r="Q1016" s="134">
        <v>6</v>
      </c>
      <c r="R1016" s="124">
        <f t="shared" ca="1" si="1289"/>
        <v>133.81</v>
      </c>
      <c r="S1016" s="136" t="s">
        <v>62</v>
      </c>
      <c r="T1016" s="123">
        <f t="shared" ca="1" si="1290"/>
        <v>167.26</v>
      </c>
      <c r="U1016" s="126">
        <f t="shared" ca="1" si="1291"/>
        <v>1003.56</v>
      </c>
      <c r="V1016" s="1"/>
      <c r="W1016" s="39" t="str">
        <f ca="1">IF(OR($A1016=0,$A1016="S",$A1016&gt;CFF!$A$9),"",MAX(W$11:OFFSET(W1016,-1,0))+1)</f>
        <v/>
      </c>
      <c r="X1016" s="4" t="str">
        <f t="shared" si="1292"/>
        <v>Rec. Humanos-002</v>
      </c>
      <c r="Y1016" s="39">
        <f t="shared" ref="Y1016:Y1026" ca="1" si="1296">IF(X1016&lt;&gt;FALSE,MATCH(X1016,OFFSET(Banco,0,0,,1),0))</f>
        <v>4</v>
      </c>
      <c r="Z1016" s="1"/>
      <c r="AA1016" s="133">
        <f>IF($J1016=$G$2,ROUND(IF(ISNUMBER(S1016),S1016,IF(LEFT(S1016,2)="DI",HLOOKUP(S1016,DADOS!$T$29:$X$30,2,FALSE),0)),4),"")</f>
        <v>0.25</v>
      </c>
      <c r="AB1016" s="2"/>
    </row>
    <row r="1017" spans="1:28">
      <c r="A1017" t="str">
        <f t="shared" si="1293"/>
        <v>S</v>
      </c>
      <c r="B1017">
        <f t="shared" si="1294"/>
        <v>0</v>
      </c>
      <c r="C1017">
        <f t="shared" ca="1" si="1282"/>
        <v>11</v>
      </c>
      <c r="D1017">
        <f t="shared" ca="1" si="1283"/>
        <v>6</v>
      </c>
      <c r="E1017">
        <f t="shared" ca="1" si="1284"/>
        <v>0</v>
      </c>
      <c r="F1017">
        <f t="shared" ca="1" si="1285"/>
        <v>0</v>
      </c>
      <c r="G1017">
        <f t="shared" ca="1" si="1286"/>
        <v>2</v>
      </c>
      <c r="H1017">
        <f ca="1">IF(OR($A1017="S",$A1017=0),0,MATCH(0,OFFSET($B1017,1,$A1017,ROW($A$1504)-ROW($A1017)),0))</f>
        <v>0</v>
      </c>
      <c r="I1017">
        <f ca="1">IF(OR($A1017="S",$A1017=0),0,MATCH(OFFSET($B1017,0,$A1017)+1,OFFSET($B1017,1,$A1017,ROW($A$1504)-ROW($A1017)),0))</f>
        <v>0</v>
      </c>
      <c r="J1017" s="132" t="s">
        <v>29</v>
      </c>
      <c r="K1017" s="121" t="str">
        <f t="shared" ca="1" si="1295"/>
        <v>11.6.2.</v>
      </c>
      <c r="L1017" s="137" t="str">
        <f t="shared" ca="1" si="1287"/>
        <v>Cotação</v>
      </c>
      <c r="M1017" s="122" t="s">
        <v>78</v>
      </c>
      <c r="N1017" s="139" t="s">
        <v>151</v>
      </c>
      <c r="O1017" s="137" t="str">
        <f ca="1">IF(NOT(ISERROR($Y1017)),IF($Y1017&lt;&gt;FALSE,INDEX(Banco,$Y1017,5),""),"")</f>
        <v xml:space="preserve">Administrador (Técnico de Apoio) </v>
      </c>
      <c r="P1017" s="138" t="str">
        <f t="shared" ca="1" si="1288"/>
        <v>Horas</v>
      </c>
      <c r="Q1017" s="134">
        <v>6</v>
      </c>
      <c r="R1017" s="124">
        <f t="shared" ca="1" si="1289"/>
        <v>103.65</v>
      </c>
      <c r="S1017" s="136" t="s">
        <v>62</v>
      </c>
      <c r="T1017" s="123">
        <f t="shared" ca="1" si="1290"/>
        <v>129.56</v>
      </c>
      <c r="U1017" s="126">
        <f t="shared" ca="1" si="1291"/>
        <v>777.36</v>
      </c>
      <c r="V1017" s="1"/>
      <c r="W1017" s="39" t="str">
        <f ca="1">IF(OR($A1017=0,$A1017="S",$A1017&gt;CFF!$A$9),"",MAX(W$11:OFFSET(W1017,-1,0))+1)</f>
        <v/>
      </c>
      <c r="X1017" s="4" t="str">
        <f t="shared" si="1292"/>
        <v>Rec. Humanos-003</v>
      </c>
      <c r="Y1017" s="39">
        <f t="shared" ca="1" si="1296"/>
        <v>5</v>
      </c>
      <c r="Z1017" s="1"/>
      <c r="AA1017" s="133">
        <f>IF($J1017=$G$2,ROUND(IF(ISNUMBER(S1017),S1017,IF(LEFT(S1017,2)="DI",HLOOKUP(S1017,DADOS!$T$29:$X$30,2,FALSE),0)),4),"")</f>
        <v>0.25</v>
      </c>
      <c r="AB1017" s="2"/>
    </row>
    <row r="1018" spans="1:28">
      <c r="A1018" t="str">
        <f t="shared" si="1293"/>
        <v>S</v>
      </c>
      <c r="B1018">
        <f t="shared" si="1294"/>
        <v>0</v>
      </c>
      <c r="C1018">
        <f t="shared" ca="1" si="1282"/>
        <v>11</v>
      </c>
      <c r="D1018">
        <f t="shared" ca="1" si="1283"/>
        <v>6</v>
      </c>
      <c r="E1018">
        <f t="shared" ca="1" si="1284"/>
        <v>0</v>
      </c>
      <c r="F1018">
        <f t="shared" ca="1" si="1285"/>
        <v>0</v>
      </c>
      <c r="G1018">
        <f t="shared" ca="1" si="1286"/>
        <v>3</v>
      </c>
      <c r="H1018">
        <f ca="1">IF(OR($A1018="S",$A1018=0),0,MATCH(0,OFFSET($B1018,1,$A1018,ROW($A$1504)-ROW($A1018)),0))</f>
        <v>0</v>
      </c>
      <c r="I1018">
        <f ca="1">IF(OR($A1018="S",$A1018=0),0,MATCH(OFFSET($B1018,0,$A1018)+1,OFFSET($B1018,1,$A1018,ROW($A$1504)-ROW($A1018)),0))</f>
        <v>0</v>
      </c>
      <c r="J1018" s="132" t="s">
        <v>29</v>
      </c>
      <c r="K1018" s="121" t="str">
        <f t="shared" ca="1" si="1295"/>
        <v>11.6.3.</v>
      </c>
      <c r="L1018" s="137" t="str">
        <f t="shared" ca="1" si="1287"/>
        <v>SENAI</v>
      </c>
      <c r="M1018" s="122" t="s">
        <v>80</v>
      </c>
      <c r="N1018" s="139" t="s">
        <v>258</v>
      </c>
      <c r="O1018" s="137" t="str">
        <f ca="1">IF(NOT(ISERROR($Y1018)),IF($Y1018&lt;&gt;FALSE,INDEX(Banco,$Y1018,5),""),"")</f>
        <v>Depilação (curso completo)</v>
      </c>
      <c r="P1018" s="138" t="str">
        <f t="shared" ca="1" si="1288"/>
        <v>Vagas</v>
      </c>
      <c r="Q1018" s="134">
        <v>25</v>
      </c>
      <c r="R1018" s="124">
        <f t="shared" ca="1" si="1289"/>
        <v>736.88</v>
      </c>
      <c r="S1018" s="136" t="s">
        <v>62</v>
      </c>
      <c r="T1018" s="123">
        <f t="shared" ca="1" si="1290"/>
        <v>921.1</v>
      </c>
      <c r="U1018" s="126">
        <f t="shared" ca="1" si="1291"/>
        <v>23027.5</v>
      </c>
      <c r="V1018" s="1"/>
      <c r="W1018" s="39" t="str">
        <f ca="1">IF(OR($A1018=0,$A1018="S",$A1018&gt;CFF!$A$9),"",MAX(W$11:OFFSET(W1018,-1,0))+1)</f>
        <v/>
      </c>
      <c r="X1018" s="4" t="str">
        <f t="shared" si="1292"/>
        <v>Serv. Terc.-083</v>
      </c>
      <c r="Y1018" s="39">
        <f t="shared" ca="1" si="1296"/>
        <v>163</v>
      </c>
      <c r="Z1018" s="1"/>
      <c r="AA1018" s="133">
        <f>IF($J1018=$G$2,ROUND(IF(ISNUMBER(S1018),S1018,IF(LEFT(S1018,2)="DI",HLOOKUP(S1018,DADOS!$T$29:$X$30,2,FALSE),0)),4),"")</f>
        <v>0.25</v>
      </c>
      <c r="AB1018" s="2"/>
    </row>
    <row r="1019" spans="1:28">
      <c r="A1019" t="str">
        <f t="shared" si="1293"/>
        <v>S</v>
      </c>
      <c r="B1019">
        <f t="shared" si="1294"/>
        <v>0</v>
      </c>
      <c r="C1019">
        <f t="shared" ca="1" si="1282"/>
        <v>11</v>
      </c>
      <c r="D1019">
        <f t="shared" ca="1" si="1283"/>
        <v>6</v>
      </c>
      <c r="E1019">
        <f t="shared" ca="1" si="1284"/>
        <v>0</v>
      </c>
      <c r="F1019">
        <f t="shared" ca="1" si="1285"/>
        <v>0</v>
      </c>
      <c r="G1019">
        <f t="shared" ca="1" si="1286"/>
        <v>4</v>
      </c>
      <c r="H1019">
        <f ca="1">IF(OR($A1019="S",$A1019=0),0,MATCH(0,OFFSET($B1019,1,$A1019,ROW($A$1504)-ROW($A1019)),0))</f>
        <v>0</v>
      </c>
      <c r="I1019">
        <f ca="1">IF(OR($A1019="S",$A1019=0),0,MATCH(OFFSET($B1019,0,$A1019)+1,OFFSET($B1019,1,$A1019,ROW($A$1504)-ROW($A1019)),0))</f>
        <v>0</v>
      </c>
      <c r="J1019" s="132" t="s">
        <v>29</v>
      </c>
      <c r="K1019" s="121" t="str">
        <f t="shared" ca="1" si="1295"/>
        <v>11.6.4.</v>
      </c>
      <c r="L1019" s="137" t="str">
        <f t="shared" ca="1" si="1287"/>
        <v>Cotação</v>
      </c>
      <c r="M1019" s="122" t="s">
        <v>80</v>
      </c>
      <c r="N1019" s="139" t="s">
        <v>201</v>
      </c>
      <c r="O1019" s="137" t="str">
        <f ca="1">IF(NOT(ISERROR($Y1019)),IF($Y1019&lt;&gt;FALSE,INDEX(Banco,$Y1019,5),""),"")</f>
        <v xml:space="preserve">Coffe break (salgados) </v>
      </c>
      <c r="P1019" s="138" t="str">
        <f t="shared" ca="1" si="1288"/>
        <v>Centro</v>
      </c>
      <c r="Q1019" s="134">
        <v>4</v>
      </c>
      <c r="R1019" s="124">
        <f t="shared" ca="1" si="1289"/>
        <v>65</v>
      </c>
      <c r="S1019" s="136" t="s">
        <v>62</v>
      </c>
      <c r="T1019" s="123">
        <f t="shared" ca="1" si="1290"/>
        <v>81.25</v>
      </c>
      <c r="U1019" s="126">
        <f t="shared" ca="1" si="1291"/>
        <v>325</v>
      </c>
      <c r="V1019" s="1"/>
      <c r="W1019" s="39" t="str">
        <f ca="1">IF(OR($A1019=0,$A1019="S",$A1019&gt;CFF!$A$9),"",MAX(W$11:OFFSET(W1019,-1,0))+1)</f>
        <v/>
      </c>
      <c r="X1019" s="4" t="str">
        <f t="shared" si="1292"/>
        <v>Serv. Terc.-033</v>
      </c>
      <c r="Y1019" s="39">
        <f t="shared" ca="1" si="1296"/>
        <v>113</v>
      </c>
      <c r="Z1019" s="1"/>
      <c r="AA1019" s="133">
        <f>IF($J1019=$G$2,ROUND(IF(ISNUMBER(S1019),S1019,IF(LEFT(S1019,2)="DI",HLOOKUP(S1019,DADOS!$T$29:$X$30,2,FALSE),0)),4),"")</f>
        <v>0.25</v>
      </c>
      <c r="AB1019" s="2"/>
    </row>
    <row r="1020" spans="1:28">
      <c r="A1020" t="str">
        <f t="shared" si="1293"/>
        <v>S</v>
      </c>
      <c r="B1020">
        <f t="shared" si="1294"/>
        <v>0</v>
      </c>
      <c r="C1020">
        <f t="shared" ca="1" si="1282"/>
        <v>11</v>
      </c>
      <c r="D1020">
        <f t="shared" ca="1" si="1283"/>
        <v>6</v>
      </c>
      <c r="E1020">
        <f t="shared" ca="1" si="1284"/>
        <v>0</v>
      </c>
      <c r="F1020">
        <f t="shared" ca="1" si="1285"/>
        <v>0</v>
      </c>
      <c r="G1020">
        <f t="shared" ca="1" si="1286"/>
        <v>5</v>
      </c>
      <c r="H1020">
        <f ca="1">IF(OR($A1020="S",$A1020=0),0,MATCH(0,OFFSET($B1020,1,$A1020,ROW($A$1504)-ROW($A1020)),0))</f>
        <v>0</v>
      </c>
      <c r="I1020">
        <f ca="1">IF(OR($A1020="S",$A1020=0),0,MATCH(OFFSET($B1020,0,$A1020)+1,OFFSET($B1020,1,$A1020,ROW($A$1504)-ROW($A1020)),0))</f>
        <v>0</v>
      </c>
      <c r="J1020" s="132" t="s">
        <v>29</v>
      </c>
      <c r="K1020" s="121" t="str">
        <f t="shared" ca="1" si="1295"/>
        <v>11.6.5.</v>
      </c>
      <c r="L1020" s="137" t="str">
        <f t="shared" ca="1" si="1287"/>
        <v>Cotação</v>
      </c>
      <c r="M1020" s="122" t="s">
        <v>80</v>
      </c>
      <c r="N1020" s="139" t="s">
        <v>171</v>
      </c>
      <c r="O1020" s="137" t="str">
        <f ca="1">IF(NOT(ISERROR($Y1020)),IF($Y1020&lt;&gt;FALSE,INDEX(Banco,$Y1020,5),""),"")</f>
        <v xml:space="preserve">Refrigerantes (02 litros) </v>
      </c>
      <c r="P1020" s="138" t="str">
        <f t="shared" ca="1" si="1288"/>
        <v>Unidade</v>
      </c>
      <c r="Q1020" s="134">
        <v>8</v>
      </c>
      <c r="R1020" s="124">
        <f t="shared" ca="1" si="1289"/>
        <v>6</v>
      </c>
      <c r="S1020" s="136" t="s">
        <v>62</v>
      </c>
      <c r="T1020" s="123">
        <f t="shared" ca="1" si="1290"/>
        <v>7.5</v>
      </c>
      <c r="U1020" s="126">
        <f t="shared" ca="1" si="1291"/>
        <v>60</v>
      </c>
      <c r="V1020" s="1"/>
      <c r="W1020" s="39" t="str">
        <f ca="1">IF(OR($A1020=0,$A1020="S",$A1020&gt;CFF!$A$9),"",MAX(W$11:OFFSET(W1020,-1,0))+1)</f>
        <v/>
      </c>
      <c r="X1020" s="4" t="str">
        <f t="shared" si="1292"/>
        <v>Serv. Terc.-027</v>
      </c>
      <c r="Y1020" s="39">
        <f t="shared" ca="1" si="1296"/>
        <v>107</v>
      </c>
      <c r="Z1020" s="1"/>
      <c r="AA1020" s="133">
        <f>IF($J1020=$G$2,ROUND(IF(ISNUMBER(S1020),S1020,IF(LEFT(S1020,2)="DI",HLOOKUP(S1020,DADOS!$T$29:$X$30,2,FALSE),0)),4),"")</f>
        <v>0.25</v>
      </c>
      <c r="AB1020" s="2"/>
    </row>
    <row r="1021" spans="1:28">
      <c r="A1021">
        <f>CHOOSE(1+LOG(1+2*(J1021=$C$2)+4*(J1021=$D$2)+8*(J1021=$E$2)+16*(J1021=$F$2)+32*(J1021=$G$2),2),0,1,2,3,4,"S")</f>
        <v>2</v>
      </c>
      <c r="B1021">
        <f ca="1">IF(OR(A1021="S",A1021=0),0,IF(ISERROR(I1021),H1021,SMALL(H1021:I1021,1)))</f>
        <v>6</v>
      </c>
      <c r="C1021">
        <f ca="1">IF($A1021=1,OFFSET(C1021,-1,0)+1,OFFSET(C1021,-1,0))</f>
        <v>11</v>
      </c>
      <c r="D1021">
        <f ca="1">IF($A1021=1,0,IF($A1021=2,OFFSET(D1021,-1,0)+1,OFFSET(D1021,-1,0)))</f>
        <v>7</v>
      </c>
      <c r="E1021">
        <f ca="1">IF(AND($A1021&lt;=2,$A1021&lt;&gt;0),0,IF($A1021=3,OFFSET(E1021,-1,0)+1,OFFSET(E1021,-1,0)))</f>
        <v>0</v>
      </c>
      <c r="F1021">
        <f ca="1">IF(AND($A1021&lt;=3,$A1021&lt;&gt;0),0,IF($A1021=4,OFFSET(F1021,-1,0)+1,OFFSET(F1021,-1,0)))</f>
        <v>0</v>
      </c>
      <c r="G1021">
        <f ca="1">IF(AND($A1021&lt;=4,$A1021&lt;&gt;0),0,IF($A1021="S",OFFSET(G1021,-1,0)+1,OFFSET(G1021,-1,0)))</f>
        <v>0</v>
      </c>
      <c r="H1021">
        <f ca="1">IF(OR($A1021="S",$A1021=0),0,MATCH(0,OFFSET($B1021,1,$A1021,ROW($A$1504)-ROW($A1021)),0))</f>
        <v>6</v>
      </c>
      <c r="I1021">
        <f ca="1">IF(OR($A1021="S",$A1021=0),0,MATCH(OFFSET($B1021,0,$A1021)+1,OFFSET($B1021,1,$A1021,ROW($A$1504)-ROW($A1021)),0))</f>
        <v>103</v>
      </c>
      <c r="J1021" s="132" t="s">
        <v>68</v>
      </c>
      <c r="K1021" s="121" t="str">
        <f ca="1">IF($A1021=0,"-",CONCATENATE(C1021&amp;".",IF(AND($A$5&gt;=2,$A1021&gt;=2),D1021&amp;".",""),IF(AND($A$5&gt;=3,$A1021&gt;=3),E1021&amp;".",""),IF(AND($A$5&gt;=4,$A1021&gt;=4),F1021&amp;".",""),IF($A1021="S",G1021&amp;".","")))</f>
        <v>11.7.</v>
      </c>
      <c r="L1021" s="137" t="str">
        <f ca="1">IF(NOT(ISERROR($Y1021)),IF($Y1021&lt;&gt;FALSE,INDEX(Banco,$Y1021,4),""),"")</f>
        <v/>
      </c>
      <c r="M1021" s="122"/>
      <c r="N1021" s="139"/>
      <c r="O1021" s="137" t="s">
        <v>425</v>
      </c>
      <c r="P1021" s="138" t="str">
        <f ca="1">IF(NOT(ISERROR($Y1021)),IF($Y1021&lt;&gt;FALSE,INDEX(Banco,$Y1021,6),""),"")</f>
        <v/>
      </c>
      <c r="Q1021" s="134"/>
      <c r="R1021" s="124">
        <f ca="1">IF(NOT(ISERROR($Y1021)),IF($Y1021&lt;&gt;FALSE,INDEX(Banco,$Y1021,7),0),0)</f>
        <v>0</v>
      </c>
      <c r="S1021" s="136" t="s">
        <v>62</v>
      </c>
      <c r="T1021" s="123">
        <f>IF($J1021=$G$2,ROUND(ROUND($R1021,2)*IF($R$9="Preço Unitário (R$)",1,1+$AA1021),2),0)</f>
        <v>0</v>
      </c>
      <c r="U1021" s="126">
        <f ca="1">IF($A1021="S",VTOTAL1,IF($A1021=0,0,ROUND(SomaAgrup,2)))</f>
        <v>25193.42</v>
      </c>
      <c r="V1021" s="1"/>
      <c r="W1021" s="39">
        <f ca="1">IF(OR($A1021=0,$A1021="S",$A1021&gt;CFF!$A$9),"",MAX(W$11:OFFSET(W1021,-1,0))+1)</f>
        <v>89</v>
      </c>
      <c r="X1021" s="4" t="b">
        <f>IF(AND($J1021=$G$2,$N1021&lt;&gt;"",$M1021&lt;&gt;""),CONCATENATE($M1021,"-",$N1021))</f>
        <v>0</v>
      </c>
      <c r="Y1021" s="39" t="b">
        <f ca="1">IF(X1021&lt;&gt;FALSE,MATCH(X1021,OFFSET(Banco,0,0,,1),0))</f>
        <v>0</v>
      </c>
      <c r="Z1021" s="1"/>
      <c r="AA1021" s="133" t="str">
        <f>IF($J1021=$G$2,ROUND(IF(ISNUMBER(S1021),S1021,IF(LEFT(S1021,2)="DI",HLOOKUP(S1021,DADOS!$T$29:$X$30,2,FALSE),0)),4),"")</f>
        <v/>
      </c>
      <c r="AB1021" s="2"/>
    </row>
    <row r="1022" spans="1:28">
      <c r="A1022" t="str">
        <f t="shared" si="1293"/>
        <v>S</v>
      </c>
      <c r="B1022">
        <f t="shared" si="1294"/>
        <v>0</v>
      </c>
      <c r="C1022">
        <f t="shared" ca="1" si="1282"/>
        <v>11</v>
      </c>
      <c r="D1022">
        <f t="shared" ca="1" si="1283"/>
        <v>7</v>
      </c>
      <c r="E1022">
        <f t="shared" ca="1" si="1284"/>
        <v>0</v>
      </c>
      <c r="F1022">
        <f t="shared" ca="1" si="1285"/>
        <v>0</v>
      </c>
      <c r="G1022">
        <f t="shared" ca="1" si="1286"/>
        <v>1</v>
      </c>
      <c r="H1022">
        <f ca="1">IF(OR($A1022="S",$A1022=0),0,MATCH(0,OFFSET($B1022,1,$A1022,ROW($A$1504)-ROW($A1022)),0))</f>
        <v>0</v>
      </c>
      <c r="I1022">
        <f ca="1">IF(OR($A1022="S",$A1022=0),0,MATCH(OFFSET($B1022,0,$A1022)+1,OFFSET($B1022,1,$A1022,ROW($A$1504)-ROW($A1022)),0))</f>
        <v>0</v>
      </c>
      <c r="J1022" s="132" t="s">
        <v>29</v>
      </c>
      <c r="K1022" s="121" t="str">
        <f t="shared" ca="1" si="1295"/>
        <v>11.7.1.</v>
      </c>
      <c r="L1022" s="137" t="str">
        <f t="shared" ca="1" si="1287"/>
        <v>CRESS</v>
      </c>
      <c r="M1022" s="122" t="s">
        <v>78</v>
      </c>
      <c r="N1022" s="139" t="s">
        <v>152</v>
      </c>
      <c r="O1022" s="137" t="str">
        <f ca="1">IF(NOT(ISERROR($Y1022)),IF($Y1022&lt;&gt;FALSE,INDEX(Banco,$Y1022,5),""),"")</f>
        <v>Assistente Social</v>
      </c>
      <c r="P1022" s="138" t="str">
        <f t="shared" ca="1" si="1288"/>
        <v>Horas</v>
      </c>
      <c r="Q1022" s="134">
        <v>6</v>
      </c>
      <c r="R1022" s="124">
        <f t="shared" ca="1" si="1289"/>
        <v>133.81</v>
      </c>
      <c r="S1022" s="136" t="s">
        <v>62</v>
      </c>
      <c r="T1022" s="123">
        <f t="shared" ca="1" si="1290"/>
        <v>167.26</v>
      </c>
      <c r="U1022" s="126">
        <f t="shared" ca="1" si="1291"/>
        <v>1003.56</v>
      </c>
      <c r="V1022" s="1"/>
      <c r="W1022" s="39" t="str">
        <f ca="1">IF(OR($A1022=0,$A1022="S",$A1022&gt;CFF!$A$9),"",MAX(W$11:OFFSET(W1022,-1,0))+1)</f>
        <v/>
      </c>
      <c r="X1022" s="4" t="str">
        <f t="shared" si="1292"/>
        <v>Rec. Humanos-002</v>
      </c>
      <c r="Y1022" s="39">
        <f t="shared" ca="1" si="1296"/>
        <v>4</v>
      </c>
      <c r="Z1022" s="1"/>
      <c r="AA1022" s="133">
        <f>IF($J1022=$G$2,ROUND(IF(ISNUMBER(S1022),S1022,IF(LEFT(S1022,2)="DI",HLOOKUP(S1022,DADOS!$T$29:$X$30,2,FALSE),0)),4),"")</f>
        <v>0.25</v>
      </c>
      <c r="AB1022" s="2"/>
    </row>
    <row r="1023" spans="1:28">
      <c r="A1023" t="str">
        <f t="shared" si="1293"/>
        <v>S</v>
      </c>
      <c r="B1023">
        <f t="shared" si="1294"/>
        <v>0</v>
      </c>
      <c r="C1023">
        <f t="shared" ca="1" si="1282"/>
        <v>11</v>
      </c>
      <c r="D1023">
        <f t="shared" ca="1" si="1283"/>
        <v>7</v>
      </c>
      <c r="E1023">
        <f t="shared" ca="1" si="1284"/>
        <v>0</v>
      </c>
      <c r="F1023">
        <f t="shared" ca="1" si="1285"/>
        <v>0</v>
      </c>
      <c r="G1023">
        <f t="shared" ca="1" si="1286"/>
        <v>2</v>
      </c>
      <c r="H1023">
        <f ca="1">IF(OR($A1023="S",$A1023=0),0,MATCH(0,OFFSET($B1023,1,$A1023,ROW($A$1504)-ROW($A1023)),0))</f>
        <v>0</v>
      </c>
      <c r="I1023">
        <f ca="1">IF(OR($A1023="S",$A1023=0),0,MATCH(OFFSET($B1023,0,$A1023)+1,OFFSET($B1023,1,$A1023,ROW($A$1504)-ROW($A1023)),0))</f>
        <v>0</v>
      </c>
      <c r="J1023" s="132" t="s">
        <v>29</v>
      </c>
      <c r="K1023" s="121" t="str">
        <f t="shared" ca="1" si="1295"/>
        <v>11.7.2.</v>
      </c>
      <c r="L1023" s="137" t="str">
        <f t="shared" ca="1" si="1287"/>
        <v>Cotação</v>
      </c>
      <c r="M1023" s="122" t="s">
        <v>78</v>
      </c>
      <c r="N1023" s="139" t="s">
        <v>151</v>
      </c>
      <c r="O1023" s="137" t="str">
        <f ca="1">IF(NOT(ISERROR($Y1023)),IF($Y1023&lt;&gt;FALSE,INDEX(Banco,$Y1023,5),""),"")</f>
        <v xml:space="preserve">Administrador (Técnico de Apoio) </v>
      </c>
      <c r="P1023" s="138" t="str">
        <f t="shared" ca="1" si="1288"/>
        <v>Horas</v>
      </c>
      <c r="Q1023" s="134">
        <v>6</v>
      </c>
      <c r="R1023" s="124">
        <f t="shared" ca="1" si="1289"/>
        <v>103.65</v>
      </c>
      <c r="S1023" s="136" t="s">
        <v>62</v>
      </c>
      <c r="T1023" s="123">
        <f t="shared" ca="1" si="1290"/>
        <v>129.56</v>
      </c>
      <c r="U1023" s="126">
        <f t="shared" ca="1" si="1291"/>
        <v>777.36</v>
      </c>
      <c r="V1023" s="1"/>
      <c r="W1023" s="39" t="str">
        <f ca="1">IF(OR($A1023=0,$A1023="S",$A1023&gt;CFF!$A$9),"",MAX(W$11:OFFSET(W1023,-1,0))+1)</f>
        <v/>
      </c>
      <c r="X1023" s="4" t="str">
        <f t="shared" si="1292"/>
        <v>Rec. Humanos-003</v>
      </c>
      <c r="Y1023" s="39">
        <f t="shared" ca="1" si="1296"/>
        <v>5</v>
      </c>
      <c r="Z1023" s="1"/>
      <c r="AA1023" s="133">
        <f>IF($J1023=$G$2,ROUND(IF(ISNUMBER(S1023),S1023,IF(LEFT(S1023,2)="DI",HLOOKUP(S1023,DADOS!$T$29:$X$30,2,FALSE),0)),4),"")</f>
        <v>0.25</v>
      </c>
      <c r="AB1023" s="2"/>
    </row>
    <row r="1024" spans="1:28">
      <c r="A1024" t="str">
        <f t="shared" si="1293"/>
        <v>S</v>
      </c>
      <c r="B1024">
        <f t="shared" si="1294"/>
        <v>0</v>
      </c>
      <c r="C1024">
        <f t="shared" ca="1" si="1282"/>
        <v>11</v>
      </c>
      <c r="D1024">
        <f t="shared" ca="1" si="1283"/>
        <v>7</v>
      </c>
      <c r="E1024">
        <f t="shared" ca="1" si="1284"/>
        <v>0</v>
      </c>
      <c r="F1024">
        <f t="shared" ca="1" si="1285"/>
        <v>0</v>
      </c>
      <c r="G1024">
        <f t="shared" ca="1" si="1286"/>
        <v>3</v>
      </c>
      <c r="H1024">
        <f ca="1">IF(OR($A1024="S",$A1024=0),0,MATCH(0,OFFSET($B1024,1,$A1024,ROW($A$1504)-ROW($A1024)),0))</f>
        <v>0</v>
      </c>
      <c r="I1024">
        <f ca="1">IF(OR($A1024="S",$A1024=0),0,MATCH(OFFSET($B1024,0,$A1024)+1,OFFSET($B1024,1,$A1024,ROW($A$1504)-ROW($A1024)),0))</f>
        <v>0</v>
      </c>
      <c r="J1024" s="132" t="s">
        <v>29</v>
      </c>
      <c r="K1024" s="121" t="str">
        <f t="shared" ca="1" si="1295"/>
        <v>11.7.3.</v>
      </c>
      <c r="L1024" s="137" t="str">
        <f t="shared" ca="1" si="1287"/>
        <v>SENAI</v>
      </c>
      <c r="M1024" s="122" t="s">
        <v>80</v>
      </c>
      <c r="N1024" s="139" t="s">
        <v>258</v>
      </c>
      <c r="O1024" s="137" t="str">
        <f ca="1">IF(NOT(ISERROR($Y1024)),IF($Y1024&lt;&gt;FALSE,INDEX(Banco,$Y1024,5),""),"")</f>
        <v>Depilação (curso completo)</v>
      </c>
      <c r="P1024" s="138" t="str">
        <f t="shared" ca="1" si="1288"/>
        <v>Vagas</v>
      </c>
      <c r="Q1024" s="134">
        <v>25</v>
      </c>
      <c r="R1024" s="124">
        <f t="shared" ca="1" si="1289"/>
        <v>736.88</v>
      </c>
      <c r="S1024" s="136" t="s">
        <v>62</v>
      </c>
      <c r="T1024" s="123">
        <f t="shared" ca="1" si="1290"/>
        <v>921.1</v>
      </c>
      <c r="U1024" s="126">
        <f t="shared" ca="1" si="1291"/>
        <v>23027.5</v>
      </c>
      <c r="V1024" s="1"/>
      <c r="W1024" s="39" t="str">
        <f ca="1">IF(OR($A1024=0,$A1024="S",$A1024&gt;CFF!$A$9),"",MAX(W$11:OFFSET(W1024,-1,0))+1)</f>
        <v/>
      </c>
      <c r="X1024" s="4" t="str">
        <f t="shared" si="1292"/>
        <v>Serv. Terc.-083</v>
      </c>
      <c r="Y1024" s="39">
        <f t="shared" ca="1" si="1296"/>
        <v>163</v>
      </c>
      <c r="Z1024" s="1"/>
      <c r="AA1024" s="133">
        <f>IF($J1024=$G$2,ROUND(IF(ISNUMBER(S1024),S1024,IF(LEFT(S1024,2)="DI",HLOOKUP(S1024,DADOS!$T$29:$X$30,2,FALSE),0)),4),"")</f>
        <v>0.25</v>
      </c>
      <c r="AB1024" s="2"/>
    </row>
    <row r="1025" spans="1:28">
      <c r="A1025" t="str">
        <f t="shared" si="1293"/>
        <v>S</v>
      </c>
      <c r="B1025">
        <f t="shared" si="1294"/>
        <v>0</v>
      </c>
      <c r="C1025">
        <f t="shared" ca="1" si="1282"/>
        <v>11</v>
      </c>
      <c r="D1025">
        <f t="shared" ca="1" si="1283"/>
        <v>7</v>
      </c>
      <c r="E1025">
        <f t="shared" ca="1" si="1284"/>
        <v>0</v>
      </c>
      <c r="F1025">
        <f t="shared" ca="1" si="1285"/>
        <v>0</v>
      </c>
      <c r="G1025">
        <f t="shared" ca="1" si="1286"/>
        <v>4</v>
      </c>
      <c r="H1025">
        <f ca="1">IF(OR($A1025="S",$A1025=0),0,MATCH(0,OFFSET($B1025,1,$A1025,ROW($A$1504)-ROW($A1025)),0))</f>
        <v>0</v>
      </c>
      <c r="I1025">
        <f ca="1">IF(OR($A1025="S",$A1025=0),0,MATCH(OFFSET($B1025,0,$A1025)+1,OFFSET($B1025,1,$A1025,ROW($A$1504)-ROW($A1025)),0))</f>
        <v>0</v>
      </c>
      <c r="J1025" s="132" t="s">
        <v>29</v>
      </c>
      <c r="K1025" s="121" t="str">
        <f t="shared" ca="1" si="1295"/>
        <v>11.7.4.</v>
      </c>
      <c r="L1025" s="137" t="str">
        <f t="shared" ca="1" si="1287"/>
        <v>Cotação</v>
      </c>
      <c r="M1025" s="122" t="s">
        <v>80</v>
      </c>
      <c r="N1025" s="139" t="s">
        <v>201</v>
      </c>
      <c r="O1025" s="137" t="str">
        <f ca="1">IF(NOT(ISERROR($Y1025)),IF($Y1025&lt;&gt;FALSE,INDEX(Banco,$Y1025,5),""),"")</f>
        <v xml:space="preserve">Coffe break (salgados) </v>
      </c>
      <c r="P1025" s="138" t="str">
        <f t="shared" ca="1" si="1288"/>
        <v>Centro</v>
      </c>
      <c r="Q1025" s="134">
        <v>4</v>
      </c>
      <c r="R1025" s="124">
        <f t="shared" ca="1" si="1289"/>
        <v>65</v>
      </c>
      <c r="S1025" s="136" t="s">
        <v>62</v>
      </c>
      <c r="T1025" s="123">
        <f t="shared" ca="1" si="1290"/>
        <v>81.25</v>
      </c>
      <c r="U1025" s="126">
        <f t="shared" ca="1" si="1291"/>
        <v>325</v>
      </c>
      <c r="V1025" s="1"/>
      <c r="W1025" s="39" t="str">
        <f ca="1">IF(OR($A1025=0,$A1025="S",$A1025&gt;CFF!$A$9),"",MAX(W$11:OFFSET(W1025,-1,0))+1)</f>
        <v/>
      </c>
      <c r="X1025" s="4" t="str">
        <f t="shared" si="1292"/>
        <v>Serv. Terc.-033</v>
      </c>
      <c r="Y1025" s="39">
        <f t="shared" ca="1" si="1296"/>
        <v>113</v>
      </c>
      <c r="Z1025" s="1"/>
      <c r="AA1025" s="133">
        <f>IF($J1025=$G$2,ROUND(IF(ISNUMBER(S1025),S1025,IF(LEFT(S1025,2)="DI",HLOOKUP(S1025,DADOS!$T$29:$X$30,2,FALSE),0)),4),"")</f>
        <v>0.25</v>
      </c>
      <c r="AB1025" s="2"/>
    </row>
    <row r="1026" spans="1:28">
      <c r="A1026" t="str">
        <f t="shared" si="1293"/>
        <v>S</v>
      </c>
      <c r="B1026">
        <f t="shared" si="1294"/>
        <v>0</v>
      </c>
      <c r="C1026">
        <f t="shared" ca="1" si="1282"/>
        <v>11</v>
      </c>
      <c r="D1026">
        <f t="shared" ca="1" si="1283"/>
        <v>7</v>
      </c>
      <c r="E1026">
        <f t="shared" ca="1" si="1284"/>
        <v>0</v>
      </c>
      <c r="F1026">
        <f t="shared" ca="1" si="1285"/>
        <v>0</v>
      </c>
      <c r="G1026">
        <f t="shared" ca="1" si="1286"/>
        <v>5</v>
      </c>
      <c r="H1026">
        <f ca="1">IF(OR($A1026="S",$A1026=0),0,MATCH(0,OFFSET($B1026,1,$A1026,ROW($A$1504)-ROW($A1026)),0))</f>
        <v>0</v>
      </c>
      <c r="I1026">
        <f ca="1">IF(OR($A1026="S",$A1026=0),0,MATCH(OFFSET($B1026,0,$A1026)+1,OFFSET($B1026,1,$A1026,ROW($A$1504)-ROW($A1026)),0))</f>
        <v>0</v>
      </c>
      <c r="J1026" s="132" t="s">
        <v>29</v>
      </c>
      <c r="K1026" s="121" t="str">
        <f t="shared" ca="1" si="1295"/>
        <v>11.7.5.</v>
      </c>
      <c r="L1026" s="137" t="str">
        <f t="shared" ca="1" si="1287"/>
        <v>Cotação</v>
      </c>
      <c r="M1026" s="122" t="s">
        <v>80</v>
      </c>
      <c r="N1026" s="139" t="s">
        <v>171</v>
      </c>
      <c r="O1026" s="137" t="str">
        <f ca="1">IF(NOT(ISERROR($Y1026)),IF($Y1026&lt;&gt;FALSE,INDEX(Banco,$Y1026,5),""),"")</f>
        <v xml:space="preserve">Refrigerantes (02 litros) </v>
      </c>
      <c r="P1026" s="138" t="str">
        <f t="shared" ca="1" si="1288"/>
        <v>Unidade</v>
      </c>
      <c r="Q1026" s="134">
        <v>8</v>
      </c>
      <c r="R1026" s="124">
        <f t="shared" ca="1" si="1289"/>
        <v>6</v>
      </c>
      <c r="S1026" s="136" t="s">
        <v>62</v>
      </c>
      <c r="T1026" s="123">
        <f t="shared" ca="1" si="1290"/>
        <v>7.5</v>
      </c>
      <c r="U1026" s="126">
        <f t="shared" ca="1" si="1291"/>
        <v>60</v>
      </c>
      <c r="V1026" s="1"/>
      <c r="W1026" s="39" t="str">
        <f ca="1">IF(OR($A1026=0,$A1026="S",$A1026&gt;CFF!$A$9),"",MAX(W$11:OFFSET(W1026,-1,0))+1)</f>
        <v/>
      </c>
      <c r="X1026" s="4" t="str">
        <f t="shared" si="1292"/>
        <v>Serv. Terc.-027</v>
      </c>
      <c r="Y1026" s="39">
        <f t="shared" ca="1" si="1296"/>
        <v>107</v>
      </c>
      <c r="Z1026" s="1"/>
      <c r="AA1026" s="133">
        <f>IF($J1026=$G$2,ROUND(IF(ISNUMBER(S1026),S1026,IF(LEFT(S1026,2)="DI",HLOOKUP(S1026,DADOS!$T$29:$X$30,2,FALSE),0)),4),"")</f>
        <v>0.25</v>
      </c>
      <c r="AB1026" s="2"/>
    </row>
    <row r="1027" spans="1:28">
      <c r="A1027">
        <f>CHOOSE(1+LOG(1+2*(J1027=$C$2)+4*(J1027=$D$2)+8*(J1027=$E$2)+16*(J1027=$F$2)+32*(J1027=$G$2),2),0,1,2,3,4,"S")</f>
        <v>1</v>
      </c>
      <c r="B1027">
        <f ca="1">IF(OR(A1027="S",A1027=0),0,IF(ISERROR(I1027),H1027,SMALL(H1027:I1027,1)))</f>
        <v>101</v>
      </c>
      <c r="C1027">
        <f ca="1">IF($A1027=1,OFFSET(C1027,-1,0)+1,OFFSET(C1027,-1,0))</f>
        <v>12</v>
      </c>
      <c r="D1027">
        <f ca="1">IF($A1027=1,0,IF($A1027=2,OFFSET(D1027,-1,0)+1,OFFSET(D1027,-1,0)))</f>
        <v>0</v>
      </c>
      <c r="E1027">
        <f ca="1">IF(AND($A1027&lt;=2,$A1027&lt;&gt;0),0,IF($A1027=3,OFFSET(E1027,-1,0)+1,OFFSET(E1027,-1,0)))</f>
        <v>0</v>
      </c>
      <c r="F1027">
        <f ca="1">IF(AND($A1027&lt;=3,$A1027&lt;&gt;0),0,IF($A1027=4,OFFSET(F1027,-1,0)+1,OFFSET(F1027,-1,0)))</f>
        <v>0</v>
      </c>
      <c r="G1027">
        <f ca="1">IF(AND($A1027&lt;=4,$A1027&lt;&gt;0),0,IF($A1027="S",OFFSET(G1027,-1,0)+1,OFFSET(G1027,-1,0)))</f>
        <v>0</v>
      </c>
      <c r="H1027">
        <f ca="1">IF(OR($A1027="S",$A1027=0),0,MATCH(0,OFFSET($B1027,1,$A1027,ROW($A$1504)-ROW($A1027)),0))</f>
        <v>477</v>
      </c>
      <c r="I1027">
        <f ca="1">IF(OR($A1027="S",$A1027=0),0,MATCH(OFFSET($B1027,0,$A1027)+1,OFFSET($B1027,1,$A1027,ROW($A$1504)-ROW($A1027)),0))</f>
        <v>101</v>
      </c>
      <c r="J1027" s="132" t="s">
        <v>67</v>
      </c>
      <c r="K1027" s="121" t="str">
        <f ca="1">IF($A1027=0,"-",CONCATENATE(C1027&amp;".",IF(AND($A$5&gt;=2,$A1027&gt;=2),D1027&amp;".",""),IF(AND($A$5&gt;=3,$A1027&gt;=3),E1027&amp;".",""),IF(AND($A$5&gt;=4,$A1027&gt;=4),F1027&amp;".",""),IF($A1027="S",G1027&amp;".","")))</f>
        <v>12.</v>
      </c>
      <c r="L1027" s="137" t="str">
        <f ca="1">IF(NOT(ISERROR($Y1027)),IF($Y1027&lt;&gt;FALSE,INDEX(Banco,$Y1027,4),""),"")</f>
        <v/>
      </c>
      <c r="M1027" s="122"/>
      <c r="N1027" s="139"/>
      <c r="O1027" s="137" t="s">
        <v>456</v>
      </c>
      <c r="P1027" s="138" t="str">
        <f ca="1">IF(NOT(ISERROR($Y1027)),IF($Y1027&lt;&gt;FALSE,INDEX(Banco,$Y1027,6),""),"")</f>
        <v/>
      </c>
      <c r="Q1027" s="134"/>
      <c r="R1027" s="124">
        <f ca="1">IF(NOT(ISERROR($Y1027)),IF($Y1027&lt;&gt;FALSE,INDEX(Banco,$Y1027,7),0),0)</f>
        <v>0</v>
      </c>
      <c r="S1027" s="136" t="s">
        <v>62</v>
      </c>
      <c r="T1027" s="123">
        <f>IF($J1027=$G$2,ROUND(ROUND($R1027,2)*IF($R$9="Preço Unitário (R$)",1,1+$AA1027),2),0)</f>
        <v>0</v>
      </c>
      <c r="U1027" s="126">
        <f ca="1">IF($A1027="S",VTOTAL1,IF($A1027=0,0,ROUND(SomaAgrup,2)))</f>
        <v>65124.22</v>
      </c>
      <c r="V1027" s="1"/>
      <c r="W1027" s="39">
        <f ca="1">IF(OR($A1027=0,$A1027="S",$A1027&gt;CFF!$A$9),"",MAX(W$11:OFFSET(W1027,-1,0))+1)</f>
        <v>90</v>
      </c>
      <c r="X1027" s="4" t="b">
        <f>IF(AND($J1027=$G$2,$N1027&lt;&gt;"",$M1027&lt;&gt;""),CONCATENATE($M1027,"-",$N1027))</f>
        <v>0</v>
      </c>
      <c r="Y1027" s="39" t="b">
        <f ca="1">IF(X1027&lt;&gt;FALSE,MATCH(X1027,OFFSET(Banco,0,0,,1),0))</f>
        <v>0</v>
      </c>
      <c r="Z1027" s="1"/>
      <c r="AA1027" s="133" t="str">
        <f>IF($J1027=$G$2,ROUND(IF(ISNUMBER(S1027),S1027,IF(LEFT(S1027,2)="DI",HLOOKUP(S1027,DADOS!$T$29:$X$30,2,FALSE),0)),4),"")</f>
        <v/>
      </c>
      <c r="AB1027" s="2"/>
    </row>
    <row r="1028" spans="1:28">
      <c r="A1028">
        <f>CHOOSE(1+LOG(1+2*(J1028=$C$2)+4*(J1028=$D$2)+8*(J1028=$E$2)+16*(J1028=$F$2)+32*(J1028=$G$2),2),0,1,2,3,4,"S")</f>
        <v>2</v>
      </c>
      <c r="B1028">
        <f ca="1">IF(OR(A1028="S",A1028=0),0,IF(ISERROR(I1028),H1028,SMALL(H1028:I1028,1)))</f>
        <v>25</v>
      </c>
      <c r="C1028">
        <f ca="1">IF($A1028=1,OFFSET(C1028,-1,0)+1,OFFSET(C1028,-1,0))</f>
        <v>12</v>
      </c>
      <c r="D1028">
        <f ca="1">IF($A1028=1,0,IF($A1028=2,OFFSET(D1028,-1,0)+1,OFFSET(D1028,-1,0)))</f>
        <v>1</v>
      </c>
      <c r="E1028">
        <f ca="1">IF(AND($A1028&lt;=2,$A1028&lt;&gt;0),0,IF($A1028=3,OFFSET(E1028,-1,0)+1,OFFSET(E1028,-1,0)))</f>
        <v>0</v>
      </c>
      <c r="F1028">
        <f ca="1">IF(AND($A1028&lt;=3,$A1028&lt;&gt;0),0,IF($A1028=4,OFFSET(F1028,-1,0)+1,OFFSET(F1028,-1,0)))</f>
        <v>0</v>
      </c>
      <c r="G1028">
        <f ca="1">IF(AND($A1028&lt;=4,$A1028&lt;&gt;0),0,IF($A1028="S",OFFSET(G1028,-1,0)+1,OFFSET(G1028,-1,0)))</f>
        <v>0</v>
      </c>
      <c r="H1028">
        <f ca="1">IF(OR($A1028="S",$A1028=0),0,MATCH(0,OFFSET($B1028,1,$A1028,ROW($A$1504)-ROW($A1028)),0))</f>
        <v>100</v>
      </c>
      <c r="I1028">
        <f ca="1">IF(OR($A1028="S",$A1028=0),0,MATCH(OFFSET($B1028,0,$A1028)+1,OFFSET($B1028,1,$A1028,ROW($A$1504)-ROW($A1028)),0))</f>
        <v>25</v>
      </c>
      <c r="J1028" s="132" t="s">
        <v>68</v>
      </c>
      <c r="K1028" s="121" t="str">
        <f ca="1">IF($A1028=0,"-",CONCATENATE(C1028&amp;".",IF(AND($A$5&gt;=2,$A1028&gt;=2),D1028&amp;".",""),IF(AND($A$5&gt;=3,$A1028&gt;=3),E1028&amp;".",""),IF(AND($A$5&gt;=4,$A1028&gt;=4),F1028&amp;".",""),IF($A1028="S",G1028&amp;".","")))</f>
        <v>12.1.</v>
      </c>
      <c r="L1028" s="137" t="str">
        <f ca="1">IF(NOT(ISERROR($Y1028)),IF($Y1028&lt;&gt;FALSE,INDEX(Banco,$Y1028,4),""),"")</f>
        <v/>
      </c>
      <c r="M1028" s="122"/>
      <c r="N1028" s="139"/>
      <c r="O1028" s="137" t="s">
        <v>426</v>
      </c>
      <c r="P1028" s="138" t="str">
        <f ca="1">IF(NOT(ISERROR($Y1028)),IF($Y1028&lt;&gt;FALSE,INDEX(Banco,$Y1028,6),""),"")</f>
        <v/>
      </c>
      <c r="Q1028" s="134"/>
      <c r="R1028" s="124">
        <f ca="1">IF(NOT(ISERROR($Y1028)),IF($Y1028&lt;&gt;FALSE,INDEX(Banco,$Y1028,7),0),0)</f>
        <v>0</v>
      </c>
      <c r="S1028" s="136" t="s">
        <v>62</v>
      </c>
      <c r="T1028" s="123">
        <f>IF($J1028=$G$2,ROUND(ROUND($R1028,2)*IF($R$9="Preço Unitário (R$)",1,1+$AA1028),2),0)</f>
        <v>0</v>
      </c>
      <c r="U1028" s="126">
        <f ca="1">IF($A1028="S",VTOTAL1,IF($A1028=0,0,ROUND(SomaAgrup,2)))</f>
        <v>16495.03</v>
      </c>
      <c r="V1028" s="1"/>
      <c r="W1028" s="39">
        <f ca="1">IF(OR($A1028=0,$A1028="S",$A1028&gt;CFF!$A$9),"",MAX(W$11:OFFSET(W1028,-1,0))+1)</f>
        <v>91</v>
      </c>
      <c r="X1028" s="4" t="b">
        <f>IF(AND($J1028=$G$2,$N1028&lt;&gt;"",$M1028&lt;&gt;""),CONCATENATE($M1028,"-",$N1028))</f>
        <v>0</v>
      </c>
      <c r="Y1028" s="39" t="b">
        <f ca="1">IF(X1028&lt;&gt;FALSE,MATCH(X1028,OFFSET(Banco,0,0,,1),0))</f>
        <v>0</v>
      </c>
      <c r="Z1028" s="1"/>
      <c r="AA1028" s="133" t="str">
        <f>IF($J1028=$G$2,ROUND(IF(ISNUMBER(S1028),S1028,IF(LEFT(S1028,2)="DI",HLOOKUP(S1028,DADOS!$T$29:$X$30,2,FALSE),0)),4),"")</f>
        <v/>
      </c>
      <c r="AB1028" s="2"/>
    </row>
    <row r="1029" spans="1:28">
      <c r="A1029" t="str">
        <f t="shared" ref="A1029:A1044" si="1297">CHOOSE(1+LOG(1+2*(J1029=$C$2)+4*(J1029=$D$2)+8*(J1029=$E$2)+16*(J1029=$F$2)+32*(J1029=$G$2),2),0,1,2,3,4,"S")</f>
        <v>S</v>
      </c>
      <c r="B1029">
        <f t="shared" ref="B1029:B1044" si="1298">IF(OR(A1029="S",A1029=0),0,IF(ISERROR(I1029),H1029,SMALL(H1029:I1029,1)))</f>
        <v>0</v>
      </c>
      <c r="C1029">
        <f t="shared" ref="C1029:C1044" ca="1" si="1299">IF($A1029=1,OFFSET(C1029,-1,0)+1,OFFSET(C1029,-1,0))</f>
        <v>12</v>
      </c>
      <c r="D1029">
        <f t="shared" ref="D1029:D1044" ca="1" si="1300">IF($A1029=1,0,IF($A1029=2,OFFSET(D1029,-1,0)+1,OFFSET(D1029,-1,0)))</f>
        <v>1</v>
      </c>
      <c r="E1029">
        <f t="shared" ref="E1029:E1044" ca="1" si="1301">IF(AND($A1029&lt;=2,$A1029&lt;&gt;0),0,IF($A1029=3,OFFSET(E1029,-1,0)+1,OFFSET(E1029,-1,0)))</f>
        <v>0</v>
      </c>
      <c r="F1029">
        <f t="shared" ref="F1029:F1044" ca="1" si="1302">IF(AND($A1029&lt;=3,$A1029&lt;&gt;0),0,IF($A1029=4,OFFSET(F1029,-1,0)+1,OFFSET(F1029,-1,0)))</f>
        <v>0</v>
      </c>
      <c r="G1029">
        <f t="shared" ref="G1029:G1044" ca="1" si="1303">IF(AND($A1029&lt;=4,$A1029&lt;&gt;0),0,IF($A1029="S",OFFSET(G1029,-1,0)+1,OFFSET(G1029,-1,0)))</f>
        <v>1</v>
      </c>
      <c r="H1029">
        <f ca="1">IF(OR($A1029="S",$A1029=0),0,MATCH(0,OFFSET($B1029,1,$A1029,ROW($A$1504)-ROW($A1029)),0))</f>
        <v>0</v>
      </c>
      <c r="I1029">
        <f ca="1">IF(OR($A1029="S",$A1029=0),0,MATCH(OFFSET($B1029,0,$A1029)+1,OFFSET($B1029,1,$A1029,ROW($A$1504)-ROW($A1029)),0))</f>
        <v>0</v>
      </c>
      <c r="J1029" s="132" t="s">
        <v>29</v>
      </c>
      <c r="K1029" s="121" t="str">
        <f t="shared" ref="K1029:K1044" ca="1" si="1304">IF($A1029=0,"-",CONCATENATE(C1029&amp;".",IF(AND($A$5&gt;=2,$A1029&gt;=2),D1029&amp;".",""),IF(AND($A$5&gt;=3,$A1029&gt;=3),E1029&amp;".",""),IF(AND($A$5&gt;=4,$A1029&gt;=4),F1029&amp;".",""),IF($A1029="S",G1029&amp;".","")))</f>
        <v>12.1.1.</v>
      </c>
      <c r="L1029" s="137" t="str">
        <f t="shared" ref="L1029:L1044" ca="1" si="1305">IF(NOT(ISERROR($Y1029)),IF($Y1029&lt;&gt;FALSE,INDEX(Banco,$Y1029,4),""),"")</f>
        <v>CRESS</v>
      </c>
      <c r="M1029" s="122" t="s">
        <v>78</v>
      </c>
      <c r="N1029" s="139" t="s">
        <v>149</v>
      </c>
      <c r="O1029" s="137" t="str">
        <f t="shared" ref="O1029:O1044" ca="1" si="1306">IF(NOT(ISERROR($Y1029)),IF($Y1029&lt;&gt;FALSE,INDEX(Banco,$Y1029,5),""),"")</f>
        <v>Responsável Técnica</v>
      </c>
      <c r="P1029" s="138" t="str">
        <f t="shared" ref="P1029:P1044" ca="1" si="1307">IF(NOT(ISERROR($Y1029)),IF($Y1029&lt;&gt;FALSE,INDEX(Banco,$Y1029,6),""),"")</f>
        <v>Horas</v>
      </c>
      <c r="Q1029" s="134">
        <v>14</v>
      </c>
      <c r="R1029" s="124">
        <f t="shared" ref="R1029:R1044" ca="1" si="1308">IF(NOT(ISERROR($Y1029)),IF($Y1029&lt;&gt;FALSE,INDEX(Banco,$Y1029,7),0),0)</f>
        <v>150.28</v>
      </c>
      <c r="S1029" s="136" t="s">
        <v>62</v>
      </c>
      <c r="T1029" s="123">
        <f t="shared" ref="T1029:T1044" ca="1" si="1309">IF($J1029=$G$2,ROUND(ROUND($R1029,2)*IF($R$9="Preço Unitário (R$)",1,1+$AA1029),2),0)</f>
        <v>187.85</v>
      </c>
      <c r="U1029" s="126">
        <f t="shared" ref="U1029:U1044" ca="1" si="1310">IF($A1029="S",VTOTAL1,IF($A1029=0,0,ROUND(SomaAgrup,2)))</f>
        <v>2629.9</v>
      </c>
      <c r="V1029" s="1"/>
      <c r="W1029" s="39" t="str">
        <f ca="1">IF(OR($A1029=0,$A1029="S",$A1029&gt;CFF!$A$9),"",MAX(W$11:OFFSET(W1029,-1,0))+1)</f>
        <v/>
      </c>
      <c r="X1029" s="4" t="str">
        <f t="shared" ref="X1029:X1044" si="1311">IF(AND($J1029=$G$2,$N1029&lt;&gt;"",$M1029&lt;&gt;""),CONCATENATE($M1029,"-",$N1029))</f>
        <v>Rec. Humanos-001</v>
      </c>
      <c r="Y1029" s="39">
        <f t="shared" ref="Y1029:Y1044" ca="1" si="1312">IF(X1029&lt;&gt;FALSE,MATCH(X1029,OFFSET(Banco,0,0,,1),0))</f>
        <v>3</v>
      </c>
      <c r="Z1029" s="1"/>
      <c r="AA1029" s="133">
        <f>IF($J1029=$G$2,ROUND(IF(ISNUMBER(S1029),S1029,IF(LEFT(S1029,2)="DI",HLOOKUP(S1029,DADOS!$T$29:$X$30,2,FALSE),0)),4),"")</f>
        <v>0.25</v>
      </c>
      <c r="AB1029" s="2"/>
    </row>
    <row r="1030" spans="1:28">
      <c r="A1030" t="str">
        <f t="shared" si="1297"/>
        <v>S</v>
      </c>
      <c r="B1030">
        <f t="shared" si="1298"/>
        <v>0</v>
      </c>
      <c r="C1030">
        <f t="shared" ca="1" si="1299"/>
        <v>12</v>
      </c>
      <c r="D1030">
        <f t="shared" ca="1" si="1300"/>
        <v>1</v>
      </c>
      <c r="E1030">
        <f t="shared" ca="1" si="1301"/>
        <v>0</v>
      </c>
      <c r="F1030">
        <f t="shared" ca="1" si="1302"/>
        <v>0</v>
      </c>
      <c r="G1030">
        <f t="shared" ca="1" si="1303"/>
        <v>2</v>
      </c>
      <c r="H1030">
        <f ca="1">IF(OR($A1030="S",$A1030=0),0,MATCH(0,OFFSET($B1030,1,$A1030,ROW($A$1504)-ROW($A1030)),0))</f>
        <v>0</v>
      </c>
      <c r="I1030">
        <f ca="1">IF(OR($A1030="S",$A1030=0),0,MATCH(OFFSET($B1030,0,$A1030)+1,OFFSET($B1030,1,$A1030,ROW($A$1504)-ROW($A1030)),0))</f>
        <v>0</v>
      </c>
      <c r="J1030" s="132" t="s">
        <v>29</v>
      </c>
      <c r="K1030" s="121" t="str">
        <f t="shared" ca="1" si="1304"/>
        <v>12.1.2.</v>
      </c>
      <c r="L1030" s="137" t="str">
        <f t="shared" ca="1" si="1305"/>
        <v>CRESS</v>
      </c>
      <c r="M1030" s="122" t="s">
        <v>78</v>
      </c>
      <c r="N1030" s="139" t="s">
        <v>152</v>
      </c>
      <c r="O1030" s="137" t="str">
        <f t="shared" ca="1" si="1306"/>
        <v>Assistente Social</v>
      </c>
      <c r="P1030" s="138" t="str">
        <f t="shared" ca="1" si="1307"/>
        <v>Horas</v>
      </c>
      <c r="Q1030" s="134">
        <v>12</v>
      </c>
      <c r="R1030" s="124">
        <f t="shared" ca="1" si="1308"/>
        <v>133.81</v>
      </c>
      <c r="S1030" s="136" t="s">
        <v>62</v>
      </c>
      <c r="T1030" s="123">
        <f t="shared" ca="1" si="1309"/>
        <v>167.26</v>
      </c>
      <c r="U1030" s="126">
        <f t="shared" ca="1" si="1310"/>
        <v>2007.12</v>
      </c>
      <c r="V1030" s="1"/>
      <c r="W1030" s="39" t="str">
        <f ca="1">IF(OR($A1030=0,$A1030="S",$A1030&gt;CFF!$A$9),"",MAX(W$11:OFFSET(W1030,-1,0))+1)</f>
        <v/>
      </c>
      <c r="X1030" s="4" t="str">
        <f t="shared" si="1311"/>
        <v>Rec. Humanos-002</v>
      </c>
      <c r="Y1030" s="39">
        <f t="shared" ca="1" si="1312"/>
        <v>4</v>
      </c>
      <c r="Z1030" s="1"/>
      <c r="AA1030" s="133">
        <f>IF($J1030=$G$2,ROUND(IF(ISNUMBER(S1030),S1030,IF(LEFT(S1030,2)="DI",HLOOKUP(S1030,DADOS!$T$29:$X$30,2,FALSE),0)),4),"")</f>
        <v>0.25</v>
      </c>
      <c r="AB1030" s="2"/>
    </row>
    <row r="1031" spans="1:28">
      <c r="A1031" t="str">
        <f t="shared" si="1297"/>
        <v>S</v>
      </c>
      <c r="B1031">
        <f t="shared" si="1298"/>
        <v>0</v>
      </c>
      <c r="C1031">
        <f t="shared" ca="1" si="1299"/>
        <v>12</v>
      </c>
      <c r="D1031">
        <f t="shared" ca="1" si="1300"/>
        <v>1</v>
      </c>
      <c r="E1031">
        <f t="shared" ca="1" si="1301"/>
        <v>0</v>
      </c>
      <c r="F1031">
        <f t="shared" ca="1" si="1302"/>
        <v>0</v>
      </c>
      <c r="G1031">
        <f t="shared" ca="1" si="1303"/>
        <v>3</v>
      </c>
      <c r="H1031">
        <f ca="1">IF(OR($A1031="S",$A1031=0),0,MATCH(0,OFFSET($B1031,1,$A1031,ROW($A$1504)-ROW($A1031)),0))</f>
        <v>0</v>
      </c>
      <c r="I1031">
        <f ca="1">IF(OR($A1031="S",$A1031=0),0,MATCH(OFFSET($B1031,0,$A1031)+1,OFFSET($B1031,1,$A1031,ROW($A$1504)-ROW($A1031)),0))</f>
        <v>0</v>
      </c>
      <c r="J1031" s="132" t="s">
        <v>29</v>
      </c>
      <c r="K1031" s="121" t="str">
        <f t="shared" ca="1" si="1304"/>
        <v>12.1.3.</v>
      </c>
      <c r="L1031" s="137" t="str">
        <f t="shared" ca="1" si="1305"/>
        <v>Cotação</v>
      </c>
      <c r="M1031" s="122" t="s">
        <v>78</v>
      </c>
      <c r="N1031" s="139" t="s">
        <v>151</v>
      </c>
      <c r="O1031" s="137" t="str">
        <f t="shared" ca="1" si="1306"/>
        <v xml:space="preserve">Administrador (Técnico de Apoio) </v>
      </c>
      <c r="P1031" s="138" t="str">
        <f t="shared" ca="1" si="1307"/>
        <v>Horas</v>
      </c>
      <c r="Q1031" s="134">
        <v>6</v>
      </c>
      <c r="R1031" s="124">
        <f t="shared" ca="1" si="1308"/>
        <v>103.65</v>
      </c>
      <c r="S1031" s="136" t="s">
        <v>62</v>
      </c>
      <c r="T1031" s="123">
        <f t="shared" ca="1" si="1309"/>
        <v>129.56</v>
      </c>
      <c r="U1031" s="126">
        <f t="shared" ca="1" si="1310"/>
        <v>777.36</v>
      </c>
      <c r="V1031" s="1"/>
      <c r="W1031" s="39" t="str">
        <f ca="1">IF(OR($A1031=0,$A1031="S",$A1031&gt;CFF!$A$9),"",MAX(W$11:OFFSET(W1031,-1,0))+1)</f>
        <v/>
      </c>
      <c r="X1031" s="4" t="str">
        <f t="shared" si="1311"/>
        <v>Rec. Humanos-003</v>
      </c>
      <c r="Y1031" s="39">
        <f t="shared" ca="1" si="1312"/>
        <v>5</v>
      </c>
      <c r="Z1031" s="1"/>
      <c r="AA1031" s="133">
        <f>IF($J1031=$G$2,ROUND(IF(ISNUMBER(S1031),S1031,IF(LEFT(S1031,2)="DI",HLOOKUP(S1031,DADOS!$T$29:$X$30,2,FALSE),0)),4),"")</f>
        <v>0.25</v>
      </c>
      <c r="AB1031" s="2"/>
    </row>
    <row r="1032" spans="1:28">
      <c r="A1032" t="str">
        <f t="shared" si="1297"/>
        <v>S</v>
      </c>
      <c r="B1032">
        <f t="shared" si="1298"/>
        <v>0</v>
      </c>
      <c r="C1032">
        <f t="shared" ca="1" si="1299"/>
        <v>12</v>
      </c>
      <c r="D1032">
        <f t="shared" ca="1" si="1300"/>
        <v>1</v>
      </c>
      <c r="E1032">
        <f t="shared" ca="1" si="1301"/>
        <v>0</v>
      </c>
      <c r="F1032">
        <f t="shared" ca="1" si="1302"/>
        <v>0</v>
      </c>
      <c r="G1032">
        <f t="shared" ca="1" si="1303"/>
        <v>4</v>
      </c>
      <c r="H1032">
        <f ca="1">IF(OR($A1032="S",$A1032=0),0,MATCH(0,OFFSET($B1032,1,$A1032,ROW($A$1504)-ROW($A1032)),0))</f>
        <v>0</v>
      </c>
      <c r="I1032">
        <f ca="1">IF(OR($A1032="S",$A1032=0),0,MATCH(OFFSET($B1032,0,$A1032)+1,OFFSET($B1032,1,$A1032,ROW($A$1504)-ROW($A1032)),0))</f>
        <v>0</v>
      </c>
      <c r="J1032" s="132" t="s">
        <v>29</v>
      </c>
      <c r="K1032" s="121" t="str">
        <f t="shared" ca="1" si="1304"/>
        <v>12.1.4.</v>
      </c>
      <c r="L1032" s="137" t="str">
        <f t="shared" ca="1" si="1305"/>
        <v>SINE</v>
      </c>
      <c r="M1032" s="122" t="s">
        <v>78</v>
      </c>
      <c r="N1032" s="139" t="s">
        <v>153</v>
      </c>
      <c r="O1032" s="137" t="str">
        <f t="shared" ca="1" si="1306"/>
        <v>Estagiários</v>
      </c>
      <c r="P1032" s="138" t="str">
        <f t="shared" ca="1" si="1307"/>
        <v>Horas</v>
      </c>
      <c r="Q1032" s="134">
        <v>28</v>
      </c>
      <c r="R1032" s="124">
        <f t="shared" ca="1" si="1308"/>
        <v>9.7899999999999991</v>
      </c>
      <c r="S1032" s="136" t="s">
        <v>62</v>
      </c>
      <c r="T1032" s="123">
        <f t="shared" ca="1" si="1309"/>
        <v>12.24</v>
      </c>
      <c r="U1032" s="126">
        <f t="shared" ca="1" si="1310"/>
        <v>342.72</v>
      </c>
      <c r="V1032" s="1"/>
      <c r="W1032" s="39" t="str">
        <f ca="1">IF(OR($A1032=0,$A1032="S",$A1032&gt;CFF!$A$9),"",MAX(W$11:OFFSET(W1032,-1,0))+1)</f>
        <v/>
      </c>
      <c r="X1032" s="4" t="str">
        <f t="shared" si="1311"/>
        <v>Rec. Humanos-004</v>
      </c>
      <c r="Y1032" s="39">
        <f t="shared" ca="1" si="1312"/>
        <v>6</v>
      </c>
      <c r="Z1032" s="1"/>
      <c r="AA1032" s="133">
        <f>IF($J1032=$G$2,ROUND(IF(ISNUMBER(S1032),S1032,IF(LEFT(S1032,2)="DI",HLOOKUP(S1032,DADOS!$T$29:$X$30,2,FALSE),0)),4),"")</f>
        <v>0.25</v>
      </c>
      <c r="AB1032" s="2"/>
    </row>
    <row r="1033" spans="1:28">
      <c r="A1033" t="str">
        <f t="shared" si="1297"/>
        <v>S</v>
      </c>
      <c r="B1033">
        <f t="shared" si="1298"/>
        <v>0</v>
      </c>
      <c r="C1033">
        <f t="shared" ca="1" si="1299"/>
        <v>12</v>
      </c>
      <c r="D1033">
        <f t="shared" ca="1" si="1300"/>
        <v>1</v>
      </c>
      <c r="E1033">
        <f t="shared" ca="1" si="1301"/>
        <v>0</v>
      </c>
      <c r="F1033">
        <f t="shared" ca="1" si="1302"/>
        <v>0</v>
      </c>
      <c r="G1033">
        <f t="shared" ca="1" si="1303"/>
        <v>5</v>
      </c>
      <c r="H1033">
        <f ca="1">IF(OR($A1033="S",$A1033=0),0,MATCH(0,OFFSET($B1033,1,$A1033,ROW($A$1504)-ROW($A1033)),0))</f>
        <v>0</v>
      </c>
      <c r="I1033">
        <f ca="1">IF(OR($A1033="S",$A1033=0),0,MATCH(OFFSET($B1033,0,$A1033)+1,OFFSET($B1033,1,$A1033,ROW($A$1504)-ROW($A1033)),0))</f>
        <v>0</v>
      </c>
      <c r="J1033" s="132" t="s">
        <v>29</v>
      </c>
      <c r="K1033" s="121" t="str">
        <f t="shared" ca="1" si="1304"/>
        <v>12.1.5.</v>
      </c>
      <c r="L1033" s="137" t="str">
        <f t="shared" ca="1" si="1305"/>
        <v>Cotação</v>
      </c>
      <c r="M1033" s="122" t="s">
        <v>80</v>
      </c>
      <c r="N1033" s="139" t="s">
        <v>149</v>
      </c>
      <c r="O1033" s="137" t="str">
        <f t="shared" ca="1" si="1306"/>
        <v>Fotocópias</v>
      </c>
      <c r="P1033" s="138" t="str">
        <f t="shared" ca="1" si="1307"/>
        <v>Unidade</v>
      </c>
      <c r="Q1033" s="134">
        <v>300</v>
      </c>
      <c r="R1033" s="124">
        <f t="shared" ca="1" si="1308"/>
        <v>0.3</v>
      </c>
      <c r="S1033" s="136" t="s">
        <v>62</v>
      </c>
      <c r="T1033" s="123">
        <f t="shared" ca="1" si="1309"/>
        <v>0.38</v>
      </c>
      <c r="U1033" s="126">
        <f t="shared" ca="1" si="1310"/>
        <v>114</v>
      </c>
      <c r="V1033" s="1"/>
      <c r="W1033" s="39" t="str">
        <f ca="1">IF(OR($A1033=0,$A1033="S",$A1033&gt;CFF!$A$9),"",MAX(W$11:OFFSET(W1033,-1,0))+1)</f>
        <v/>
      </c>
      <c r="X1033" s="4" t="str">
        <f t="shared" si="1311"/>
        <v>Serv. Terc.-001</v>
      </c>
      <c r="Y1033" s="39">
        <f t="shared" ca="1" si="1312"/>
        <v>81</v>
      </c>
      <c r="Z1033" s="1"/>
      <c r="AA1033" s="133">
        <f>IF($J1033=$G$2,ROUND(IF(ISNUMBER(S1033),S1033,IF(LEFT(S1033,2)="DI",HLOOKUP(S1033,DADOS!$T$29:$X$30,2,FALSE),0)),4),"")</f>
        <v>0.25</v>
      </c>
      <c r="AB1033" s="2"/>
    </row>
    <row r="1034" spans="1:28">
      <c r="A1034" t="str">
        <f>CHOOSE(1+LOG(1+2*(J1034=$C$2)+4*(J1034=$D$2)+8*(J1034=$E$2)+16*(J1034=$F$2)+32*(J1034=$G$2),2),0,1,2,3,4,"S")</f>
        <v>S</v>
      </c>
      <c r="B1034">
        <f>IF(OR(A1034="S",A1034=0),0,IF(ISERROR(I1034),H1034,SMALL(H1034:I1034,1)))</f>
        <v>0</v>
      </c>
      <c r="C1034">
        <f ca="1">IF($A1034=1,OFFSET(C1034,-1,0)+1,OFFSET(C1034,-1,0))</f>
        <v>12</v>
      </c>
      <c r="D1034">
        <f ca="1">IF($A1034=1,0,IF($A1034=2,OFFSET(D1034,-1,0)+1,OFFSET(D1034,-1,0)))</f>
        <v>1</v>
      </c>
      <c r="E1034">
        <f ca="1">IF(AND($A1034&lt;=2,$A1034&lt;&gt;0),0,IF($A1034=3,OFFSET(E1034,-1,0)+1,OFFSET(E1034,-1,0)))</f>
        <v>0</v>
      </c>
      <c r="F1034">
        <f ca="1">IF(AND($A1034&lt;=3,$A1034&lt;&gt;0),0,IF($A1034=4,OFFSET(F1034,-1,0)+1,OFFSET(F1034,-1,0)))</f>
        <v>0</v>
      </c>
      <c r="G1034">
        <f ca="1">IF(AND($A1034&lt;=4,$A1034&lt;&gt;0),0,IF($A1034="S",OFFSET(G1034,-1,0)+1,OFFSET(G1034,-1,0)))</f>
        <v>6</v>
      </c>
      <c r="H1034">
        <f ca="1">IF(OR($A1034="S",$A1034=0),0,MATCH(0,OFFSET($B1034,1,$A1034,ROW($A$1504)-ROW($A1034)),0))</f>
        <v>0</v>
      </c>
      <c r="I1034">
        <f ca="1">IF(OR($A1034="S",$A1034=0),0,MATCH(OFFSET($B1034,0,$A1034)+1,OFFSET($B1034,1,$A1034,ROW($A$1504)-ROW($A1034)),0))</f>
        <v>0</v>
      </c>
      <c r="J1034" s="132" t="s">
        <v>29</v>
      </c>
      <c r="K1034" s="121" t="str">
        <f ca="1">IF($A1034=0,"-",CONCATENATE(C1034&amp;".",IF(AND($A$5&gt;=2,$A1034&gt;=2),D1034&amp;".",""),IF(AND($A$5&gt;=3,$A1034&gt;=3),E1034&amp;".",""),IF(AND($A$5&gt;=4,$A1034&gt;=4),F1034&amp;".",""),IF($A1034="S",G1034&amp;".","")))</f>
        <v>12.1.6.</v>
      </c>
      <c r="L1034" s="137" t="str">
        <f ca="1">IF(NOT(ISERROR($Y1034)),IF($Y1034&lt;&gt;FALSE,INDEX(Banco,$Y1034,4),""),"")</f>
        <v>Cotação</v>
      </c>
      <c r="M1034" s="122" t="s">
        <v>80</v>
      </c>
      <c r="N1034" s="139" t="s">
        <v>256</v>
      </c>
      <c r="O1034" s="137" t="str">
        <f ca="1">IF(NOT(ISERROR($Y1034)),IF($Y1034&lt;&gt;FALSE,INDEX(Banco,$Y1034,5),""),"")</f>
        <v>Instrutor/Monitor (Educação Fisíca)</v>
      </c>
      <c r="P1034" s="138" t="str">
        <f ca="1">IF(NOT(ISERROR($Y1034)),IF($Y1034&lt;&gt;FALSE,INDEX(Banco,$Y1034,6),""),"")</f>
        <v>Horas</v>
      </c>
      <c r="Q1034" s="134">
        <v>3</v>
      </c>
      <c r="R1034" s="124">
        <f ca="1">IF(NOT(ISERROR($Y1034)),IF($Y1034&lt;&gt;FALSE,INDEX(Banco,$Y1034,7),0),0)</f>
        <v>100</v>
      </c>
      <c r="S1034" s="136" t="s">
        <v>62</v>
      </c>
      <c r="T1034" s="123">
        <f ca="1">IF($J1034=$G$2,ROUND(ROUND($R1034,2)*IF($R$9="Preço Unitário (R$)",1,1+$AA1034),2),0)</f>
        <v>125</v>
      </c>
      <c r="U1034" s="126">
        <f ca="1">IF($A1034="S",VTOTAL1,IF($A1034=0,0,ROUND(SomaAgrup,2)))</f>
        <v>375</v>
      </c>
      <c r="V1034" s="1"/>
      <c r="W1034" s="39" t="str">
        <f ca="1">IF(OR($A1034=0,$A1034="S",$A1034&gt;CFF!$A$9),"",MAX(W$11:OFFSET(W1034,-1,0))+1)</f>
        <v/>
      </c>
      <c r="X1034" s="4" t="str">
        <f>IF(AND($J1034=$G$2,$N1034&lt;&gt;"",$M1034&lt;&gt;""),CONCATENATE($M1034,"-",$N1034))</f>
        <v>Serv. Terc.-017</v>
      </c>
      <c r="Y1034" s="39">
        <f ca="1">IF(X1034&lt;&gt;FALSE,MATCH(X1034,OFFSET(Banco,0,0,,1),0))</f>
        <v>97</v>
      </c>
      <c r="Z1034" s="1"/>
      <c r="AA1034" s="133">
        <f>IF($J1034=$G$2,ROUND(IF(ISNUMBER(S1034),S1034,IF(LEFT(S1034,2)="DI",HLOOKUP(S1034,DADOS!$T$29:$X$30,2,FALSE),0)),4),"")</f>
        <v>0.25</v>
      </c>
      <c r="AB1034" s="2"/>
    </row>
    <row r="1035" spans="1:28">
      <c r="A1035" t="str">
        <f t="shared" si="1297"/>
        <v>S</v>
      </c>
      <c r="B1035">
        <f t="shared" si="1298"/>
        <v>0</v>
      </c>
      <c r="C1035">
        <f t="shared" ca="1" si="1299"/>
        <v>12</v>
      </c>
      <c r="D1035">
        <f t="shared" ca="1" si="1300"/>
        <v>1</v>
      </c>
      <c r="E1035">
        <f t="shared" ca="1" si="1301"/>
        <v>0</v>
      </c>
      <c r="F1035">
        <f t="shared" ca="1" si="1302"/>
        <v>0</v>
      </c>
      <c r="G1035">
        <f t="shared" ca="1" si="1303"/>
        <v>7</v>
      </c>
      <c r="H1035">
        <f ca="1">IF(OR($A1035="S",$A1035=0),0,MATCH(0,OFFSET($B1035,1,$A1035,ROW($A$1504)-ROW($A1035)),0))</f>
        <v>0</v>
      </c>
      <c r="I1035">
        <f ca="1">IF(OR($A1035="S",$A1035=0),0,MATCH(OFFSET($B1035,0,$A1035)+1,OFFSET($B1035,1,$A1035,ROW($A$1504)-ROW($A1035)),0))</f>
        <v>0</v>
      </c>
      <c r="J1035" s="132" t="s">
        <v>29</v>
      </c>
      <c r="K1035" s="121" t="str">
        <f t="shared" ca="1" si="1304"/>
        <v>12.1.7.</v>
      </c>
      <c r="L1035" s="137" t="str">
        <f t="shared" ca="1" si="1305"/>
        <v>Cotação</v>
      </c>
      <c r="M1035" s="122" t="s">
        <v>80</v>
      </c>
      <c r="N1035" s="139" t="s">
        <v>152</v>
      </c>
      <c r="O1035" s="137" t="str">
        <f t="shared" ca="1" si="1306"/>
        <v>Carro de som com gravação de vinheta</v>
      </c>
      <c r="P1035" s="138" t="str">
        <f t="shared" ca="1" si="1307"/>
        <v>Horas</v>
      </c>
      <c r="Q1035" s="134">
        <v>3</v>
      </c>
      <c r="R1035" s="124">
        <f t="shared" ca="1" si="1308"/>
        <v>200</v>
      </c>
      <c r="S1035" s="136" t="s">
        <v>62</v>
      </c>
      <c r="T1035" s="123">
        <f t="shared" ca="1" si="1309"/>
        <v>250</v>
      </c>
      <c r="U1035" s="126">
        <f t="shared" ca="1" si="1310"/>
        <v>750</v>
      </c>
      <c r="V1035" s="1"/>
      <c r="W1035" s="39" t="str">
        <f ca="1">IF(OR($A1035=0,$A1035="S",$A1035&gt;CFF!$A$9),"",MAX(W$11:OFFSET(W1035,-1,0))+1)</f>
        <v/>
      </c>
      <c r="X1035" s="4" t="str">
        <f t="shared" si="1311"/>
        <v>Serv. Terc.-002</v>
      </c>
      <c r="Y1035" s="39">
        <f t="shared" ca="1" si="1312"/>
        <v>82</v>
      </c>
      <c r="Z1035" s="1"/>
      <c r="AA1035" s="133">
        <f>IF($J1035=$G$2,ROUND(IF(ISNUMBER(S1035),S1035,IF(LEFT(S1035,2)="DI",HLOOKUP(S1035,DADOS!$T$29:$X$30,2,FALSE),0)),4),"")</f>
        <v>0.25</v>
      </c>
      <c r="AB1035" s="2"/>
    </row>
    <row r="1036" spans="1:28">
      <c r="A1036" t="str">
        <f t="shared" si="1297"/>
        <v>S</v>
      </c>
      <c r="B1036">
        <f t="shared" si="1298"/>
        <v>0</v>
      </c>
      <c r="C1036">
        <f t="shared" ca="1" si="1299"/>
        <v>12</v>
      </c>
      <c r="D1036">
        <f t="shared" ca="1" si="1300"/>
        <v>1</v>
      </c>
      <c r="E1036">
        <f t="shared" ca="1" si="1301"/>
        <v>0</v>
      </c>
      <c r="F1036">
        <f t="shared" ca="1" si="1302"/>
        <v>0</v>
      </c>
      <c r="G1036">
        <f t="shared" ca="1" si="1303"/>
        <v>8</v>
      </c>
      <c r="H1036">
        <f ca="1">IF(OR($A1036="S",$A1036=0),0,MATCH(0,OFFSET($B1036,1,$A1036,ROW($A$1504)-ROW($A1036)),0))</f>
        <v>0</v>
      </c>
      <c r="I1036">
        <f ca="1">IF(OR($A1036="S",$A1036=0),0,MATCH(OFFSET($B1036,0,$A1036)+1,OFFSET($B1036,1,$A1036,ROW($A$1504)-ROW($A1036)),0))</f>
        <v>0</v>
      </c>
      <c r="J1036" s="132" t="s">
        <v>29</v>
      </c>
      <c r="K1036" s="121" t="str">
        <f t="shared" ca="1" si="1304"/>
        <v>12.1.8.</v>
      </c>
      <c r="L1036" s="137" t="str">
        <f t="shared" ca="1" si="1305"/>
        <v>Cotação</v>
      </c>
      <c r="M1036" s="122" t="s">
        <v>80</v>
      </c>
      <c r="N1036" s="139" t="s">
        <v>151</v>
      </c>
      <c r="O1036" s="137" t="str">
        <f t="shared" ca="1" si="1306"/>
        <v>Locação de mesas</v>
      </c>
      <c r="P1036" s="138" t="str">
        <f t="shared" ca="1" si="1307"/>
        <v>Unidade</v>
      </c>
      <c r="Q1036" s="134">
        <v>12</v>
      </c>
      <c r="R1036" s="124">
        <f t="shared" ca="1" si="1308"/>
        <v>3</v>
      </c>
      <c r="S1036" s="136" t="s">
        <v>62</v>
      </c>
      <c r="T1036" s="123">
        <f t="shared" ca="1" si="1309"/>
        <v>3.75</v>
      </c>
      <c r="U1036" s="126">
        <f t="shared" ca="1" si="1310"/>
        <v>45</v>
      </c>
      <c r="V1036" s="1"/>
      <c r="W1036" s="39" t="str">
        <f ca="1">IF(OR($A1036=0,$A1036="S",$A1036&gt;CFF!$A$9),"",MAX(W$11:OFFSET(W1036,-1,0))+1)</f>
        <v/>
      </c>
      <c r="X1036" s="4" t="str">
        <f t="shared" si="1311"/>
        <v>Serv. Terc.-003</v>
      </c>
      <c r="Y1036" s="39">
        <f t="shared" ca="1" si="1312"/>
        <v>83</v>
      </c>
      <c r="Z1036" s="1"/>
      <c r="AA1036" s="133">
        <f>IF($J1036=$G$2,ROUND(IF(ISNUMBER(S1036),S1036,IF(LEFT(S1036,2)="DI",HLOOKUP(S1036,DADOS!$T$29:$X$30,2,FALSE),0)),4),"")</f>
        <v>0.25</v>
      </c>
      <c r="AB1036" s="2"/>
    </row>
    <row r="1037" spans="1:28">
      <c r="A1037" t="str">
        <f t="shared" si="1297"/>
        <v>S</v>
      </c>
      <c r="B1037">
        <f t="shared" si="1298"/>
        <v>0</v>
      </c>
      <c r="C1037">
        <f t="shared" ca="1" si="1299"/>
        <v>12</v>
      </c>
      <c r="D1037">
        <f t="shared" ca="1" si="1300"/>
        <v>1</v>
      </c>
      <c r="E1037">
        <f t="shared" ca="1" si="1301"/>
        <v>0</v>
      </c>
      <c r="F1037">
        <f t="shared" ca="1" si="1302"/>
        <v>0</v>
      </c>
      <c r="G1037">
        <f t="shared" ca="1" si="1303"/>
        <v>9</v>
      </c>
      <c r="H1037">
        <f ca="1">IF(OR($A1037="S",$A1037=0),0,MATCH(0,OFFSET($B1037,1,$A1037,ROW($A$1504)-ROW($A1037)),0))</f>
        <v>0</v>
      </c>
      <c r="I1037">
        <f ca="1">IF(OR($A1037="S",$A1037=0),0,MATCH(OFFSET($B1037,0,$A1037)+1,OFFSET($B1037,1,$A1037,ROW($A$1504)-ROW($A1037)),0))</f>
        <v>0</v>
      </c>
      <c r="J1037" s="132" t="s">
        <v>29</v>
      </c>
      <c r="K1037" s="121" t="str">
        <f t="shared" ca="1" si="1304"/>
        <v>12.1.9.</v>
      </c>
      <c r="L1037" s="137" t="str">
        <f t="shared" ca="1" si="1305"/>
        <v>Cotação</v>
      </c>
      <c r="M1037" s="122" t="s">
        <v>80</v>
      </c>
      <c r="N1037" s="139" t="s">
        <v>153</v>
      </c>
      <c r="O1037" s="137" t="str">
        <f t="shared" ca="1" si="1306"/>
        <v>Locação de cadeiras</v>
      </c>
      <c r="P1037" s="138" t="str">
        <f t="shared" ca="1" si="1307"/>
        <v>Unidade</v>
      </c>
      <c r="Q1037" s="134">
        <v>200</v>
      </c>
      <c r="R1037" s="124">
        <f t="shared" ca="1" si="1308"/>
        <v>2</v>
      </c>
      <c r="S1037" s="136" t="s">
        <v>62</v>
      </c>
      <c r="T1037" s="123">
        <f t="shared" ca="1" si="1309"/>
        <v>2.5</v>
      </c>
      <c r="U1037" s="126">
        <f t="shared" ca="1" si="1310"/>
        <v>500</v>
      </c>
      <c r="V1037" s="1"/>
      <c r="W1037" s="39" t="str">
        <f ca="1">IF(OR($A1037=0,$A1037="S",$A1037&gt;CFF!$A$9),"",MAX(W$11:OFFSET(W1037,-1,0))+1)</f>
        <v/>
      </c>
      <c r="X1037" s="4" t="str">
        <f t="shared" si="1311"/>
        <v>Serv. Terc.-004</v>
      </c>
      <c r="Y1037" s="39">
        <f t="shared" ca="1" si="1312"/>
        <v>84</v>
      </c>
      <c r="Z1037" s="1"/>
      <c r="AA1037" s="133">
        <f>IF($J1037=$G$2,ROUND(IF(ISNUMBER(S1037),S1037,IF(LEFT(S1037,2)="DI",HLOOKUP(S1037,DADOS!$T$29:$X$30,2,FALSE),0)),4),"")</f>
        <v>0.25</v>
      </c>
      <c r="AB1037" s="2"/>
    </row>
    <row r="1038" spans="1:28">
      <c r="A1038" t="str">
        <f t="shared" si="1297"/>
        <v>S</v>
      </c>
      <c r="B1038">
        <f t="shared" si="1298"/>
        <v>0</v>
      </c>
      <c r="C1038">
        <f t="shared" ca="1" si="1299"/>
        <v>12</v>
      </c>
      <c r="D1038">
        <f t="shared" ca="1" si="1300"/>
        <v>1</v>
      </c>
      <c r="E1038">
        <f t="shared" ca="1" si="1301"/>
        <v>0</v>
      </c>
      <c r="F1038">
        <f t="shared" ca="1" si="1302"/>
        <v>0</v>
      </c>
      <c r="G1038">
        <f t="shared" ca="1" si="1303"/>
        <v>10</v>
      </c>
      <c r="H1038">
        <f ca="1">IF(OR($A1038="S",$A1038=0),0,MATCH(0,OFFSET($B1038,1,$A1038,ROW($A$1504)-ROW($A1038)),0))</f>
        <v>0</v>
      </c>
      <c r="I1038">
        <f ca="1">IF(OR($A1038="S",$A1038=0),0,MATCH(OFFSET($B1038,0,$A1038)+1,OFFSET($B1038,1,$A1038,ROW($A$1504)-ROW($A1038)),0))</f>
        <v>0</v>
      </c>
      <c r="J1038" s="132" t="s">
        <v>29</v>
      </c>
      <c r="K1038" s="121" t="str">
        <f t="shared" ca="1" si="1304"/>
        <v>12.1.10.</v>
      </c>
      <c r="L1038" s="137" t="str">
        <f t="shared" ca="1" si="1305"/>
        <v>Cotação</v>
      </c>
      <c r="M1038" s="122" t="s">
        <v>80</v>
      </c>
      <c r="N1038" s="139" t="s">
        <v>154</v>
      </c>
      <c r="O1038" s="137" t="str">
        <f t="shared" ca="1" si="1306"/>
        <v>Locação de caixa térmica</v>
      </c>
      <c r="P1038" s="138" t="str">
        <f t="shared" ca="1" si="1307"/>
        <v>Unidade</v>
      </c>
      <c r="Q1038" s="134">
        <v>1</v>
      </c>
      <c r="R1038" s="124">
        <f t="shared" ca="1" si="1308"/>
        <v>40</v>
      </c>
      <c r="S1038" s="136" t="s">
        <v>62</v>
      </c>
      <c r="T1038" s="123">
        <f t="shared" ca="1" si="1309"/>
        <v>50</v>
      </c>
      <c r="U1038" s="126">
        <f t="shared" ca="1" si="1310"/>
        <v>50</v>
      </c>
      <c r="V1038" s="1"/>
      <c r="W1038" s="39" t="str">
        <f ca="1">IF(OR($A1038=0,$A1038="S",$A1038&gt;CFF!$A$9),"",MAX(W$11:OFFSET(W1038,-1,0))+1)</f>
        <v/>
      </c>
      <c r="X1038" s="4" t="str">
        <f t="shared" si="1311"/>
        <v>Serv. Terc.-005</v>
      </c>
      <c r="Y1038" s="39">
        <f t="shared" ca="1" si="1312"/>
        <v>85</v>
      </c>
      <c r="Z1038" s="1"/>
      <c r="AA1038" s="133">
        <f>IF($J1038=$G$2,ROUND(IF(ISNUMBER(S1038),S1038,IF(LEFT(S1038,2)="DI",HLOOKUP(S1038,DADOS!$T$29:$X$30,2,FALSE),0)),4),"")</f>
        <v>0.25</v>
      </c>
      <c r="AB1038" s="2"/>
    </row>
    <row r="1039" spans="1:28">
      <c r="A1039" t="str">
        <f t="shared" si="1297"/>
        <v>S</v>
      </c>
      <c r="B1039">
        <f t="shared" si="1298"/>
        <v>0</v>
      </c>
      <c r="C1039">
        <f t="shared" ca="1" si="1299"/>
        <v>12</v>
      </c>
      <c r="D1039">
        <f t="shared" ca="1" si="1300"/>
        <v>1</v>
      </c>
      <c r="E1039">
        <f t="shared" ca="1" si="1301"/>
        <v>0</v>
      </c>
      <c r="F1039">
        <f t="shared" ca="1" si="1302"/>
        <v>0</v>
      </c>
      <c r="G1039">
        <f t="shared" ca="1" si="1303"/>
        <v>11</v>
      </c>
      <c r="H1039">
        <f ca="1">IF(OR($A1039="S",$A1039=0),0,MATCH(0,OFFSET($B1039,1,$A1039,ROW($A$1504)-ROW($A1039)),0))</f>
        <v>0</v>
      </c>
      <c r="I1039">
        <f ca="1">IF(OR($A1039="S",$A1039=0),0,MATCH(OFFSET($B1039,0,$A1039)+1,OFFSET($B1039,1,$A1039,ROW($A$1504)-ROW($A1039)),0))</f>
        <v>0</v>
      </c>
      <c r="J1039" s="132" t="s">
        <v>29</v>
      </c>
      <c r="K1039" s="121" t="str">
        <f t="shared" ca="1" si="1304"/>
        <v>12.1.11.</v>
      </c>
      <c r="L1039" s="137" t="str">
        <f t="shared" ca="1" si="1305"/>
        <v>Cotação</v>
      </c>
      <c r="M1039" s="122" t="s">
        <v>80</v>
      </c>
      <c r="N1039" s="139" t="s">
        <v>155</v>
      </c>
      <c r="O1039" s="137" t="str">
        <f t="shared" ca="1" si="1306"/>
        <v>Locação de tendas</v>
      </c>
      <c r="P1039" s="138" t="str">
        <f t="shared" ca="1" si="1307"/>
        <v>Unidade</v>
      </c>
      <c r="Q1039" s="134">
        <v>4</v>
      </c>
      <c r="R1039" s="124">
        <f t="shared" ca="1" si="1308"/>
        <v>250</v>
      </c>
      <c r="S1039" s="136" t="s">
        <v>62</v>
      </c>
      <c r="T1039" s="123">
        <f t="shared" ca="1" si="1309"/>
        <v>312.5</v>
      </c>
      <c r="U1039" s="126">
        <f t="shared" ca="1" si="1310"/>
        <v>1250</v>
      </c>
      <c r="V1039" s="1"/>
      <c r="W1039" s="39" t="str">
        <f ca="1">IF(OR($A1039=0,$A1039="S",$A1039&gt;CFF!$A$9),"",MAX(W$11:OFFSET(W1039,-1,0))+1)</f>
        <v/>
      </c>
      <c r="X1039" s="4" t="str">
        <f t="shared" si="1311"/>
        <v>Serv. Terc.-006</v>
      </c>
      <c r="Y1039" s="39">
        <f t="shared" ca="1" si="1312"/>
        <v>86</v>
      </c>
      <c r="Z1039" s="1"/>
      <c r="AA1039" s="133">
        <f>IF($J1039=$G$2,ROUND(IF(ISNUMBER(S1039),S1039,IF(LEFT(S1039,2)="DI",HLOOKUP(S1039,DADOS!$T$29:$X$30,2,FALSE),0)),4),"")</f>
        <v>0.25</v>
      </c>
      <c r="AB1039" s="2"/>
    </row>
    <row r="1040" spans="1:28">
      <c r="A1040" t="str">
        <f>CHOOSE(1+LOG(1+2*(J1040=$C$2)+4*(J1040=$D$2)+8*(J1040=$E$2)+16*(J1040=$F$2)+32*(J1040=$G$2),2),0,1,2,3,4,"S")</f>
        <v>S</v>
      </c>
      <c r="B1040">
        <f>IF(OR(A1040="S",A1040=0),0,IF(ISERROR(I1040),H1040,SMALL(H1040:I1040,1)))</f>
        <v>0</v>
      </c>
      <c r="C1040">
        <f ca="1">IF($A1040=1,OFFSET(C1040,-1,0)+1,OFFSET(C1040,-1,0))</f>
        <v>12</v>
      </c>
      <c r="D1040">
        <f ca="1">IF($A1040=1,0,IF($A1040=2,OFFSET(D1040,-1,0)+1,OFFSET(D1040,-1,0)))</f>
        <v>1</v>
      </c>
      <c r="E1040">
        <f ca="1">IF(AND($A1040&lt;=2,$A1040&lt;&gt;0),0,IF($A1040=3,OFFSET(E1040,-1,0)+1,OFFSET(E1040,-1,0)))</f>
        <v>0</v>
      </c>
      <c r="F1040">
        <f ca="1">IF(AND($A1040&lt;=3,$A1040&lt;&gt;0),0,IF($A1040=4,OFFSET(F1040,-1,0)+1,OFFSET(F1040,-1,0)))</f>
        <v>0</v>
      </c>
      <c r="G1040">
        <f ca="1">IF(AND($A1040&lt;=4,$A1040&lt;&gt;0),0,IF($A1040="S",OFFSET(G1040,-1,0)+1,OFFSET(G1040,-1,0)))</f>
        <v>12</v>
      </c>
      <c r="H1040">
        <f ca="1">IF(OR($A1040="S",$A1040=0),0,MATCH(0,OFFSET($B1040,1,$A1040,ROW($A$1504)-ROW($A1040)),0))</f>
        <v>0</v>
      </c>
      <c r="I1040">
        <f ca="1">IF(OR($A1040="S",$A1040=0),0,MATCH(OFFSET($B1040,0,$A1040)+1,OFFSET($B1040,1,$A1040,ROW($A$1504)-ROW($A1040)),0))</f>
        <v>0</v>
      </c>
      <c r="J1040" s="132" t="s">
        <v>29</v>
      </c>
      <c r="K1040" s="121" t="str">
        <f ca="1">IF($A1040=0,"-",CONCATENATE(C1040&amp;".",IF(AND($A$5&gt;=2,$A1040&gt;=2),D1040&amp;".",""),IF(AND($A$5&gt;=3,$A1040&gt;=3),E1040&amp;".",""),IF(AND($A$5&gt;=4,$A1040&gt;=4),F1040&amp;".",""),IF($A1040="S",G1040&amp;".","")))</f>
        <v>12.1.12.</v>
      </c>
      <c r="L1040" s="137" t="str">
        <f ca="1">IF(NOT(ISERROR($Y1040)),IF($Y1040&lt;&gt;FALSE,INDEX(Banco,$Y1040,4),""),"")</f>
        <v>Cotação</v>
      </c>
      <c r="M1040" s="122" t="s">
        <v>80</v>
      </c>
      <c r="N1040" s="139" t="s">
        <v>161</v>
      </c>
      <c r="O1040" s="137" t="str">
        <f ca="1">IF(NOT(ISERROR($Y1040)),IF($Y1040&lt;&gt;FALSE,INDEX(Banco,$Y1040,5),""),"")</f>
        <v>Água (garrafão de 20 litros)</v>
      </c>
      <c r="P1040" s="138" t="str">
        <f ca="1">IF(NOT(ISERROR($Y1040)),IF($Y1040&lt;&gt;FALSE,INDEX(Banco,$Y1040,6),""),"")</f>
        <v>Unidade</v>
      </c>
      <c r="Q1040" s="134">
        <v>2</v>
      </c>
      <c r="R1040" s="124">
        <f ca="1">IF(NOT(ISERROR($Y1040)),IF($Y1040&lt;&gt;FALSE,INDEX(Banco,$Y1040,7),0),0)</f>
        <v>10</v>
      </c>
      <c r="S1040" s="136" t="s">
        <v>62</v>
      </c>
      <c r="T1040" s="123">
        <f ca="1">IF($J1040=$G$2,ROUND(ROUND($R1040,2)*IF($R$9="Preço Unitário (R$)",1,1+$AA1040),2),0)</f>
        <v>12.5</v>
      </c>
      <c r="U1040" s="126">
        <f ca="1">IF($A1040="S",VTOTAL1,IF($A1040=0,0,ROUND(SomaAgrup,2)))</f>
        <v>25</v>
      </c>
      <c r="V1040" s="1"/>
      <c r="W1040" s="39" t="str">
        <f ca="1">IF(OR($A1040=0,$A1040="S",$A1040&gt;CFF!$A$9),"",MAX(W$11:OFFSET(W1040,-1,0))+1)</f>
        <v/>
      </c>
      <c r="X1040" s="4" t="str">
        <f>IF(AND($J1040=$G$2,$N1040&lt;&gt;"",$M1040&lt;&gt;""),CONCATENATE($M1040,"-",$N1040))</f>
        <v>Serv. Terc.-012</v>
      </c>
      <c r="Y1040" s="39">
        <f ca="1">IF(X1040&lt;&gt;FALSE,MATCH(X1040,OFFSET(Banco,0,0,,1),0))</f>
        <v>92</v>
      </c>
      <c r="Z1040" s="1"/>
      <c r="AA1040" s="133">
        <f>IF($J1040=$G$2,ROUND(IF(ISNUMBER(S1040),S1040,IF(LEFT(S1040,2)="DI",HLOOKUP(S1040,DADOS!$T$29:$X$30,2,FALSE),0)),4),"")</f>
        <v>0.25</v>
      </c>
      <c r="AB1040" s="2"/>
    </row>
    <row r="1041" spans="1:28">
      <c r="A1041" t="str">
        <f>CHOOSE(1+LOG(1+2*(J1041=$C$2)+4*(J1041=$D$2)+8*(J1041=$E$2)+16*(J1041=$F$2)+32*(J1041=$G$2),2),0,1,2,3,4,"S")</f>
        <v>S</v>
      </c>
      <c r="B1041">
        <f>IF(OR(A1041="S",A1041=0),0,IF(ISERROR(I1041),H1041,SMALL(H1041:I1041,1)))</f>
        <v>0</v>
      </c>
      <c r="C1041">
        <f ca="1">IF($A1041=1,OFFSET(C1041,-1,0)+1,OFFSET(C1041,-1,0))</f>
        <v>12</v>
      </c>
      <c r="D1041">
        <f ca="1">IF($A1041=1,0,IF($A1041=2,OFFSET(D1041,-1,0)+1,OFFSET(D1041,-1,0)))</f>
        <v>1</v>
      </c>
      <c r="E1041">
        <f ca="1">IF(AND($A1041&lt;=2,$A1041&lt;&gt;0),0,IF($A1041=3,OFFSET(E1041,-1,0)+1,OFFSET(E1041,-1,0)))</f>
        <v>0</v>
      </c>
      <c r="F1041">
        <f ca="1">IF(AND($A1041&lt;=3,$A1041&lt;&gt;0),0,IF($A1041=4,OFFSET(F1041,-1,0)+1,OFFSET(F1041,-1,0)))</f>
        <v>0</v>
      </c>
      <c r="G1041">
        <f ca="1">IF(AND($A1041&lt;=4,$A1041&lt;&gt;0),0,IF($A1041="S",OFFSET(G1041,-1,0)+1,OFFSET(G1041,-1,0)))</f>
        <v>13</v>
      </c>
      <c r="H1041">
        <f ca="1">IF(OR($A1041="S",$A1041=0),0,MATCH(0,OFFSET($B1041,1,$A1041,ROW($A$1504)-ROW($A1041)),0))</f>
        <v>0</v>
      </c>
      <c r="I1041">
        <f ca="1">IF(OR($A1041="S",$A1041=0),0,MATCH(OFFSET($B1041,0,$A1041)+1,OFFSET($B1041,1,$A1041,ROW($A$1504)-ROW($A1041)),0))</f>
        <v>0</v>
      </c>
      <c r="J1041" s="132" t="s">
        <v>29</v>
      </c>
      <c r="K1041" s="121" t="str">
        <f ca="1">IF($A1041=0,"-",CONCATENATE(C1041&amp;".",IF(AND($A$5&gt;=2,$A1041&gt;=2),D1041&amp;".",""),IF(AND($A$5&gt;=3,$A1041&gt;=3),E1041&amp;".",""),IF(AND($A$5&gt;=4,$A1041&gt;=4),F1041&amp;".",""),IF($A1041="S",G1041&amp;".","")))</f>
        <v>12.1.13.</v>
      </c>
      <c r="L1041" s="137" t="str">
        <f ca="1">IF(NOT(ISERROR($Y1041)),IF($Y1041&lt;&gt;FALSE,INDEX(Banco,$Y1041,4),""),"")</f>
        <v xml:space="preserve">Cotação </v>
      </c>
      <c r="M1041" s="122" t="s">
        <v>80</v>
      </c>
      <c r="N1041" s="139" t="s">
        <v>160</v>
      </c>
      <c r="O1041" s="137" t="str">
        <f ca="1">IF(NOT(ISERROR($Y1041)),IF($Y1041&lt;&gt;FALSE,INDEX(Banco,$Y1041,5),""),"")</f>
        <v>Barra de gelo</v>
      </c>
      <c r="P1041" s="138" t="str">
        <f ca="1">IF(NOT(ISERROR($Y1041)),IF($Y1041&lt;&gt;FALSE,INDEX(Banco,$Y1041,6),""),"")</f>
        <v>Unidade</v>
      </c>
      <c r="Q1041" s="134">
        <v>4</v>
      </c>
      <c r="R1041" s="124">
        <f ca="1">IF(NOT(ISERROR($Y1041)),IF($Y1041&lt;&gt;FALSE,INDEX(Banco,$Y1041,7),0),0)</f>
        <v>12</v>
      </c>
      <c r="S1041" s="136" t="s">
        <v>62</v>
      </c>
      <c r="T1041" s="123">
        <f ca="1">IF($J1041=$G$2,ROUND(ROUND($R1041,2)*IF($R$9="Preço Unitário (R$)",1,1+$AA1041),2),0)</f>
        <v>15</v>
      </c>
      <c r="U1041" s="126">
        <f ca="1">IF($A1041="S",VTOTAL1,IF($A1041=0,0,ROUND(SomaAgrup,2)))</f>
        <v>60</v>
      </c>
      <c r="V1041" s="1"/>
      <c r="W1041" s="39" t="str">
        <f ca="1">IF(OR($A1041=0,$A1041="S",$A1041&gt;CFF!$A$9),"",MAX(W$11:OFFSET(W1041,-1,0))+1)</f>
        <v/>
      </c>
      <c r="X1041" s="4" t="str">
        <f>IF(AND($J1041=$G$2,$N1041&lt;&gt;"",$M1041&lt;&gt;""),CONCATENATE($M1041,"-",$N1041))</f>
        <v>Serv. Terc.-011</v>
      </c>
      <c r="Y1041" s="39">
        <f ca="1">IF(X1041&lt;&gt;FALSE,MATCH(X1041,OFFSET(Banco,0,0,,1),0))</f>
        <v>91</v>
      </c>
      <c r="Z1041" s="1"/>
      <c r="AA1041" s="133">
        <f>IF($J1041=$G$2,ROUND(IF(ISNUMBER(S1041),S1041,IF(LEFT(S1041,2)="DI",HLOOKUP(S1041,DADOS!$T$29:$X$30,2,FALSE),0)),4),"")</f>
        <v>0.25</v>
      </c>
      <c r="AB1041" s="2"/>
    </row>
    <row r="1042" spans="1:28">
      <c r="A1042" t="str">
        <f>CHOOSE(1+LOG(1+2*(J1042=$C$2)+4*(J1042=$D$2)+8*(J1042=$E$2)+16*(J1042=$F$2)+32*(J1042=$G$2),2),0,1,2,3,4,"S")</f>
        <v>S</v>
      </c>
      <c r="B1042">
        <f>IF(OR(A1042="S",A1042=0),0,IF(ISERROR(I1042),H1042,SMALL(H1042:I1042,1)))</f>
        <v>0</v>
      </c>
      <c r="C1042">
        <f ca="1">IF($A1042=1,OFFSET(C1042,-1,0)+1,OFFSET(C1042,-1,0))</f>
        <v>12</v>
      </c>
      <c r="D1042">
        <f ca="1">IF($A1042=1,0,IF($A1042=2,OFFSET(D1042,-1,0)+1,OFFSET(D1042,-1,0)))</f>
        <v>1</v>
      </c>
      <c r="E1042">
        <f ca="1">IF(AND($A1042&lt;=2,$A1042&lt;&gt;0),0,IF($A1042=3,OFFSET(E1042,-1,0)+1,OFFSET(E1042,-1,0)))</f>
        <v>0</v>
      </c>
      <c r="F1042">
        <f ca="1">IF(AND($A1042&lt;=3,$A1042&lt;&gt;0),0,IF($A1042=4,OFFSET(F1042,-1,0)+1,OFFSET(F1042,-1,0)))</f>
        <v>0</v>
      </c>
      <c r="G1042">
        <f ca="1">IF(AND($A1042&lt;=4,$A1042&lt;&gt;0),0,IF($A1042="S",OFFSET(G1042,-1,0)+1,OFFSET(G1042,-1,0)))</f>
        <v>14</v>
      </c>
      <c r="H1042">
        <f ca="1">IF(OR($A1042="S",$A1042=0),0,MATCH(0,OFFSET($B1042,1,$A1042,ROW($A$1504)-ROW($A1042)),0))</f>
        <v>0</v>
      </c>
      <c r="I1042">
        <f ca="1">IF(OR($A1042="S",$A1042=0),0,MATCH(OFFSET($B1042,0,$A1042)+1,OFFSET($B1042,1,$A1042,ROW($A$1504)-ROW($A1042)),0))</f>
        <v>0</v>
      </c>
      <c r="J1042" s="132" t="s">
        <v>29</v>
      </c>
      <c r="K1042" s="121" t="str">
        <f ca="1">IF($A1042=0,"-",CONCATENATE(C1042&amp;".",IF(AND($A$5&gt;=2,$A1042&gt;=2),D1042&amp;".",""),IF(AND($A$5&gt;=3,$A1042&gt;=3),E1042&amp;".",""),IF(AND($A$5&gt;=4,$A1042&gt;=4),F1042&amp;".",""),IF($A1042="S",G1042&amp;".","")))</f>
        <v>12.1.14.</v>
      </c>
      <c r="L1042" s="137" t="str">
        <f ca="1">IF(NOT(ISERROR($Y1042)),IF($Y1042&lt;&gt;FALSE,INDEX(Banco,$Y1042,4),""),"")</f>
        <v>Cotação</v>
      </c>
      <c r="M1042" s="122" t="s">
        <v>80</v>
      </c>
      <c r="N1042" s="139" t="s">
        <v>150</v>
      </c>
      <c r="O1042" s="137" t="str">
        <f ca="1">IF(NOT(ISERROR($Y1042)),IF($Y1042&lt;&gt;FALSE,INDEX(Banco,$Y1042,5),""),"")</f>
        <v>Sucos</v>
      </c>
      <c r="P1042" s="138" t="str">
        <f ca="1">IF(NOT(ISERROR($Y1042)),IF($Y1042&lt;&gt;FALSE,INDEX(Banco,$Y1042,6),""),"")</f>
        <v>Unidade</v>
      </c>
      <c r="Q1042" s="134">
        <v>8</v>
      </c>
      <c r="R1042" s="124">
        <f ca="1">IF(NOT(ISERROR($Y1042)),IF($Y1042&lt;&gt;FALSE,INDEX(Banco,$Y1042,7),0),0)</f>
        <v>6.4</v>
      </c>
      <c r="S1042" s="136" t="s">
        <v>62</v>
      </c>
      <c r="T1042" s="123">
        <f ca="1">IF($J1042=$G$2,ROUND(ROUND($R1042,2)*IF($R$9="Preço Unitário (R$)",1,1+$AA1042),2),0)</f>
        <v>8</v>
      </c>
      <c r="U1042" s="126">
        <f ca="1">IF($A1042="S",VTOTAL1,IF($A1042=0,0,ROUND(SomaAgrup,2)))</f>
        <v>64</v>
      </c>
      <c r="V1042" s="1"/>
      <c r="W1042" s="39" t="str">
        <f ca="1">IF(OR($A1042=0,$A1042="S",$A1042&gt;CFF!$A$9),"",MAX(W$11:OFFSET(W1042,-1,0))+1)</f>
        <v/>
      </c>
      <c r="X1042" s="4" t="str">
        <f>IF(AND($J1042=$G$2,$N1042&lt;&gt;"",$M1042&lt;&gt;""),CONCATENATE($M1042,"-",$N1042))</f>
        <v>Serv. Terc.-013</v>
      </c>
      <c r="Y1042" s="39">
        <f ca="1">IF(X1042&lt;&gt;FALSE,MATCH(X1042,OFFSET(Banco,0,0,,1),0))</f>
        <v>93</v>
      </c>
      <c r="Z1042" s="1"/>
      <c r="AA1042" s="133">
        <f>IF($J1042=$G$2,ROUND(IF(ISNUMBER(S1042),S1042,IF(LEFT(S1042,2)="DI",HLOOKUP(S1042,DADOS!$T$29:$X$30,2,FALSE),0)),4),"")</f>
        <v>0.25</v>
      </c>
      <c r="AB1042" s="2"/>
    </row>
    <row r="1043" spans="1:28">
      <c r="A1043" t="str">
        <f>CHOOSE(1+LOG(1+2*(J1043=$C$2)+4*(J1043=$D$2)+8*(J1043=$E$2)+16*(J1043=$F$2)+32*(J1043=$G$2),2),0,1,2,3,4,"S")</f>
        <v>S</v>
      </c>
      <c r="B1043">
        <f>IF(OR(A1043="S",A1043=0),0,IF(ISERROR(I1043),H1043,SMALL(H1043:I1043,1)))</f>
        <v>0</v>
      </c>
      <c r="C1043">
        <f ca="1">IF($A1043=1,OFFSET(C1043,-1,0)+1,OFFSET(C1043,-1,0))</f>
        <v>12</v>
      </c>
      <c r="D1043">
        <f ca="1">IF($A1043=1,0,IF($A1043=2,OFFSET(D1043,-1,0)+1,OFFSET(D1043,-1,0)))</f>
        <v>1</v>
      </c>
      <c r="E1043">
        <f ca="1">IF(AND($A1043&lt;=2,$A1043&lt;&gt;0),0,IF($A1043=3,OFFSET(E1043,-1,0)+1,OFFSET(E1043,-1,0)))</f>
        <v>0</v>
      </c>
      <c r="F1043">
        <f ca="1">IF(AND($A1043&lt;=3,$A1043&lt;&gt;0),0,IF($A1043=4,OFFSET(F1043,-1,0)+1,OFFSET(F1043,-1,0)))</f>
        <v>0</v>
      </c>
      <c r="G1043">
        <f ca="1">IF(AND($A1043&lt;=4,$A1043&lt;&gt;0),0,IF($A1043="S",OFFSET(G1043,-1,0)+1,OFFSET(G1043,-1,0)))</f>
        <v>15</v>
      </c>
      <c r="H1043">
        <f ca="1">IF(OR($A1043="S",$A1043=0),0,MATCH(0,OFFSET($B1043,1,$A1043,ROW($A$1504)-ROW($A1043)),0))</f>
        <v>0</v>
      </c>
      <c r="I1043">
        <f ca="1">IF(OR($A1043="S",$A1043=0),0,MATCH(OFFSET($B1043,0,$A1043)+1,OFFSET($B1043,1,$A1043,ROW($A$1504)-ROW($A1043)),0))</f>
        <v>0</v>
      </c>
      <c r="J1043" s="132" t="s">
        <v>29</v>
      </c>
      <c r="K1043" s="121" t="str">
        <f ca="1">IF($A1043=0,"-",CONCATENATE(C1043&amp;".",IF(AND($A$5&gt;=2,$A1043&gt;=2),D1043&amp;".",""),IF(AND($A$5&gt;=3,$A1043&gt;=3),E1043&amp;".",""),IF(AND($A$5&gt;=4,$A1043&gt;=4),F1043&amp;".",""),IF($A1043="S",G1043&amp;".","")))</f>
        <v>12.1.15.</v>
      </c>
      <c r="L1043" s="137" t="str">
        <f ca="1">IF(NOT(ISERROR($Y1043)),IF($Y1043&lt;&gt;FALSE,INDEX(Banco,$Y1043,4),""),"")</f>
        <v>Cotação</v>
      </c>
      <c r="M1043" s="122" t="s">
        <v>80</v>
      </c>
      <c r="N1043" s="139" t="s">
        <v>171</v>
      </c>
      <c r="O1043" s="137" t="str">
        <f ca="1">IF(NOT(ISERROR($Y1043)),IF($Y1043&lt;&gt;FALSE,INDEX(Banco,$Y1043,5),""),"")</f>
        <v xml:space="preserve">Refrigerantes (02 litros) </v>
      </c>
      <c r="P1043" s="138" t="str">
        <f ca="1">IF(NOT(ISERROR($Y1043)),IF($Y1043&lt;&gt;FALSE,INDEX(Banco,$Y1043,6),""),"")</f>
        <v>Unidade</v>
      </c>
      <c r="Q1043" s="134">
        <v>24</v>
      </c>
      <c r="R1043" s="124">
        <f ca="1">IF(NOT(ISERROR($Y1043)),IF($Y1043&lt;&gt;FALSE,INDEX(Banco,$Y1043,7),0),0)</f>
        <v>6</v>
      </c>
      <c r="S1043" s="136" t="s">
        <v>62</v>
      </c>
      <c r="T1043" s="123">
        <f ca="1">IF($J1043=$G$2,ROUND(ROUND($R1043,2)*IF($R$9="Preço Unitário (R$)",1,1+$AA1043),2),0)</f>
        <v>7.5</v>
      </c>
      <c r="U1043" s="126">
        <f ca="1">IF($A1043="S",VTOTAL1,IF($A1043=0,0,ROUND(SomaAgrup,2)))</f>
        <v>180</v>
      </c>
      <c r="V1043" s="1"/>
      <c r="W1043" s="39" t="str">
        <f ca="1">IF(OR($A1043=0,$A1043="S",$A1043&gt;CFF!$A$9),"",MAX(W$11:OFFSET(W1043,-1,0))+1)</f>
        <v/>
      </c>
      <c r="X1043" s="4" t="str">
        <f>IF(AND($J1043=$G$2,$N1043&lt;&gt;"",$M1043&lt;&gt;""),CONCATENATE($M1043,"-",$N1043))</f>
        <v>Serv. Terc.-027</v>
      </c>
      <c r="Y1043" s="39">
        <f ca="1">IF(X1043&lt;&gt;FALSE,MATCH(X1043,OFFSET(Banco,0,0,,1),0))</f>
        <v>107</v>
      </c>
      <c r="Z1043" s="1"/>
      <c r="AA1043" s="133">
        <f>IF($J1043=$G$2,ROUND(IF(ISNUMBER(S1043),S1043,IF(LEFT(S1043,2)="DI",HLOOKUP(S1043,DADOS!$T$29:$X$30,2,FALSE),0)),4),"")</f>
        <v>0.25</v>
      </c>
      <c r="AB1043" s="2"/>
    </row>
    <row r="1044" spans="1:28">
      <c r="A1044" t="str">
        <f t="shared" si="1297"/>
        <v>S</v>
      </c>
      <c r="B1044">
        <f t="shared" si="1298"/>
        <v>0</v>
      </c>
      <c r="C1044">
        <f t="shared" ca="1" si="1299"/>
        <v>12</v>
      </c>
      <c r="D1044">
        <f t="shared" ca="1" si="1300"/>
        <v>1</v>
      </c>
      <c r="E1044">
        <f t="shared" ca="1" si="1301"/>
        <v>0</v>
      </c>
      <c r="F1044">
        <f t="shared" ca="1" si="1302"/>
        <v>0</v>
      </c>
      <c r="G1044">
        <f t="shared" ca="1" si="1303"/>
        <v>16</v>
      </c>
      <c r="H1044">
        <f ca="1">IF(OR($A1044="S",$A1044=0),0,MATCH(0,OFFSET($B1044,1,$A1044,ROW($A$1504)-ROW($A1044)),0))</f>
        <v>0</v>
      </c>
      <c r="I1044">
        <f ca="1">IF(OR($A1044="S",$A1044=0),0,MATCH(OFFSET($B1044,0,$A1044)+1,OFFSET($B1044,1,$A1044,ROW($A$1504)-ROW($A1044)),0))</f>
        <v>0</v>
      </c>
      <c r="J1044" s="132" t="s">
        <v>29</v>
      </c>
      <c r="K1044" s="121" t="str">
        <f t="shared" ca="1" si="1304"/>
        <v>12.1.16.</v>
      </c>
      <c r="L1044" s="137" t="str">
        <f t="shared" ca="1" si="1305"/>
        <v>Cotação</v>
      </c>
      <c r="M1044" s="122" t="s">
        <v>80</v>
      </c>
      <c r="N1044" s="139" t="s">
        <v>162</v>
      </c>
      <c r="O1044" s="137" t="str">
        <f t="shared" ca="1" si="1306"/>
        <v>Coffee break (salgados)</v>
      </c>
      <c r="P1044" s="138" t="str">
        <f t="shared" ca="1" si="1307"/>
        <v>Centro</v>
      </c>
      <c r="Q1044" s="134">
        <v>20</v>
      </c>
      <c r="R1044" s="124">
        <f t="shared" ca="1" si="1308"/>
        <v>65</v>
      </c>
      <c r="S1044" s="136" t="s">
        <v>62</v>
      </c>
      <c r="T1044" s="123">
        <f t="shared" ca="1" si="1309"/>
        <v>81.25</v>
      </c>
      <c r="U1044" s="126">
        <f t="shared" ca="1" si="1310"/>
        <v>1625</v>
      </c>
      <c r="V1044" s="1"/>
      <c r="W1044" s="39" t="str">
        <f ca="1">IF(OR($A1044=0,$A1044="S",$A1044&gt;CFF!$A$9),"",MAX(W$11:OFFSET(W1044,-1,0))+1)</f>
        <v/>
      </c>
      <c r="X1044" s="4" t="str">
        <f t="shared" si="1311"/>
        <v>Serv. Terc.-015</v>
      </c>
      <c r="Y1044" s="39">
        <f t="shared" ca="1" si="1312"/>
        <v>95</v>
      </c>
      <c r="Z1044" s="1"/>
      <c r="AA1044" s="133">
        <f>IF($J1044=$G$2,ROUND(IF(ISNUMBER(S1044),S1044,IF(LEFT(S1044,2)="DI",HLOOKUP(S1044,DADOS!$T$29:$X$30,2,FALSE),0)),4),"")</f>
        <v>0.25</v>
      </c>
      <c r="AB1044" s="2"/>
    </row>
    <row r="1045" spans="1:28">
      <c r="A1045" t="str">
        <f t="shared" ref="A1045:A1051" si="1313">CHOOSE(1+LOG(1+2*(J1045=$C$2)+4*(J1045=$D$2)+8*(J1045=$E$2)+16*(J1045=$F$2)+32*(J1045=$G$2),2),0,1,2,3,4,"S")</f>
        <v>S</v>
      </c>
      <c r="B1045">
        <f t="shared" ref="B1045:B1051" si="1314">IF(OR(A1045="S",A1045=0),0,IF(ISERROR(I1045),H1045,SMALL(H1045:I1045,1)))</f>
        <v>0</v>
      </c>
      <c r="C1045">
        <f t="shared" ref="C1045:C1051" ca="1" si="1315">IF($A1045=1,OFFSET(C1045,-1,0)+1,OFFSET(C1045,-1,0))</f>
        <v>12</v>
      </c>
      <c r="D1045">
        <f t="shared" ref="D1045:D1051" ca="1" si="1316">IF($A1045=1,0,IF($A1045=2,OFFSET(D1045,-1,0)+1,OFFSET(D1045,-1,0)))</f>
        <v>1</v>
      </c>
      <c r="E1045">
        <f t="shared" ref="E1045:E1051" ca="1" si="1317">IF(AND($A1045&lt;=2,$A1045&lt;&gt;0),0,IF($A1045=3,OFFSET(E1045,-1,0)+1,OFFSET(E1045,-1,0)))</f>
        <v>0</v>
      </c>
      <c r="F1045">
        <f t="shared" ref="F1045:F1051" ca="1" si="1318">IF(AND($A1045&lt;=3,$A1045&lt;&gt;0),0,IF($A1045=4,OFFSET(F1045,-1,0)+1,OFFSET(F1045,-1,0)))</f>
        <v>0</v>
      </c>
      <c r="G1045">
        <f t="shared" ref="G1045:G1051" ca="1" si="1319">IF(AND($A1045&lt;=4,$A1045&lt;&gt;0),0,IF($A1045="S",OFFSET(G1045,-1,0)+1,OFFSET(G1045,-1,0)))</f>
        <v>17</v>
      </c>
      <c r="H1045">
        <f ca="1">IF(OR($A1045="S",$A1045=0),0,MATCH(0,OFFSET($B1045,1,$A1045,ROW($A$1504)-ROW($A1045)),0))</f>
        <v>0</v>
      </c>
      <c r="I1045">
        <f ca="1">IF(OR($A1045="S",$A1045=0),0,MATCH(OFFSET($B1045,0,$A1045)+1,OFFSET($B1045,1,$A1045,ROW($A$1504)-ROW($A1045)),0))</f>
        <v>0</v>
      </c>
      <c r="J1045" s="132" t="s">
        <v>29</v>
      </c>
      <c r="K1045" s="121" t="str">
        <f t="shared" ref="K1045:K1051" ca="1" si="1320">IF($A1045=0,"-",CONCATENATE(C1045&amp;".",IF(AND($A$5&gt;=2,$A1045&gt;=2),D1045&amp;".",""),IF(AND($A$5&gt;=3,$A1045&gt;=3),E1045&amp;".",""),IF(AND($A$5&gt;=4,$A1045&gt;=4),F1045&amp;".",""),IF($A1045="S",G1045&amp;".","")))</f>
        <v>12.1.17.</v>
      </c>
      <c r="L1045" s="137" t="str">
        <f t="shared" ref="L1045:L1051" ca="1" si="1321">IF(NOT(ISERROR($Y1045)),IF($Y1045&lt;&gt;FALSE,INDEX(Banco,$Y1045,4),""),"")</f>
        <v>Cotação</v>
      </c>
      <c r="M1045" s="122" t="s">
        <v>80</v>
      </c>
      <c r="N1045" s="139" t="s">
        <v>225</v>
      </c>
      <c r="O1045" s="137" t="str">
        <f t="shared" ref="O1045:O1051" ca="1" si="1322">IF(NOT(ISERROR($Y1045)),IF($Y1045&lt;&gt;FALSE,INDEX(Banco,$Y1045,5),""),"")</f>
        <v xml:space="preserve">Confecção de camisetas </v>
      </c>
      <c r="P1045" s="138" t="str">
        <f t="shared" ref="P1045:P1051" ca="1" si="1323">IF(NOT(ISERROR($Y1045)),IF($Y1045&lt;&gt;FALSE,INDEX(Banco,$Y1045,6),""),"")</f>
        <v>Unidade</v>
      </c>
      <c r="Q1045" s="134">
        <v>120</v>
      </c>
      <c r="R1045" s="124">
        <f t="shared" ref="R1045:R1051" ca="1" si="1324">IF(NOT(ISERROR($Y1045)),IF($Y1045&lt;&gt;FALSE,INDEX(Banco,$Y1045,7),0),0)</f>
        <v>19</v>
      </c>
      <c r="S1045" s="136" t="s">
        <v>62</v>
      </c>
      <c r="T1045" s="123">
        <f t="shared" ref="T1045:T1051" ca="1" si="1325">IF($J1045=$G$2,ROUND(ROUND($R1045,2)*IF($R$9="Preço Unitário (R$)",1,1+$AA1045),2),0)</f>
        <v>23.75</v>
      </c>
      <c r="U1045" s="126">
        <f t="shared" ref="U1045:U1051" ca="1" si="1326">IF($A1045="S",VTOTAL1,IF($A1045=0,0,ROUND(SomaAgrup,2)))</f>
        <v>2850</v>
      </c>
      <c r="V1045" s="1"/>
      <c r="W1045" s="39" t="str">
        <f ca="1">IF(OR($A1045=0,$A1045="S",$A1045&gt;CFF!$A$9),"",MAX(W$11:OFFSET(W1045,-1,0))+1)</f>
        <v/>
      </c>
      <c r="X1045" s="4" t="str">
        <f t="shared" ref="X1045:X1051" si="1327">IF(AND($J1045=$G$2,$N1045&lt;&gt;"",$M1045&lt;&gt;""),CONCATENATE($M1045,"-",$N1045))</f>
        <v>Serv. Terc.-067</v>
      </c>
      <c r="Y1045" s="39">
        <f t="shared" ref="Y1045:Y1051" ca="1" si="1328">IF(X1045&lt;&gt;FALSE,MATCH(X1045,OFFSET(Banco,0,0,,1),0))</f>
        <v>147</v>
      </c>
      <c r="Z1045" s="1"/>
      <c r="AA1045" s="133">
        <f>IF($J1045=$G$2,ROUND(IF(ISNUMBER(S1045),S1045,IF(LEFT(S1045,2)="DI",HLOOKUP(S1045,DADOS!$T$29:$X$30,2,FALSE),0)),4),"")</f>
        <v>0.25</v>
      </c>
      <c r="AB1045" s="2"/>
    </row>
    <row r="1046" spans="1:28">
      <c r="A1046" t="str">
        <f t="shared" si="1313"/>
        <v>S</v>
      </c>
      <c r="B1046">
        <f t="shared" si="1314"/>
        <v>0</v>
      </c>
      <c r="C1046">
        <f t="shared" ca="1" si="1315"/>
        <v>12</v>
      </c>
      <c r="D1046">
        <f t="shared" ca="1" si="1316"/>
        <v>1</v>
      </c>
      <c r="E1046">
        <f t="shared" ca="1" si="1317"/>
        <v>0</v>
      </c>
      <c r="F1046">
        <f t="shared" ca="1" si="1318"/>
        <v>0</v>
      </c>
      <c r="G1046">
        <f t="shared" ca="1" si="1319"/>
        <v>18</v>
      </c>
      <c r="H1046">
        <f ca="1">IF(OR($A1046="S",$A1046=0),0,MATCH(0,OFFSET($B1046,1,$A1046,ROW($A$1504)-ROW($A1046)),0))</f>
        <v>0</v>
      </c>
      <c r="I1046">
        <f ca="1">IF(OR($A1046="S",$A1046=0),0,MATCH(OFFSET($B1046,0,$A1046)+1,OFFSET($B1046,1,$A1046,ROW($A$1504)-ROW($A1046)),0))</f>
        <v>0</v>
      </c>
      <c r="J1046" s="132" t="s">
        <v>29</v>
      </c>
      <c r="K1046" s="121" t="str">
        <f t="shared" ca="1" si="1320"/>
        <v>12.1.18.</v>
      </c>
      <c r="L1046" s="137" t="str">
        <f t="shared" ca="1" si="1321"/>
        <v>CRBio</v>
      </c>
      <c r="M1046" s="122" t="s">
        <v>80</v>
      </c>
      <c r="N1046" s="139" t="s">
        <v>226</v>
      </c>
      <c r="O1046" s="137" t="str">
        <f t="shared" ca="1" si="1322"/>
        <v>Biólogo (Instrutor)</v>
      </c>
      <c r="P1046" s="138" t="str">
        <f t="shared" ca="1" si="1323"/>
        <v>Horas</v>
      </c>
      <c r="Q1046" s="134">
        <v>8</v>
      </c>
      <c r="R1046" s="124">
        <f t="shared" ca="1" si="1324"/>
        <v>100.72</v>
      </c>
      <c r="S1046" s="136" t="s">
        <v>62</v>
      </c>
      <c r="T1046" s="123">
        <f t="shared" ca="1" si="1325"/>
        <v>125.9</v>
      </c>
      <c r="U1046" s="126">
        <f t="shared" ca="1" si="1326"/>
        <v>1007.2</v>
      </c>
      <c r="V1046" s="1"/>
      <c r="W1046" s="39" t="str">
        <f ca="1">IF(OR($A1046=0,$A1046="S",$A1046&gt;CFF!$A$9),"",MAX(W$11:OFFSET(W1046,-1,0))+1)</f>
        <v/>
      </c>
      <c r="X1046" s="4" t="str">
        <f t="shared" si="1327"/>
        <v>Serv. Terc.-068</v>
      </c>
      <c r="Y1046" s="39">
        <f t="shared" ca="1" si="1328"/>
        <v>148</v>
      </c>
      <c r="Z1046" s="1"/>
      <c r="AA1046" s="133">
        <f>IF($J1046=$G$2,ROUND(IF(ISNUMBER(S1046),S1046,IF(LEFT(S1046,2)="DI",HLOOKUP(S1046,DADOS!$T$29:$X$30,2,FALSE),0)),4),"")</f>
        <v>0.25</v>
      </c>
      <c r="AB1046" s="2"/>
    </row>
    <row r="1047" spans="1:28">
      <c r="A1047" t="str">
        <f t="shared" si="1313"/>
        <v>S</v>
      </c>
      <c r="B1047">
        <f t="shared" si="1314"/>
        <v>0</v>
      </c>
      <c r="C1047">
        <f t="shared" ca="1" si="1315"/>
        <v>12</v>
      </c>
      <c r="D1047">
        <f t="shared" ca="1" si="1316"/>
        <v>1</v>
      </c>
      <c r="E1047">
        <f t="shared" ca="1" si="1317"/>
        <v>0</v>
      </c>
      <c r="F1047">
        <f t="shared" ca="1" si="1318"/>
        <v>0</v>
      </c>
      <c r="G1047">
        <f t="shared" ca="1" si="1319"/>
        <v>19</v>
      </c>
      <c r="H1047">
        <f ca="1">IF(OR($A1047="S",$A1047=0),0,MATCH(0,OFFSET($B1047,1,$A1047,ROW($A$1504)-ROW($A1047)),0))</f>
        <v>0</v>
      </c>
      <c r="I1047">
        <f ca="1">IF(OR($A1047="S",$A1047=0),0,MATCH(OFFSET($B1047,0,$A1047)+1,OFFSET($B1047,1,$A1047,ROW($A$1504)-ROW($A1047)),0))</f>
        <v>0</v>
      </c>
      <c r="J1047" s="132" t="s">
        <v>29</v>
      </c>
      <c r="K1047" s="121" t="str">
        <f t="shared" ca="1" si="1320"/>
        <v>12.1.19.</v>
      </c>
      <c r="L1047" s="137" t="str">
        <f t="shared" ca="1" si="1321"/>
        <v>Cotação</v>
      </c>
      <c r="M1047" s="122" t="s">
        <v>79</v>
      </c>
      <c r="N1047" s="139" t="s">
        <v>149</v>
      </c>
      <c r="O1047" s="137" t="str">
        <f t="shared" ca="1" si="1322"/>
        <v>Papel A4</v>
      </c>
      <c r="P1047" s="138" t="str">
        <f t="shared" ca="1" si="1323"/>
        <v>Resma</v>
      </c>
      <c r="Q1047" s="134">
        <v>1</v>
      </c>
      <c r="R1047" s="124">
        <f t="shared" ca="1" si="1324"/>
        <v>28</v>
      </c>
      <c r="S1047" s="136" t="s">
        <v>62</v>
      </c>
      <c r="T1047" s="123">
        <f t="shared" ca="1" si="1325"/>
        <v>35</v>
      </c>
      <c r="U1047" s="126">
        <f t="shared" ca="1" si="1326"/>
        <v>35</v>
      </c>
      <c r="V1047" s="1"/>
      <c r="W1047" s="39" t="str">
        <f ca="1">IF(OR($A1047=0,$A1047="S",$A1047&gt;CFF!$A$9),"",MAX(W$11:OFFSET(W1047,-1,0))+1)</f>
        <v/>
      </c>
      <c r="X1047" s="4" t="str">
        <f t="shared" si="1327"/>
        <v>Rec. Materiais-001</v>
      </c>
      <c r="Y1047" s="39">
        <f t="shared" ca="1" si="1328"/>
        <v>10</v>
      </c>
      <c r="Z1047" s="1"/>
      <c r="AA1047" s="133">
        <f>IF($J1047=$G$2,ROUND(IF(ISNUMBER(S1047),S1047,IF(LEFT(S1047,2)="DI",HLOOKUP(S1047,DADOS!$T$29:$X$30,2,FALSE),0)),4),"")</f>
        <v>0.25</v>
      </c>
      <c r="AB1047" s="2"/>
    </row>
    <row r="1048" spans="1:28">
      <c r="A1048" t="str">
        <f t="shared" si="1313"/>
        <v>S</v>
      </c>
      <c r="B1048">
        <f t="shared" si="1314"/>
        <v>0</v>
      </c>
      <c r="C1048">
        <f t="shared" ca="1" si="1315"/>
        <v>12</v>
      </c>
      <c r="D1048">
        <f t="shared" ca="1" si="1316"/>
        <v>1</v>
      </c>
      <c r="E1048">
        <f t="shared" ca="1" si="1317"/>
        <v>0</v>
      </c>
      <c r="F1048">
        <f t="shared" ca="1" si="1318"/>
        <v>0</v>
      </c>
      <c r="G1048">
        <f t="shared" ca="1" si="1319"/>
        <v>20</v>
      </c>
      <c r="H1048">
        <f ca="1">IF(OR($A1048="S",$A1048=0),0,MATCH(0,OFFSET($B1048,1,$A1048,ROW($A$1504)-ROW($A1048)),0))</f>
        <v>0</v>
      </c>
      <c r="I1048">
        <f ca="1">IF(OR($A1048="S",$A1048=0),0,MATCH(OFFSET($B1048,0,$A1048)+1,OFFSET($B1048,1,$A1048,ROW($A$1504)-ROW($A1048)),0))</f>
        <v>0</v>
      </c>
      <c r="J1048" s="132" t="s">
        <v>29</v>
      </c>
      <c r="K1048" s="121" t="str">
        <f t="shared" ca="1" si="1320"/>
        <v>12.1.20.</v>
      </c>
      <c r="L1048" s="137" t="str">
        <f t="shared" ca="1" si="1321"/>
        <v>Cotação</v>
      </c>
      <c r="M1048" s="122" t="s">
        <v>79</v>
      </c>
      <c r="N1048" s="139" t="s">
        <v>152</v>
      </c>
      <c r="O1048" s="137" t="str">
        <f t="shared" ca="1" si="1322"/>
        <v>Toner para impressora</v>
      </c>
      <c r="P1048" s="138" t="str">
        <f t="shared" ca="1" si="1323"/>
        <v>Unidade</v>
      </c>
      <c r="Q1048" s="134">
        <v>4</v>
      </c>
      <c r="R1048" s="124">
        <f t="shared" ca="1" si="1324"/>
        <v>180</v>
      </c>
      <c r="S1048" s="136" t="s">
        <v>62</v>
      </c>
      <c r="T1048" s="123">
        <f t="shared" ca="1" si="1325"/>
        <v>225</v>
      </c>
      <c r="U1048" s="126">
        <f t="shared" ca="1" si="1326"/>
        <v>900</v>
      </c>
      <c r="V1048" s="1"/>
      <c r="W1048" s="39" t="str">
        <f ca="1">IF(OR($A1048=0,$A1048="S",$A1048&gt;CFF!$A$9),"",MAX(W$11:OFFSET(W1048,-1,0))+1)</f>
        <v/>
      </c>
      <c r="X1048" s="4" t="str">
        <f t="shared" si="1327"/>
        <v>Rec. Materiais-002</v>
      </c>
      <c r="Y1048" s="39">
        <f t="shared" ca="1" si="1328"/>
        <v>11</v>
      </c>
      <c r="Z1048" s="1"/>
      <c r="AA1048" s="133">
        <f>IF($J1048=$G$2,ROUND(IF(ISNUMBER(S1048),S1048,IF(LEFT(S1048,2)="DI",HLOOKUP(S1048,DADOS!$T$29:$X$30,2,FALSE),0)),4),"")</f>
        <v>0.25</v>
      </c>
      <c r="AB1048" s="2"/>
    </row>
    <row r="1049" spans="1:28">
      <c r="A1049" t="str">
        <f t="shared" si="1313"/>
        <v>S</v>
      </c>
      <c r="B1049">
        <f t="shared" si="1314"/>
        <v>0</v>
      </c>
      <c r="C1049">
        <f t="shared" ca="1" si="1315"/>
        <v>12</v>
      </c>
      <c r="D1049">
        <f t="shared" ca="1" si="1316"/>
        <v>1</v>
      </c>
      <c r="E1049">
        <f t="shared" ca="1" si="1317"/>
        <v>0</v>
      </c>
      <c r="F1049">
        <f t="shared" ca="1" si="1318"/>
        <v>0</v>
      </c>
      <c r="G1049">
        <f t="shared" ca="1" si="1319"/>
        <v>21</v>
      </c>
      <c r="H1049">
        <f ca="1">IF(OR($A1049="S",$A1049=0),0,MATCH(0,OFFSET($B1049,1,$A1049,ROW($A$1504)-ROW($A1049)),0))</f>
        <v>0</v>
      </c>
      <c r="I1049">
        <f ca="1">IF(OR($A1049="S",$A1049=0),0,MATCH(OFFSET($B1049,0,$A1049)+1,OFFSET($B1049,1,$A1049,ROW($A$1504)-ROW($A1049)),0))</f>
        <v>0</v>
      </c>
      <c r="J1049" s="132" t="s">
        <v>29</v>
      </c>
      <c r="K1049" s="121" t="str">
        <f t="shared" ca="1" si="1320"/>
        <v>12.1.21.</v>
      </c>
      <c r="L1049" s="137" t="str">
        <f t="shared" ca="1" si="1321"/>
        <v>Cotação</v>
      </c>
      <c r="M1049" s="122" t="s">
        <v>79</v>
      </c>
      <c r="N1049" s="139" t="s">
        <v>170</v>
      </c>
      <c r="O1049" s="137" t="str">
        <f t="shared" ca="1" si="1322"/>
        <v>Saco de lixo (100 litros)</v>
      </c>
      <c r="P1049" s="138" t="str">
        <f t="shared" ca="1" si="1323"/>
        <v>Pacote</v>
      </c>
      <c r="Q1049" s="134">
        <v>14</v>
      </c>
      <c r="R1049" s="124">
        <f t="shared" ca="1" si="1324"/>
        <v>15</v>
      </c>
      <c r="S1049" s="136" t="s">
        <v>62</v>
      </c>
      <c r="T1049" s="123">
        <f t="shared" ca="1" si="1325"/>
        <v>18.75</v>
      </c>
      <c r="U1049" s="126">
        <f t="shared" ca="1" si="1326"/>
        <v>262.5</v>
      </c>
      <c r="V1049" s="1"/>
      <c r="W1049" s="39" t="str">
        <f ca="1">IF(OR($A1049=0,$A1049="S",$A1049&gt;CFF!$A$9),"",MAX(W$11:OFFSET(W1049,-1,0))+1)</f>
        <v/>
      </c>
      <c r="X1049" s="4" t="str">
        <f t="shared" si="1327"/>
        <v>Rec. Materiais-026</v>
      </c>
      <c r="Y1049" s="39">
        <f t="shared" ca="1" si="1328"/>
        <v>35</v>
      </c>
      <c r="Z1049" s="1"/>
      <c r="AA1049" s="133">
        <f>IF($J1049=$G$2,ROUND(IF(ISNUMBER(S1049),S1049,IF(LEFT(S1049,2)="DI",HLOOKUP(S1049,DADOS!$T$29:$X$30,2,FALSE),0)),4),"")</f>
        <v>0.25</v>
      </c>
      <c r="AB1049" s="2"/>
    </row>
    <row r="1050" spans="1:28">
      <c r="A1050" t="str">
        <f t="shared" si="1313"/>
        <v>S</v>
      </c>
      <c r="B1050">
        <f t="shared" si="1314"/>
        <v>0</v>
      </c>
      <c r="C1050">
        <f t="shared" ca="1" si="1315"/>
        <v>12</v>
      </c>
      <c r="D1050">
        <f t="shared" ca="1" si="1316"/>
        <v>1</v>
      </c>
      <c r="E1050">
        <f t="shared" ca="1" si="1317"/>
        <v>0</v>
      </c>
      <c r="F1050">
        <f t="shared" ca="1" si="1318"/>
        <v>0</v>
      </c>
      <c r="G1050">
        <f t="shared" ca="1" si="1319"/>
        <v>22</v>
      </c>
      <c r="H1050">
        <f ca="1">IF(OR($A1050="S",$A1050=0),0,MATCH(0,OFFSET($B1050,1,$A1050,ROW($A$1504)-ROW($A1050)),0))</f>
        <v>0</v>
      </c>
      <c r="I1050">
        <f ca="1">IF(OR($A1050="S",$A1050=0),0,MATCH(OFFSET($B1050,0,$A1050)+1,OFFSET($B1050,1,$A1050,ROW($A$1504)-ROW($A1050)),0))</f>
        <v>0</v>
      </c>
      <c r="J1050" s="132" t="s">
        <v>29</v>
      </c>
      <c r="K1050" s="121" t="str">
        <f t="shared" ca="1" si="1320"/>
        <v>12.1.22.</v>
      </c>
      <c r="L1050" s="137" t="str">
        <f t="shared" ca="1" si="1321"/>
        <v>Cotação</v>
      </c>
      <c r="M1050" s="122" t="s">
        <v>79</v>
      </c>
      <c r="N1050" s="139" t="s">
        <v>171</v>
      </c>
      <c r="O1050" s="137" t="str">
        <f t="shared" ca="1" si="1322"/>
        <v>Luvas de latex para limpeza descarpack</v>
      </c>
      <c r="P1050" s="138" t="str">
        <f t="shared" ca="1" si="1323"/>
        <v>Unidade</v>
      </c>
      <c r="Q1050" s="134">
        <v>80</v>
      </c>
      <c r="R1050" s="124">
        <f t="shared" ca="1" si="1324"/>
        <v>3.99</v>
      </c>
      <c r="S1050" s="136" t="s">
        <v>62</v>
      </c>
      <c r="T1050" s="123">
        <f t="shared" ca="1" si="1325"/>
        <v>4.99</v>
      </c>
      <c r="U1050" s="126">
        <f t="shared" ca="1" si="1326"/>
        <v>399.2</v>
      </c>
      <c r="V1050" s="1"/>
      <c r="W1050" s="39" t="str">
        <f ca="1">IF(OR($A1050=0,$A1050="S",$A1050&gt;CFF!$A$9),"",MAX(W$11:OFFSET(W1050,-1,0))+1)</f>
        <v/>
      </c>
      <c r="X1050" s="4" t="str">
        <f t="shared" si="1327"/>
        <v>Rec. Materiais-027</v>
      </c>
      <c r="Y1050" s="39">
        <f t="shared" ca="1" si="1328"/>
        <v>36</v>
      </c>
      <c r="Z1050" s="1"/>
      <c r="AA1050" s="133">
        <f>IF($J1050=$G$2,ROUND(IF(ISNUMBER(S1050),S1050,IF(LEFT(S1050,2)="DI",HLOOKUP(S1050,DADOS!$T$29:$X$30,2,FALSE),0)),4),"")</f>
        <v>0.25</v>
      </c>
      <c r="AB1050" s="2"/>
    </row>
    <row r="1051" spans="1:28">
      <c r="A1051" t="str">
        <f t="shared" si="1313"/>
        <v>S</v>
      </c>
      <c r="B1051">
        <f t="shared" si="1314"/>
        <v>0</v>
      </c>
      <c r="C1051">
        <f t="shared" ca="1" si="1315"/>
        <v>12</v>
      </c>
      <c r="D1051">
        <f t="shared" ca="1" si="1316"/>
        <v>1</v>
      </c>
      <c r="E1051">
        <f t="shared" ca="1" si="1317"/>
        <v>0</v>
      </c>
      <c r="F1051">
        <f t="shared" ca="1" si="1318"/>
        <v>0</v>
      </c>
      <c r="G1051">
        <f t="shared" ca="1" si="1319"/>
        <v>23</v>
      </c>
      <c r="H1051">
        <f ca="1">IF(OR($A1051="S",$A1051=0),0,MATCH(0,OFFSET($B1051,1,$A1051,ROW($A$1504)-ROW($A1051)),0))</f>
        <v>0</v>
      </c>
      <c r="I1051">
        <f ca="1">IF(OR($A1051="S",$A1051=0),0,MATCH(OFFSET($B1051,0,$A1051)+1,OFFSET($B1051,1,$A1051,ROW($A$1504)-ROW($A1051)),0))</f>
        <v>0</v>
      </c>
      <c r="J1051" s="132" t="s">
        <v>29</v>
      </c>
      <c r="K1051" s="121" t="str">
        <f t="shared" ca="1" si="1320"/>
        <v>12.1.23.</v>
      </c>
      <c r="L1051" s="137" t="str">
        <f t="shared" ca="1" si="1321"/>
        <v>Cotação</v>
      </c>
      <c r="M1051" s="122" t="s">
        <v>79</v>
      </c>
      <c r="N1051" s="139" t="s">
        <v>164</v>
      </c>
      <c r="O1051" s="137" t="str">
        <f t="shared" ca="1" si="1322"/>
        <v>Copos descartáveis (2500 unidades)</v>
      </c>
      <c r="P1051" s="138" t="str">
        <f t="shared" ca="1" si="1323"/>
        <v>Caixa</v>
      </c>
      <c r="Q1051" s="134">
        <v>1</v>
      </c>
      <c r="R1051" s="124">
        <f t="shared" ca="1" si="1324"/>
        <v>77.400000000000006</v>
      </c>
      <c r="S1051" s="136" t="s">
        <v>62</v>
      </c>
      <c r="T1051" s="123">
        <f t="shared" ca="1" si="1325"/>
        <v>96.75</v>
      </c>
      <c r="U1051" s="126">
        <f t="shared" ca="1" si="1326"/>
        <v>96.75</v>
      </c>
      <c r="V1051" s="1"/>
      <c r="W1051" s="39" t="str">
        <f ca="1">IF(OR($A1051=0,$A1051="S",$A1051&gt;CFF!$A$9),"",MAX(W$11:OFFSET(W1051,-1,0))+1)</f>
        <v/>
      </c>
      <c r="X1051" s="4" t="str">
        <f t="shared" si="1327"/>
        <v>Rec. Materiais-019</v>
      </c>
      <c r="Y1051" s="39">
        <f t="shared" ca="1" si="1328"/>
        <v>28</v>
      </c>
      <c r="Z1051" s="1"/>
      <c r="AA1051" s="133">
        <f>IF($J1051=$G$2,ROUND(IF(ISNUMBER(S1051),S1051,IF(LEFT(S1051,2)="DI",HLOOKUP(S1051,DADOS!$T$29:$X$30,2,FALSE),0)),4),"")</f>
        <v>0.25</v>
      </c>
      <c r="AB1051" s="2"/>
    </row>
    <row r="1052" spans="1:28">
      <c r="A1052" t="str">
        <f>CHOOSE(1+LOG(1+2*(J1052=$C$2)+4*(J1052=$D$2)+8*(J1052=$E$2)+16*(J1052=$F$2)+32*(J1052=$G$2),2),0,1,2,3,4,"S")</f>
        <v>S</v>
      </c>
      <c r="B1052">
        <f>IF(OR(A1052="S",A1052=0),0,IF(ISERROR(I1052),H1052,SMALL(H1052:I1052,1)))</f>
        <v>0</v>
      </c>
      <c r="C1052">
        <f ca="1">IF($A1052=1,OFFSET(C1052,-1,0)+1,OFFSET(C1052,-1,0))</f>
        <v>12</v>
      </c>
      <c r="D1052">
        <f ca="1">IF($A1052=1,0,IF($A1052=2,OFFSET(D1052,-1,0)+1,OFFSET(D1052,-1,0)))</f>
        <v>1</v>
      </c>
      <c r="E1052">
        <f ca="1">IF(AND($A1052&lt;=2,$A1052&lt;&gt;0),0,IF($A1052=3,OFFSET(E1052,-1,0)+1,OFFSET(E1052,-1,0)))</f>
        <v>0</v>
      </c>
      <c r="F1052">
        <f ca="1">IF(AND($A1052&lt;=3,$A1052&lt;&gt;0),0,IF($A1052=4,OFFSET(F1052,-1,0)+1,OFFSET(F1052,-1,0)))</f>
        <v>0</v>
      </c>
      <c r="G1052">
        <f ca="1">IF(AND($A1052&lt;=4,$A1052&lt;&gt;0),0,IF($A1052="S",OFFSET(G1052,-1,0)+1,OFFSET(G1052,-1,0)))</f>
        <v>24</v>
      </c>
      <c r="H1052">
        <f ca="1">IF(OR($A1052="S",$A1052=0),0,MATCH(0,OFFSET($B1052,1,$A1052,ROW($A$1504)-ROW($A1052)),0))</f>
        <v>0</v>
      </c>
      <c r="I1052">
        <f ca="1">IF(OR($A1052="S",$A1052=0),0,MATCH(OFFSET($B1052,0,$A1052)+1,OFFSET($B1052,1,$A1052,ROW($A$1504)-ROW($A1052)),0))</f>
        <v>0</v>
      </c>
      <c r="J1052" s="132" t="s">
        <v>29</v>
      </c>
      <c r="K1052" s="121" t="str">
        <f ca="1">IF($A1052=0,"-",CONCATENATE(C1052&amp;".",IF(AND($A$5&gt;=2,$A1052&gt;=2),D1052&amp;".",""),IF(AND($A$5&gt;=3,$A1052&gt;=3),E1052&amp;".",""),IF(AND($A$5&gt;=4,$A1052&gt;=4),F1052&amp;".",""),IF($A1052="S",G1052&amp;".","")))</f>
        <v>12.1.24.</v>
      </c>
      <c r="L1052" s="137" t="str">
        <f ca="1">IF(NOT(ISERROR($Y1052)),IF($Y1052&lt;&gt;FALSE,INDEX(Banco,$Y1052,4),""),"")</f>
        <v>Cotação</v>
      </c>
      <c r="M1052" s="122" t="s">
        <v>79</v>
      </c>
      <c r="N1052" s="139" t="s">
        <v>279</v>
      </c>
      <c r="O1052" s="137" t="str">
        <f ca="1">IF(NOT(ISERROR($Y1052)),IF($Y1052&lt;&gt;FALSE,INDEX(Banco,$Y1052,5),""),"")</f>
        <v>Apito (12 unidades)</v>
      </c>
      <c r="P1052" s="138" t="str">
        <f ca="1">IF(NOT(ISERROR($Y1052)),IF($Y1052&lt;&gt;FALSE,INDEX(Banco,$Y1052,6),""),"")</f>
        <v>Pacote</v>
      </c>
      <c r="Q1052" s="134">
        <v>6</v>
      </c>
      <c r="R1052" s="124">
        <f ca="1">IF(NOT(ISERROR($Y1052)),IF($Y1052&lt;&gt;FALSE,INDEX(Banco,$Y1052,7),0),0)</f>
        <v>19.899999999999999</v>
      </c>
      <c r="S1052" s="136" t="s">
        <v>62</v>
      </c>
      <c r="T1052" s="123">
        <f ca="1">IF($J1052=$G$2,ROUND(ROUND($R1052,2)*IF($R$9="Preço Unitário (R$)",1,1+$AA1052),2),0)</f>
        <v>24.88</v>
      </c>
      <c r="U1052" s="126">
        <f ca="1">IF($A1052="S",VTOTAL1,IF($A1052=0,0,ROUND(SomaAgrup,2)))</f>
        <v>149.28</v>
      </c>
      <c r="V1052" s="1"/>
      <c r="W1052" s="39" t="str">
        <f ca="1">IF(OR($A1052=0,$A1052="S",$A1052&gt;CFF!$A$9),"",MAX(W$11:OFFSET(W1052,-1,0))+1)</f>
        <v/>
      </c>
      <c r="X1052" s="4" t="str">
        <f>IF(AND($J1052=$G$2,$N1052&lt;&gt;"",$M1052&lt;&gt;""),CONCATENATE($M1052,"-",$N1052))</f>
        <v>Rec. Materiais-062</v>
      </c>
      <c r="Y1052" s="39">
        <f ca="1">IF(X1052&lt;&gt;FALSE,MATCH(X1052,OFFSET(Banco,0,0,,1),0))</f>
        <v>71</v>
      </c>
      <c r="Z1052" s="1"/>
      <c r="AA1052" s="133">
        <f>IF($J1052=$G$2,ROUND(IF(ISNUMBER(S1052),S1052,IF(LEFT(S1052,2)="DI",HLOOKUP(S1052,DADOS!$T$29:$X$30,2,FALSE),0)),4),"")</f>
        <v>0.25</v>
      </c>
      <c r="AB1052" s="2"/>
    </row>
    <row r="1053" spans="1:28">
      <c r="A1053">
        <f>CHOOSE(1+LOG(1+2*(J1053=$C$2)+4*(J1053=$D$2)+8*(J1053=$E$2)+16*(J1053=$F$2)+32*(J1053=$G$2),2),0,1,2,3,4,"S")</f>
        <v>2</v>
      </c>
      <c r="B1053">
        <f ca="1">IF(OR(A1053="S",A1053=0),0,IF(ISERROR(I1053),H1053,SMALL(H1053:I1053,1)))</f>
        <v>3</v>
      </c>
      <c r="C1053">
        <f ca="1">IF($A1053=1,OFFSET(C1053,-1,0)+1,OFFSET(C1053,-1,0))</f>
        <v>12</v>
      </c>
      <c r="D1053">
        <f ca="1">IF($A1053=1,0,IF($A1053=2,OFFSET(D1053,-1,0)+1,OFFSET(D1053,-1,0)))</f>
        <v>2</v>
      </c>
      <c r="E1053">
        <f ca="1">IF(AND($A1053&lt;=2,$A1053&lt;&gt;0),0,IF($A1053=3,OFFSET(E1053,-1,0)+1,OFFSET(E1053,-1,0)))</f>
        <v>0</v>
      </c>
      <c r="F1053">
        <f ca="1">IF(AND($A1053&lt;=3,$A1053&lt;&gt;0),0,IF($A1053=4,OFFSET(F1053,-1,0)+1,OFFSET(F1053,-1,0)))</f>
        <v>0</v>
      </c>
      <c r="G1053">
        <f ca="1">IF(AND($A1053&lt;=4,$A1053&lt;&gt;0),0,IF($A1053="S",OFFSET(G1053,-1,0)+1,OFFSET(G1053,-1,0)))</f>
        <v>0</v>
      </c>
      <c r="H1053">
        <f ca="1">IF(OR($A1053="S",$A1053=0),0,MATCH(0,OFFSET($B1053,1,$A1053,ROW($A$1504)-ROW($A1053)),0))</f>
        <v>75</v>
      </c>
      <c r="I1053">
        <f ca="1">IF(OR($A1053="S",$A1053=0),0,MATCH(OFFSET($B1053,0,$A1053)+1,OFFSET($B1053,1,$A1053,ROW($A$1504)-ROW($A1053)),0))</f>
        <v>3</v>
      </c>
      <c r="J1053" s="132" t="s">
        <v>68</v>
      </c>
      <c r="K1053" s="121" t="str">
        <f ca="1">IF($A1053=0,"-",CONCATENATE(C1053&amp;".",IF(AND($A$5&gt;=2,$A1053&gt;=2),D1053&amp;".",""),IF(AND($A$5&gt;=3,$A1053&gt;=3),E1053&amp;".",""),IF(AND($A$5&gt;=4,$A1053&gt;=4),F1053&amp;".",""),IF($A1053="S",G1053&amp;".","")))</f>
        <v>12.2.</v>
      </c>
      <c r="L1053" s="137" t="str">
        <f ca="1">IF(NOT(ISERROR($Y1053)),IF($Y1053&lt;&gt;FALSE,INDEX(Banco,$Y1053,4),""),"")</f>
        <v/>
      </c>
      <c r="M1053" s="122"/>
      <c r="N1053" s="139"/>
      <c r="O1053" s="137" t="s">
        <v>427</v>
      </c>
      <c r="P1053" s="138" t="str">
        <f ca="1">IF(NOT(ISERROR($Y1053)),IF($Y1053&lt;&gt;FALSE,INDEX(Banco,$Y1053,6),""),"")</f>
        <v/>
      </c>
      <c r="Q1053" s="134"/>
      <c r="R1053" s="124">
        <f ca="1">IF(NOT(ISERROR($Y1053)),IF($Y1053&lt;&gt;FALSE,INDEX(Banco,$Y1053,7),0),0)</f>
        <v>0</v>
      </c>
      <c r="S1053" s="136" t="s">
        <v>62</v>
      </c>
      <c r="T1053" s="123">
        <f>IF($J1053=$G$2,ROUND(ROUND($R1053,2)*IF($R$9="Preço Unitário (R$)",1,1+$AA1053),2),0)</f>
        <v>0</v>
      </c>
      <c r="U1053" s="126">
        <f ca="1">IF($A1053="S",VTOTAL1,IF($A1053=0,0,ROUND(SomaAgrup,2)))</f>
        <v>3427.56</v>
      </c>
      <c r="V1053" s="1"/>
      <c r="W1053" s="39">
        <f ca="1">IF(OR($A1053=0,$A1053="S",$A1053&gt;CFF!$A$9),"",MAX(W$11:OFFSET(W1053,-1,0))+1)</f>
        <v>92</v>
      </c>
      <c r="X1053" s="4" t="b">
        <f>IF(AND($J1053=$G$2,$N1053&lt;&gt;"",$M1053&lt;&gt;""),CONCATENATE($M1053,"-",$N1053))</f>
        <v>0</v>
      </c>
      <c r="Y1053" s="39" t="b">
        <f ca="1">IF(X1053&lt;&gt;FALSE,MATCH(X1053,OFFSET(Banco,0,0,,1),0))</f>
        <v>0</v>
      </c>
      <c r="Z1053" s="1"/>
      <c r="AA1053" s="133" t="str">
        <f>IF($J1053=$G$2,ROUND(IF(ISNUMBER(S1053),S1053,IF(LEFT(S1053,2)="DI",HLOOKUP(S1053,DADOS!$T$29:$X$30,2,FALSE),0)),4),"")</f>
        <v/>
      </c>
      <c r="AB1053" s="2"/>
    </row>
    <row r="1054" spans="1:28">
      <c r="A1054" t="str">
        <f t="shared" ref="A1054:A1058" si="1329">CHOOSE(1+LOG(1+2*(J1054=$C$2)+4*(J1054=$D$2)+8*(J1054=$E$2)+16*(J1054=$F$2)+32*(J1054=$G$2),2),0,1,2,3,4,"S")</f>
        <v>S</v>
      </c>
      <c r="B1054">
        <f t="shared" ref="B1054:B1058" si="1330">IF(OR(A1054="S",A1054=0),0,IF(ISERROR(I1054),H1054,SMALL(H1054:I1054,1)))</f>
        <v>0</v>
      </c>
      <c r="C1054">
        <f t="shared" ref="C1054:C1058" ca="1" si="1331">IF($A1054=1,OFFSET(C1054,-1,0)+1,OFFSET(C1054,-1,0))</f>
        <v>12</v>
      </c>
      <c r="D1054">
        <f t="shared" ref="D1054:D1058" ca="1" si="1332">IF($A1054=1,0,IF($A1054=2,OFFSET(D1054,-1,0)+1,OFFSET(D1054,-1,0)))</f>
        <v>2</v>
      </c>
      <c r="E1054">
        <f t="shared" ref="E1054:E1058" ca="1" si="1333">IF(AND($A1054&lt;=2,$A1054&lt;&gt;0),0,IF($A1054=3,OFFSET(E1054,-1,0)+1,OFFSET(E1054,-1,0)))</f>
        <v>0</v>
      </c>
      <c r="F1054">
        <f t="shared" ref="F1054:F1058" ca="1" si="1334">IF(AND($A1054&lt;=3,$A1054&lt;&gt;0),0,IF($A1054=4,OFFSET(F1054,-1,0)+1,OFFSET(F1054,-1,0)))</f>
        <v>0</v>
      </c>
      <c r="G1054">
        <f t="shared" ref="G1054:G1058" ca="1" si="1335">IF(AND($A1054&lt;=4,$A1054&lt;&gt;0),0,IF($A1054="S",OFFSET(G1054,-1,0)+1,OFFSET(G1054,-1,0)))</f>
        <v>1</v>
      </c>
      <c r="H1054">
        <f ca="1">IF(OR($A1054="S",$A1054=0),0,MATCH(0,OFFSET($B1054,1,$A1054,ROW($A$1504)-ROW($A1054)),0))</f>
        <v>0</v>
      </c>
      <c r="I1054">
        <f ca="1">IF(OR($A1054="S",$A1054=0),0,MATCH(OFFSET($B1054,0,$A1054)+1,OFFSET($B1054,1,$A1054,ROW($A$1504)-ROW($A1054)),0))</f>
        <v>0</v>
      </c>
      <c r="J1054" s="132" t="s">
        <v>29</v>
      </c>
      <c r="K1054" s="121" t="str">
        <f t="shared" ref="K1054:K1058" ca="1" si="1336">IF($A1054=0,"-",CONCATENATE(C1054&amp;".",IF(AND($A$5&gt;=2,$A1054&gt;=2),D1054&amp;".",""),IF(AND($A$5&gt;=3,$A1054&gt;=3),E1054&amp;".",""),IF(AND($A$5&gt;=4,$A1054&gt;=4),F1054&amp;".",""),IF($A1054="S",G1054&amp;".","")))</f>
        <v>12.2.1.</v>
      </c>
      <c r="L1054" s="137" t="str">
        <f t="shared" ref="L1054:L1058" ca="1" si="1337">IF(NOT(ISERROR($Y1054)),IF($Y1054&lt;&gt;FALSE,INDEX(Banco,$Y1054,4),""),"")</f>
        <v>CRESS</v>
      </c>
      <c r="M1054" s="122" t="s">
        <v>78</v>
      </c>
      <c r="N1054" s="139" t="s">
        <v>149</v>
      </c>
      <c r="O1054" s="137" t="str">
        <f ca="1">IF(NOT(ISERROR($Y1054)),IF($Y1054&lt;&gt;FALSE,INDEX(Banco,$Y1054,5),""),"")</f>
        <v>Responsável Técnica</v>
      </c>
      <c r="P1054" s="138" t="str">
        <f t="shared" ref="P1054:P1058" ca="1" si="1338">IF(NOT(ISERROR($Y1054)),IF($Y1054&lt;&gt;FALSE,INDEX(Banco,$Y1054,6),""),"")</f>
        <v>Horas</v>
      </c>
      <c r="Q1054" s="134">
        <v>4</v>
      </c>
      <c r="R1054" s="124">
        <f t="shared" ref="R1054:R1058" ca="1" si="1339">IF(NOT(ISERROR($Y1054)),IF($Y1054&lt;&gt;FALSE,INDEX(Banco,$Y1054,7),0),0)</f>
        <v>150.28</v>
      </c>
      <c r="S1054" s="136" t="s">
        <v>62</v>
      </c>
      <c r="T1054" s="123">
        <f t="shared" ref="T1054:T1058" ca="1" si="1340">IF($J1054=$G$2,ROUND(ROUND($R1054,2)*IF($R$9="Preço Unitário (R$)",1,1+$AA1054),2),0)</f>
        <v>187.85</v>
      </c>
      <c r="U1054" s="126">
        <f t="shared" ref="U1054:U1058" ca="1" si="1341">IF($A1054="S",VTOTAL1,IF($A1054=0,0,ROUND(SomaAgrup,2)))</f>
        <v>751.4</v>
      </c>
      <c r="V1054" s="1"/>
      <c r="W1054" s="39" t="str">
        <f ca="1">IF(OR($A1054=0,$A1054="S",$A1054&gt;CFF!$A$9),"",MAX(W$11:OFFSET(W1054,-1,0))+1)</f>
        <v/>
      </c>
      <c r="X1054" s="4" t="str">
        <f t="shared" ref="X1054:X1058" si="1342">IF(AND($J1054=$G$2,$N1054&lt;&gt;"",$M1054&lt;&gt;""),CONCATENATE($M1054,"-",$N1054))</f>
        <v>Rec. Humanos-001</v>
      </c>
      <c r="Y1054" s="39">
        <f t="shared" ref="Y1054:Y1058" ca="1" si="1343">IF(X1054&lt;&gt;FALSE,MATCH(X1054,OFFSET(Banco,0,0,,1),0))</f>
        <v>3</v>
      </c>
      <c r="Z1054" s="1"/>
      <c r="AA1054" s="133">
        <f>IF($J1054=$G$2,ROUND(IF(ISNUMBER(S1054),S1054,IF(LEFT(S1054,2)="DI",HLOOKUP(S1054,DADOS!$T$29:$X$30,2,FALSE),0)),4),"")</f>
        <v>0.25</v>
      </c>
      <c r="AB1054" s="2"/>
    </row>
    <row r="1055" spans="1:28">
      <c r="A1055" t="str">
        <f t="shared" si="1329"/>
        <v>S</v>
      </c>
      <c r="B1055">
        <f t="shared" si="1330"/>
        <v>0</v>
      </c>
      <c r="C1055">
        <f t="shared" ca="1" si="1331"/>
        <v>12</v>
      </c>
      <c r="D1055">
        <f t="shared" ca="1" si="1332"/>
        <v>2</v>
      </c>
      <c r="E1055">
        <f t="shared" ca="1" si="1333"/>
        <v>0</v>
      </c>
      <c r="F1055">
        <f t="shared" ca="1" si="1334"/>
        <v>0</v>
      </c>
      <c r="G1055">
        <f t="shared" ca="1" si="1335"/>
        <v>2</v>
      </c>
      <c r="H1055">
        <f ca="1">IF(OR($A1055="S",$A1055=0),0,MATCH(0,OFFSET($B1055,1,$A1055,ROW($A$1504)-ROW($A1055)),0))</f>
        <v>0</v>
      </c>
      <c r="I1055">
        <f ca="1">IF(OR($A1055="S",$A1055=0),0,MATCH(OFFSET($B1055,0,$A1055)+1,OFFSET($B1055,1,$A1055,ROW($A$1504)-ROW($A1055)),0))</f>
        <v>0</v>
      </c>
      <c r="J1055" s="132" t="s">
        <v>29</v>
      </c>
      <c r="K1055" s="121" t="str">
        <f t="shared" ca="1" si="1336"/>
        <v>12.2.2.</v>
      </c>
      <c r="L1055" s="137" t="str">
        <f t="shared" ca="1" si="1337"/>
        <v>CRESS</v>
      </c>
      <c r="M1055" s="122" t="s">
        <v>78</v>
      </c>
      <c r="N1055" s="139" t="s">
        <v>152</v>
      </c>
      <c r="O1055" s="137" t="str">
        <f ca="1">IF(NOT(ISERROR($Y1055)),IF($Y1055&lt;&gt;FALSE,INDEX(Banco,$Y1055,5),""),"")</f>
        <v>Assistente Social</v>
      </c>
      <c r="P1055" s="138" t="str">
        <f t="shared" ca="1" si="1338"/>
        <v>Horas</v>
      </c>
      <c r="Q1055" s="134">
        <v>16</v>
      </c>
      <c r="R1055" s="124">
        <f t="shared" ca="1" si="1339"/>
        <v>133.81</v>
      </c>
      <c r="S1055" s="136" t="s">
        <v>62</v>
      </c>
      <c r="T1055" s="123">
        <f t="shared" ca="1" si="1340"/>
        <v>167.26</v>
      </c>
      <c r="U1055" s="126">
        <f t="shared" ca="1" si="1341"/>
        <v>2676.16</v>
      </c>
      <c r="V1055" s="1"/>
      <c r="W1055" s="39" t="str">
        <f ca="1">IF(OR($A1055=0,$A1055="S",$A1055&gt;CFF!$A$9),"",MAX(W$11:OFFSET(W1055,-1,0))+1)</f>
        <v/>
      </c>
      <c r="X1055" s="4" t="str">
        <f t="shared" si="1342"/>
        <v>Rec. Humanos-002</v>
      </c>
      <c r="Y1055" s="39">
        <f t="shared" ca="1" si="1343"/>
        <v>4</v>
      </c>
      <c r="Z1055" s="1"/>
      <c r="AA1055" s="133">
        <f>IF($J1055=$G$2,ROUND(IF(ISNUMBER(S1055),S1055,IF(LEFT(S1055,2)="DI",HLOOKUP(S1055,DADOS!$T$29:$X$30,2,FALSE),0)),4),"")</f>
        <v>0.25</v>
      </c>
      <c r="AB1055" s="2"/>
    </row>
    <row r="1056" spans="1:28">
      <c r="A1056">
        <f>CHOOSE(1+LOG(1+2*(J1056=$C$2)+4*(J1056=$D$2)+8*(J1056=$E$2)+16*(J1056=$F$2)+32*(J1056=$G$2),2),0,1,2,3,4,"S")</f>
        <v>2</v>
      </c>
      <c r="B1056">
        <f ca="1">IF(OR(A1056="S",A1056=0),0,IF(ISERROR(I1056),H1056,SMALL(H1056:I1056,1)))</f>
        <v>18</v>
      </c>
      <c r="C1056">
        <f ca="1">IF($A1056=1,OFFSET(C1056,-1,0)+1,OFFSET(C1056,-1,0))</f>
        <v>12</v>
      </c>
      <c r="D1056">
        <f ca="1">IF($A1056=1,0,IF($A1056=2,OFFSET(D1056,-1,0)+1,OFFSET(D1056,-1,0)))</f>
        <v>3</v>
      </c>
      <c r="E1056">
        <f ca="1">IF(AND($A1056&lt;=2,$A1056&lt;&gt;0),0,IF($A1056=3,OFFSET(E1056,-1,0)+1,OFFSET(E1056,-1,0)))</f>
        <v>0</v>
      </c>
      <c r="F1056">
        <f ca="1">IF(AND($A1056&lt;=3,$A1056&lt;&gt;0),0,IF($A1056=4,OFFSET(F1056,-1,0)+1,OFFSET(F1056,-1,0)))</f>
        <v>0</v>
      </c>
      <c r="G1056">
        <f ca="1">IF(AND($A1056&lt;=4,$A1056&lt;&gt;0),0,IF($A1056="S",OFFSET(G1056,-1,0)+1,OFFSET(G1056,-1,0)))</f>
        <v>0</v>
      </c>
      <c r="H1056">
        <f ca="1">IF(OR($A1056="S",$A1056=0),0,MATCH(0,OFFSET($B1056,1,$A1056,ROW($A$1504)-ROW($A1056)),0))</f>
        <v>72</v>
      </c>
      <c r="I1056">
        <f ca="1">IF(OR($A1056="S",$A1056=0),0,MATCH(OFFSET($B1056,0,$A1056)+1,OFFSET($B1056,1,$A1056,ROW($A$1504)-ROW($A1056)),0))</f>
        <v>18</v>
      </c>
      <c r="J1056" s="132" t="s">
        <v>68</v>
      </c>
      <c r="K1056" s="121" t="str">
        <f ca="1">IF($A1056=0,"-",CONCATENATE(C1056&amp;".",IF(AND($A$5&gt;=2,$A1056&gt;=2),D1056&amp;".",""),IF(AND($A$5&gt;=3,$A1056&gt;=3),E1056&amp;".",""),IF(AND($A$5&gt;=4,$A1056&gt;=4),F1056&amp;".",""),IF($A1056="S",G1056&amp;".","")))</f>
        <v>12.3.</v>
      </c>
      <c r="L1056" s="137" t="str">
        <f ca="1">IF(NOT(ISERROR($Y1056)),IF($Y1056&lt;&gt;FALSE,INDEX(Banco,$Y1056,4),""),"")</f>
        <v/>
      </c>
      <c r="M1056" s="122"/>
      <c r="N1056" s="139"/>
      <c r="O1056" s="137" t="s">
        <v>428</v>
      </c>
      <c r="P1056" s="138" t="str">
        <f ca="1">IF(NOT(ISERROR($Y1056)),IF($Y1056&lt;&gt;FALSE,INDEX(Banco,$Y1056,6),""),"")</f>
        <v/>
      </c>
      <c r="Q1056" s="134"/>
      <c r="R1056" s="124">
        <f ca="1">IF(NOT(ISERROR($Y1056)),IF($Y1056&lt;&gt;FALSE,INDEX(Banco,$Y1056,7),0),0)</f>
        <v>0</v>
      </c>
      <c r="S1056" s="136" t="s">
        <v>62</v>
      </c>
      <c r="T1056" s="123">
        <f>IF($J1056=$G$2,ROUND(ROUND($R1056,2)*IF($R$9="Preço Unitário (R$)",1,1+$AA1056),2),0)</f>
        <v>0</v>
      </c>
      <c r="U1056" s="126">
        <f ca="1">IF($A1056="S",VTOTAL1,IF($A1056=0,0,ROUND(SomaAgrup,2)))</f>
        <v>11149.34</v>
      </c>
      <c r="V1056" s="1"/>
      <c r="W1056" s="39">
        <f ca="1">IF(OR($A1056=0,$A1056="S",$A1056&gt;CFF!$A$9),"",MAX(W$11:OFFSET(W1056,-1,0))+1)</f>
        <v>93</v>
      </c>
      <c r="X1056" s="4" t="b">
        <f>IF(AND($J1056=$G$2,$N1056&lt;&gt;"",$M1056&lt;&gt;""),CONCATENATE($M1056,"-",$N1056))</f>
        <v>0</v>
      </c>
      <c r="Y1056" s="39" t="b">
        <f ca="1">IF(X1056&lt;&gt;FALSE,MATCH(X1056,OFFSET(Banco,0,0,,1),0))</f>
        <v>0</v>
      </c>
      <c r="Z1056" s="1"/>
      <c r="AA1056" s="133" t="str">
        <f>IF($J1056=$G$2,ROUND(IF(ISNUMBER(S1056),S1056,IF(LEFT(S1056,2)="DI",HLOOKUP(S1056,DADOS!$T$29:$X$30,2,FALSE),0)),4),"")</f>
        <v/>
      </c>
      <c r="AB1056" s="2"/>
    </row>
    <row r="1057" spans="1:28">
      <c r="A1057" t="str">
        <f t="shared" si="1329"/>
        <v>S</v>
      </c>
      <c r="B1057">
        <f t="shared" si="1330"/>
        <v>0</v>
      </c>
      <c r="C1057">
        <f t="shared" ca="1" si="1331"/>
        <v>12</v>
      </c>
      <c r="D1057">
        <f t="shared" ca="1" si="1332"/>
        <v>3</v>
      </c>
      <c r="E1057">
        <f t="shared" ca="1" si="1333"/>
        <v>0</v>
      </c>
      <c r="F1057">
        <f t="shared" ca="1" si="1334"/>
        <v>0</v>
      </c>
      <c r="G1057">
        <f t="shared" ca="1" si="1335"/>
        <v>1</v>
      </c>
      <c r="H1057">
        <f ca="1">IF(OR($A1057="S",$A1057=0),0,MATCH(0,OFFSET($B1057,1,$A1057,ROW($A$1504)-ROW($A1057)),0))</f>
        <v>0</v>
      </c>
      <c r="I1057">
        <f ca="1">IF(OR($A1057="S",$A1057=0),0,MATCH(OFFSET($B1057,0,$A1057)+1,OFFSET($B1057,1,$A1057,ROW($A$1504)-ROW($A1057)),0))</f>
        <v>0</v>
      </c>
      <c r="J1057" s="132" t="s">
        <v>29</v>
      </c>
      <c r="K1057" s="121" t="str">
        <f t="shared" ca="1" si="1336"/>
        <v>12.3.1.</v>
      </c>
      <c r="L1057" s="137" t="str">
        <f t="shared" ca="1" si="1337"/>
        <v>CRESS</v>
      </c>
      <c r="M1057" s="122" t="s">
        <v>78</v>
      </c>
      <c r="N1057" s="139" t="s">
        <v>149</v>
      </c>
      <c r="O1057" s="137" t="str">
        <f ca="1">IF(NOT(ISERROR($Y1057)),IF($Y1057&lt;&gt;FALSE,INDEX(Banco,$Y1057,5),""),"")</f>
        <v>Responsável Técnica</v>
      </c>
      <c r="P1057" s="138" t="str">
        <f t="shared" ca="1" si="1338"/>
        <v>Horas</v>
      </c>
      <c r="Q1057" s="134">
        <v>12</v>
      </c>
      <c r="R1057" s="124">
        <f t="shared" ca="1" si="1339"/>
        <v>150.28</v>
      </c>
      <c r="S1057" s="136" t="s">
        <v>62</v>
      </c>
      <c r="T1057" s="123">
        <f t="shared" ca="1" si="1340"/>
        <v>187.85</v>
      </c>
      <c r="U1057" s="126">
        <f t="shared" ca="1" si="1341"/>
        <v>2254.1999999999998</v>
      </c>
      <c r="V1057" s="1"/>
      <c r="W1057" s="39" t="str">
        <f ca="1">IF(OR($A1057=0,$A1057="S",$A1057&gt;CFF!$A$9),"",MAX(W$11:OFFSET(W1057,-1,0))+1)</f>
        <v/>
      </c>
      <c r="X1057" s="4" t="str">
        <f t="shared" si="1342"/>
        <v>Rec. Humanos-001</v>
      </c>
      <c r="Y1057" s="39">
        <f t="shared" ca="1" si="1343"/>
        <v>3</v>
      </c>
      <c r="Z1057" s="1"/>
      <c r="AA1057" s="133">
        <f>IF($J1057=$G$2,ROUND(IF(ISNUMBER(S1057),S1057,IF(LEFT(S1057,2)="DI",HLOOKUP(S1057,DADOS!$T$29:$X$30,2,FALSE),0)),4),"")</f>
        <v>0.25</v>
      </c>
      <c r="AB1057" s="2"/>
    </row>
    <row r="1058" spans="1:28">
      <c r="A1058" t="str">
        <f t="shared" si="1329"/>
        <v>S</v>
      </c>
      <c r="B1058">
        <f t="shared" si="1330"/>
        <v>0</v>
      </c>
      <c r="C1058">
        <f t="shared" ca="1" si="1331"/>
        <v>12</v>
      </c>
      <c r="D1058">
        <f t="shared" ca="1" si="1332"/>
        <v>3</v>
      </c>
      <c r="E1058">
        <f t="shared" ca="1" si="1333"/>
        <v>0</v>
      </c>
      <c r="F1058">
        <f t="shared" ca="1" si="1334"/>
        <v>0</v>
      </c>
      <c r="G1058">
        <f t="shared" ca="1" si="1335"/>
        <v>2</v>
      </c>
      <c r="H1058">
        <f ca="1">IF(OR($A1058="S",$A1058=0),0,MATCH(0,OFFSET($B1058,1,$A1058,ROW($A$1504)-ROW($A1058)),0))</f>
        <v>0</v>
      </c>
      <c r="I1058">
        <f ca="1">IF(OR($A1058="S",$A1058=0),0,MATCH(OFFSET($B1058,0,$A1058)+1,OFFSET($B1058,1,$A1058,ROW($A$1504)-ROW($A1058)),0))</f>
        <v>0</v>
      </c>
      <c r="J1058" s="132" t="s">
        <v>29</v>
      </c>
      <c r="K1058" s="121" t="str">
        <f t="shared" ca="1" si="1336"/>
        <v>12.3.2.</v>
      </c>
      <c r="L1058" s="137" t="str">
        <f t="shared" ca="1" si="1337"/>
        <v>CRESS</v>
      </c>
      <c r="M1058" s="122" t="s">
        <v>78</v>
      </c>
      <c r="N1058" s="139" t="s">
        <v>152</v>
      </c>
      <c r="O1058" s="137" t="str">
        <f ca="1">IF(NOT(ISERROR($Y1058)),IF($Y1058&lt;&gt;FALSE,INDEX(Banco,$Y1058,5),""),"")</f>
        <v>Assistente Social</v>
      </c>
      <c r="P1058" s="138" t="str">
        <f t="shared" ca="1" si="1338"/>
        <v>Horas</v>
      </c>
      <c r="Q1058" s="134">
        <v>10</v>
      </c>
      <c r="R1058" s="124">
        <f t="shared" ca="1" si="1339"/>
        <v>133.81</v>
      </c>
      <c r="S1058" s="136" t="s">
        <v>62</v>
      </c>
      <c r="T1058" s="123">
        <f t="shared" ca="1" si="1340"/>
        <v>167.26</v>
      </c>
      <c r="U1058" s="126">
        <f t="shared" ca="1" si="1341"/>
        <v>1672.6</v>
      </c>
      <c r="V1058" s="1"/>
      <c r="W1058" s="39" t="str">
        <f ca="1">IF(OR($A1058=0,$A1058="S",$A1058&gt;CFF!$A$9),"",MAX(W$11:OFFSET(W1058,-1,0))+1)</f>
        <v/>
      </c>
      <c r="X1058" s="4" t="str">
        <f t="shared" si="1342"/>
        <v>Rec. Humanos-002</v>
      </c>
      <c r="Y1058" s="39">
        <f t="shared" ca="1" si="1343"/>
        <v>4</v>
      </c>
      <c r="Z1058" s="1"/>
      <c r="AA1058" s="133">
        <f>IF($J1058=$G$2,ROUND(IF(ISNUMBER(S1058),S1058,IF(LEFT(S1058,2)="DI",HLOOKUP(S1058,DADOS!$T$29:$X$30,2,FALSE),0)),4),"")</f>
        <v>0.25</v>
      </c>
      <c r="AB1058" s="2"/>
    </row>
    <row r="1059" spans="1:28">
      <c r="A1059" t="str">
        <f t="shared" ref="A1059:A1064" si="1344">CHOOSE(1+LOG(1+2*(J1059=$C$2)+4*(J1059=$D$2)+8*(J1059=$E$2)+16*(J1059=$F$2)+32*(J1059=$G$2),2),0,1,2,3,4,"S")</f>
        <v>S</v>
      </c>
      <c r="B1059">
        <f t="shared" ref="B1059:B1064" si="1345">IF(OR(A1059="S",A1059=0),0,IF(ISERROR(I1059),H1059,SMALL(H1059:I1059,1)))</f>
        <v>0</v>
      </c>
      <c r="C1059">
        <f t="shared" ref="C1059:C1072" ca="1" si="1346">IF($A1059=1,OFFSET(C1059,-1,0)+1,OFFSET(C1059,-1,0))</f>
        <v>12</v>
      </c>
      <c r="D1059">
        <f t="shared" ref="D1059:D1072" ca="1" si="1347">IF($A1059=1,0,IF($A1059=2,OFFSET(D1059,-1,0)+1,OFFSET(D1059,-1,0)))</f>
        <v>3</v>
      </c>
      <c r="E1059">
        <f t="shared" ref="E1059:E1072" ca="1" si="1348">IF(AND($A1059&lt;=2,$A1059&lt;&gt;0),0,IF($A1059=3,OFFSET(E1059,-1,0)+1,OFFSET(E1059,-1,0)))</f>
        <v>0</v>
      </c>
      <c r="F1059">
        <f t="shared" ref="F1059:F1072" ca="1" si="1349">IF(AND($A1059&lt;=3,$A1059&lt;&gt;0),0,IF($A1059=4,OFFSET(F1059,-1,0)+1,OFFSET(F1059,-1,0)))</f>
        <v>0</v>
      </c>
      <c r="G1059">
        <f t="shared" ref="G1059:G1072" ca="1" si="1350">IF(AND($A1059&lt;=4,$A1059&lt;&gt;0),0,IF($A1059="S",OFFSET(G1059,-1,0)+1,OFFSET(G1059,-1,0)))</f>
        <v>3</v>
      </c>
      <c r="H1059">
        <f ca="1">IF(OR($A1059="S",$A1059=0),0,MATCH(0,OFFSET($B1059,1,$A1059,ROW($A$1504)-ROW($A1059)),0))</f>
        <v>0</v>
      </c>
      <c r="I1059">
        <f ca="1">IF(OR($A1059="S",$A1059=0),0,MATCH(OFFSET($B1059,0,$A1059)+1,OFFSET($B1059,1,$A1059,ROW($A$1504)-ROW($A1059)),0))</f>
        <v>0</v>
      </c>
      <c r="J1059" s="132" t="s">
        <v>29</v>
      </c>
      <c r="K1059" s="121" t="str">
        <f t="shared" ref="K1059:K1064" ca="1" si="1351">IF($A1059=0,"-",CONCATENATE(C1059&amp;".",IF(AND($A$5&gt;=2,$A1059&gt;=2),D1059&amp;".",""),IF(AND($A$5&gt;=3,$A1059&gt;=3),E1059&amp;".",""),IF(AND($A$5&gt;=4,$A1059&gt;=4),F1059&amp;".",""),IF($A1059="S",G1059&amp;".","")))</f>
        <v>12.3.3.</v>
      </c>
      <c r="L1059" s="137" t="str">
        <f t="shared" ref="L1059:L1072" ca="1" si="1352">IF(NOT(ISERROR($Y1059)),IF($Y1059&lt;&gt;FALSE,INDEX(Banco,$Y1059,4),""),"")</f>
        <v>Cotação</v>
      </c>
      <c r="M1059" s="122" t="s">
        <v>78</v>
      </c>
      <c r="N1059" s="139" t="s">
        <v>151</v>
      </c>
      <c r="O1059" s="137" t="str">
        <f t="shared" ref="O1059:O1072" ca="1" si="1353">IF(NOT(ISERROR($Y1059)),IF($Y1059&lt;&gt;FALSE,INDEX(Banco,$Y1059,5),""),"")</f>
        <v xml:space="preserve">Administrador (Técnico de Apoio) </v>
      </c>
      <c r="P1059" s="138" t="str">
        <f t="shared" ref="P1059:P1072" ca="1" si="1354">IF(NOT(ISERROR($Y1059)),IF($Y1059&lt;&gt;FALSE,INDEX(Banco,$Y1059,6),""),"")</f>
        <v>Horas</v>
      </c>
      <c r="Q1059" s="134">
        <v>4</v>
      </c>
      <c r="R1059" s="124">
        <f t="shared" ref="R1059:R1072" ca="1" si="1355">IF(NOT(ISERROR($Y1059)),IF($Y1059&lt;&gt;FALSE,INDEX(Banco,$Y1059,7),0),0)</f>
        <v>103.65</v>
      </c>
      <c r="S1059" s="136" t="s">
        <v>62</v>
      </c>
      <c r="T1059" s="123">
        <f t="shared" ref="T1059:T1072" ca="1" si="1356">IF($J1059=$G$2,ROUND(ROUND($R1059,2)*IF($R$9="Preço Unitário (R$)",1,1+$AA1059),2),0)</f>
        <v>129.56</v>
      </c>
      <c r="U1059" s="126">
        <f t="shared" ref="U1059:U1072" ca="1" si="1357">IF($A1059="S",VTOTAL1,IF($A1059=0,0,ROUND(SomaAgrup,2)))</f>
        <v>518.24</v>
      </c>
      <c r="V1059" s="1"/>
      <c r="W1059" s="39" t="str">
        <f ca="1">IF(OR($A1059=0,$A1059="S",$A1059&gt;CFF!$A$9),"",MAX(W$11:OFFSET(W1059,-1,0))+1)</f>
        <v/>
      </c>
      <c r="X1059" s="4" t="str">
        <f t="shared" ref="X1059:X1072" si="1358">IF(AND($J1059=$G$2,$N1059&lt;&gt;"",$M1059&lt;&gt;""),CONCATENATE($M1059,"-",$N1059))</f>
        <v>Rec. Humanos-003</v>
      </c>
      <c r="Y1059" s="39">
        <f t="shared" ref="Y1059:Y1064" ca="1" si="1359">IF(X1059&lt;&gt;FALSE,MATCH(X1059,OFFSET(Banco,0,0,,1),0))</f>
        <v>5</v>
      </c>
      <c r="Z1059" s="1"/>
      <c r="AA1059" s="133">
        <f>IF($J1059=$G$2,ROUND(IF(ISNUMBER(S1059),S1059,IF(LEFT(S1059,2)="DI",HLOOKUP(S1059,DADOS!$T$29:$X$30,2,FALSE),0)),4),"")</f>
        <v>0.25</v>
      </c>
      <c r="AB1059" s="2"/>
    </row>
    <row r="1060" spans="1:28">
      <c r="A1060" t="str">
        <f t="shared" si="1344"/>
        <v>S</v>
      </c>
      <c r="B1060">
        <f t="shared" si="1345"/>
        <v>0</v>
      </c>
      <c r="C1060">
        <f t="shared" ca="1" si="1346"/>
        <v>12</v>
      </c>
      <c r="D1060">
        <f t="shared" ca="1" si="1347"/>
        <v>3</v>
      </c>
      <c r="E1060">
        <f t="shared" ca="1" si="1348"/>
        <v>0</v>
      </c>
      <c r="F1060">
        <f t="shared" ca="1" si="1349"/>
        <v>0</v>
      </c>
      <c r="G1060">
        <f t="shared" ca="1" si="1350"/>
        <v>4</v>
      </c>
      <c r="H1060">
        <f ca="1">IF(OR($A1060="S",$A1060=0),0,MATCH(0,OFFSET($B1060,1,$A1060,ROW($A$1504)-ROW($A1060)),0))</f>
        <v>0</v>
      </c>
      <c r="I1060">
        <f ca="1">IF(OR($A1060="S",$A1060=0),0,MATCH(OFFSET($B1060,0,$A1060)+1,OFFSET($B1060,1,$A1060,ROW($A$1504)-ROW($A1060)),0))</f>
        <v>0</v>
      </c>
      <c r="J1060" s="132" t="s">
        <v>29</v>
      </c>
      <c r="K1060" s="121" t="str">
        <f t="shared" ca="1" si="1351"/>
        <v>12.3.4.</v>
      </c>
      <c r="L1060" s="137" t="str">
        <f t="shared" ca="1" si="1352"/>
        <v>SINE</v>
      </c>
      <c r="M1060" s="122" t="s">
        <v>78</v>
      </c>
      <c r="N1060" s="139" t="s">
        <v>153</v>
      </c>
      <c r="O1060" s="137" t="str">
        <f t="shared" ca="1" si="1353"/>
        <v>Estagiários</v>
      </c>
      <c r="P1060" s="138" t="str">
        <f t="shared" ca="1" si="1354"/>
        <v>Horas</v>
      </c>
      <c r="Q1060" s="134">
        <v>28</v>
      </c>
      <c r="R1060" s="124">
        <f t="shared" ca="1" si="1355"/>
        <v>9.7899999999999991</v>
      </c>
      <c r="S1060" s="136" t="s">
        <v>62</v>
      </c>
      <c r="T1060" s="123">
        <f t="shared" ca="1" si="1356"/>
        <v>12.24</v>
      </c>
      <c r="U1060" s="126">
        <f t="shared" ca="1" si="1357"/>
        <v>342.72</v>
      </c>
      <c r="V1060" s="1"/>
      <c r="W1060" s="39" t="str">
        <f ca="1">IF(OR($A1060=0,$A1060="S",$A1060&gt;CFF!$A$9),"",MAX(W$11:OFFSET(W1060,-1,0))+1)</f>
        <v/>
      </c>
      <c r="X1060" s="4" t="str">
        <f t="shared" si="1358"/>
        <v>Rec. Humanos-004</v>
      </c>
      <c r="Y1060" s="39">
        <f t="shared" ca="1" si="1359"/>
        <v>6</v>
      </c>
      <c r="Z1060" s="1"/>
      <c r="AA1060" s="133">
        <f>IF($J1060=$G$2,ROUND(IF(ISNUMBER(S1060),S1060,IF(LEFT(S1060,2)="DI",HLOOKUP(S1060,DADOS!$T$29:$X$30,2,FALSE),0)),4),"")</f>
        <v>0.25</v>
      </c>
      <c r="AB1060" s="2"/>
    </row>
    <row r="1061" spans="1:28">
      <c r="A1061" t="str">
        <f t="shared" si="1344"/>
        <v>S</v>
      </c>
      <c r="B1061">
        <f t="shared" si="1345"/>
        <v>0</v>
      </c>
      <c r="C1061">
        <f t="shared" ca="1" si="1346"/>
        <v>12</v>
      </c>
      <c r="D1061">
        <f t="shared" ca="1" si="1347"/>
        <v>3</v>
      </c>
      <c r="E1061">
        <f t="shared" ca="1" si="1348"/>
        <v>0</v>
      </c>
      <c r="F1061">
        <f t="shared" ca="1" si="1349"/>
        <v>0</v>
      </c>
      <c r="G1061">
        <f t="shared" ca="1" si="1350"/>
        <v>5</v>
      </c>
      <c r="H1061">
        <f ca="1">IF(OR($A1061="S",$A1061=0),0,MATCH(0,OFFSET($B1061,1,$A1061,ROW($A$1504)-ROW($A1061)),0))</f>
        <v>0</v>
      </c>
      <c r="I1061">
        <f ca="1">IF(OR($A1061="S",$A1061=0),0,MATCH(OFFSET($B1061,0,$A1061)+1,OFFSET($B1061,1,$A1061,ROW($A$1504)-ROW($A1061)),0))</f>
        <v>0</v>
      </c>
      <c r="J1061" s="132" t="s">
        <v>29</v>
      </c>
      <c r="K1061" s="121" t="str">
        <f t="shared" ca="1" si="1351"/>
        <v>12.3.5.</v>
      </c>
      <c r="L1061" s="137" t="str">
        <f t="shared" ca="1" si="1352"/>
        <v>Cotação</v>
      </c>
      <c r="M1061" s="122" t="s">
        <v>80</v>
      </c>
      <c r="N1061" s="139" t="s">
        <v>149</v>
      </c>
      <c r="O1061" s="137" t="str">
        <f t="shared" ca="1" si="1353"/>
        <v>Fotocópias</v>
      </c>
      <c r="P1061" s="138" t="str">
        <f t="shared" ca="1" si="1354"/>
        <v>Unidade</v>
      </c>
      <c r="Q1061" s="134">
        <v>150</v>
      </c>
      <c r="R1061" s="124">
        <f t="shared" ca="1" si="1355"/>
        <v>0.3</v>
      </c>
      <c r="S1061" s="136" t="s">
        <v>62</v>
      </c>
      <c r="T1061" s="123">
        <f t="shared" ca="1" si="1356"/>
        <v>0.38</v>
      </c>
      <c r="U1061" s="126">
        <f t="shared" ca="1" si="1357"/>
        <v>57</v>
      </c>
      <c r="V1061" s="1"/>
      <c r="W1061" s="39" t="str">
        <f ca="1">IF(OR($A1061=0,$A1061="S",$A1061&gt;CFF!$A$9),"",MAX(W$11:OFFSET(W1061,-1,0))+1)</f>
        <v/>
      </c>
      <c r="X1061" s="4" t="str">
        <f t="shared" si="1358"/>
        <v>Serv. Terc.-001</v>
      </c>
      <c r="Y1061" s="39">
        <f t="shared" ca="1" si="1359"/>
        <v>81</v>
      </c>
      <c r="Z1061" s="1"/>
      <c r="AA1061" s="133">
        <f>IF($J1061=$G$2,ROUND(IF(ISNUMBER(S1061),S1061,IF(LEFT(S1061,2)="DI",HLOOKUP(S1061,DADOS!$T$29:$X$30,2,FALSE),0)),4),"")</f>
        <v>0.25</v>
      </c>
      <c r="AB1061" s="2"/>
    </row>
    <row r="1062" spans="1:28">
      <c r="A1062" t="str">
        <f>CHOOSE(1+LOG(1+2*(J1062=$C$2)+4*(J1062=$D$2)+8*(J1062=$E$2)+16*(J1062=$F$2)+32*(J1062=$G$2),2),0,1,2,3,4,"S")</f>
        <v>S</v>
      </c>
      <c r="B1062">
        <f>IF(OR(A1062="S",A1062=0),0,IF(ISERROR(I1062),H1062,SMALL(H1062:I1062,1)))</f>
        <v>0</v>
      </c>
      <c r="C1062">
        <f ca="1">IF($A1062=1,OFFSET(C1062,-1,0)+1,OFFSET(C1062,-1,0))</f>
        <v>12</v>
      </c>
      <c r="D1062">
        <f ca="1">IF($A1062=1,0,IF($A1062=2,OFFSET(D1062,-1,0)+1,OFFSET(D1062,-1,0)))</f>
        <v>3</v>
      </c>
      <c r="E1062">
        <f ca="1">IF(AND($A1062&lt;=2,$A1062&lt;&gt;0),0,IF($A1062=3,OFFSET(E1062,-1,0)+1,OFFSET(E1062,-1,0)))</f>
        <v>0</v>
      </c>
      <c r="F1062">
        <f ca="1">IF(AND($A1062&lt;=3,$A1062&lt;&gt;0),0,IF($A1062=4,OFFSET(F1062,-1,0)+1,OFFSET(F1062,-1,0)))</f>
        <v>0</v>
      </c>
      <c r="G1062">
        <f ca="1">IF(AND($A1062&lt;=4,$A1062&lt;&gt;0),0,IF($A1062="S",OFFSET(G1062,-1,0)+1,OFFSET(G1062,-1,0)))</f>
        <v>6</v>
      </c>
      <c r="H1062">
        <f ca="1">IF(OR($A1062="S",$A1062=0),0,MATCH(0,OFFSET($B1062,1,$A1062,ROW($A$1504)-ROW($A1062)),0))</f>
        <v>0</v>
      </c>
      <c r="I1062">
        <f ca="1">IF(OR($A1062="S",$A1062=0),0,MATCH(OFFSET($B1062,0,$A1062)+1,OFFSET($B1062,1,$A1062,ROW($A$1504)-ROW($A1062)),0))</f>
        <v>0</v>
      </c>
      <c r="J1062" s="132" t="s">
        <v>29</v>
      </c>
      <c r="K1062" s="121" t="str">
        <f ca="1">IF($A1062=0,"-",CONCATENATE(C1062&amp;".",IF(AND($A$5&gt;=2,$A1062&gt;=2),D1062&amp;".",""),IF(AND($A$5&gt;=3,$A1062&gt;=3),E1062&amp;".",""),IF(AND($A$5&gt;=4,$A1062&gt;=4),F1062&amp;".",""),IF($A1062="S",G1062&amp;".","")))</f>
        <v>12.3.6.</v>
      </c>
      <c r="L1062" s="137" t="str">
        <f ca="1">IF(NOT(ISERROR($Y1062)),IF($Y1062&lt;&gt;FALSE,INDEX(Banco,$Y1062,4),""),"")</f>
        <v>Cotação</v>
      </c>
      <c r="M1062" s="122" t="s">
        <v>80</v>
      </c>
      <c r="N1062" s="139" t="s">
        <v>256</v>
      </c>
      <c r="O1062" s="137" t="str">
        <f ca="1">IF(NOT(ISERROR($Y1062)),IF($Y1062&lt;&gt;FALSE,INDEX(Banco,$Y1062,5),""),"")</f>
        <v>Instrutor/Monitor (Educação Fisíca)</v>
      </c>
      <c r="P1062" s="138" t="str">
        <f ca="1">IF(NOT(ISERROR($Y1062)),IF($Y1062&lt;&gt;FALSE,INDEX(Banco,$Y1062,6),""),"")</f>
        <v>Horas</v>
      </c>
      <c r="Q1062" s="134">
        <v>3</v>
      </c>
      <c r="R1062" s="124">
        <f ca="1">IF(NOT(ISERROR($Y1062)),IF($Y1062&lt;&gt;FALSE,INDEX(Banco,$Y1062,7),0),0)</f>
        <v>100</v>
      </c>
      <c r="S1062" s="136" t="s">
        <v>62</v>
      </c>
      <c r="T1062" s="123">
        <f ca="1">IF($J1062=$G$2,ROUND(ROUND($R1062,2)*IF($R$9="Preço Unitário (R$)",1,1+$AA1062),2),0)</f>
        <v>125</v>
      </c>
      <c r="U1062" s="126">
        <f ca="1">IF($A1062="S",VTOTAL1,IF($A1062=0,0,ROUND(SomaAgrup,2)))</f>
        <v>375</v>
      </c>
      <c r="V1062" s="1"/>
      <c r="W1062" s="39" t="str">
        <f ca="1">IF(OR($A1062=0,$A1062="S",$A1062&gt;CFF!$A$9),"",MAX(W$11:OFFSET(W1062,-1,0))+1)</f>
        <v/>
      </c>
      <c r="X1062" s="4" t="str">
        <f>IF(AND($J1062=$G$2,$N1062&lt;&gt;"",$M1062&lt;&gt;""),CONCATENATE($M1062,"-",$N1062))</f>
        <v>Serv. Terc.-017</v>
      </c>
      <c r="Y1062" s="39">
        <f ca="1">IF(X1062&lt;&gt;FALSE,MATCH(X1062,OFFSET(Banco,0,0,,1),0))</f>
        <v>97</v>
      </c>
      <c r="Z1062" s="1"/>
      <c r="AA1062" s="133">
        <f>IF($J1062=$G$2,ROUND(IF(ISNUMBER(S1062),S1062,IF(LEFT(S1062,2)="DI",HLOOKUP(S1062,DADOS!$T$29:$X$30,2,FALSE),0)),4),"")</f>
        <v>0.25</v>
      </c>
      <c r="AB1062" s="2"/>
    </row>
    <row r="1063" spans="1:28">
      <c r="A1063" t="str">
        <f t="shared" si="1344"/>
        <v>S</v>
      </c>
      <c r="B1063">
        <f t="shared" si="1345"/>
        <v>0</v>
      </c>
      <c r="C1063">
        <f t="shared" ca="1" si="1346"/>
        <v>12</v>
      </c>
      <c r="D1063">
        <f t="shared" ca="1" si="1347"/>
        <v>3</v>
      </c>
      <c r="E1063">
        <f t="shared" ca="1" si="1348"/>
        <v>0</v>
      </c>
      <c r="F1063">
        <f t="shared" ca="1" si="1349"/>
        <v>0</v>
      </c>
      <c r="G1063">
        <f t="shared" ca="1" si="1350"/>
        <v>7</v>
      </c>
      <c r="H1063">
        <f ca="1">IF(OR($A1063="S",$A1063=0),0,MATCH(0,OFFSET($B1063,1,$A1063,ROW($A$1504)-ROW($A1063)),0))</f>
        <v>0</v>
      </c>
      <c r="I1063">
        <f ca="1">IF(OR($A1063="S",$A1063=0),0,MATCH(OFFSET($B1063,0,$A1063)+1,OFFSET($B1063,1,$A1063,ROW($A$1504)-ROW($A1063)),0))</f>
        <v>0</v>
      </c>
      <c r="J1063" s="132" t="s">
        <v>29</v>
      </c>
      <c r="K1063" s="121" t="str">
        <f t="shared" ca="1" si="1351"/>
        <v>12.3.7.</v>
      </c>
      <c r="L1063" s="137" t="str">
        <f t="shared" ca="1" si="1352"/>
        <v>Cotação</v>
      </c>
      <c r="M1063" s="122" t="s">
        <v>80</v>
      </c>
      <c r="N1063" s="139" t="s">
        <v>152</v>
      </c>
      <c r="O1063" s="137" t="str">
        <f t="shared" ca="1" si="1353"/>
        <v>Carro de som com gravação de vinheta</v>
      </c>
      <c r="P1063" s="138" t="str">
        <f t="shared" ca="1" si="1354"/>
        <v>Horas</v>
      </c>
      <c r="Q1063" s="134">
        <v>3</v>
      </c>
      <c r="R1063" s="124">
        <f t="shared" ca="1" si="1355"/>
        <v>200</v>
      </c>
      <c r="S1063" s="136" t="s">
        <v>62</v>
      </c>
      <c r="T1063" s="123">
        <f t="shared" ca="1" si="1356"/>
        <v>250</v>
      </c>
      <c r="U1063" s="126">
        <f t="shared" ca="1" si="1357"/>
        <v>750</v>
      </c>
      <c r="V1063" s="1"/>
      <c r="W1063" s="39" t="str">
        <f ca="1">IF(OR($A1063=0,$A1063="S",$A1063&gt;CFF!$A$9),"",MAX(W$11:OFFSET(W1063,-1,0))+1)</f>
        <v/>
      </c>
      <c r="X1063" s="4" t="str">
        <f t="shared" si="1358"/>
        <v>Serv. Terc.-002</v>
      </c>
      <c r="Y1063" s="39">
        <f t="shared" ca="1" si="1359"/>
        <v>82</v>
      </c>
      <c r="Z1063" s="1"/>
      <c r="AA1063" s="133">
        <f>IF($J1063=$G$2,ROUND(IF(ISNUMBER(S1063),S1063,IF(LEFT(S1063,2)="DI",HLOOKUP(S1063,DADOS!$T$29:$X$30,2,FALSE),0)),4),"")</f>
        <v>0.25</v>
      </c>
      <c r="AB1063" s="2"/>
    </row>
    <row r="1064" spans="1:28">
      <c r="A1064" t="str">
        <f t="shared" si="1344"/>
        <v>S</v>
      </c>
      <c r="B1064">
        <f t="shared" si="1345"/>
        <v>0</v>
      </c>
      <c r="C1064">
        <f t="shared" ca="1" si="1346"/>
        <v>12</v>
      </c>
      <c r="D1064">
        <f t="shared" ca="1" si="1347"/>
        <v>3</v>
      </c>
      <c r="E1064">
        <f t="shared" ca="1" si="1348"/>
        <v>0</v>
      </c>
      <c r="F1064">
        <f t="shared" ca="1" si="1349"/>
        <v>0</v>
      </c>
      <c r="G1064">
        <f t="shared" ca="1" si="1350"/>
        <v>8</v>
      </c>
      <c r="H1064">
        <f ca="1">IF(OR($A1064="S",$A1064=0),0,MATCH(0,OFFSET($B1064,1,$A1064,ROW($A$1504)-ROW($A1064)),0))</f>
        <v>0</v>
      </c>
      <c r="I1064">
        <f ca="1">IF(OR($A1064="S",$A1064=0),0,MATCH(OFFSET($B1064,0,$A1064)+1,OFFSET($B1064,1,$A1064,ROW($A$1504)-ROW($A1064)),0))</f>
        <v>0</v>
      </c>
      <c r="J1064" s="132" t="s">
        <v>29</v>
      </c>
      <c r="K1064" s="121" t="str">
        <f t="shared" ca="1" si="1351"/>
        <v>12.3.8.</v>
      </c>
      <c r="L1064" s="137" t="str">
        <f t="shared" ca="1" si="1352"/>
        <v>Cotação</v>
      </c>
      <c r="M1064" s="122" t="s">
        <v>80</v>
      </c>
      <c r="N1064" s="139" t="s">
        <v>154</v>
      </c>
      <c r="O1064" s="137" t="str">
        <f t="shared" ca="1" si="1353"/>
        <v>Locação de caixa térmica</v>
      </c>
      <c r="P1064" s="138" t="str">
        <f t="shared" ca="1" si="1354"/>
        <v>Unidade</v>
      </c>
      <c r="Q1064" s="134">
        <v>2</v>
      </c>
      <c r="R1064" s="124">
        <f t="shared" ca="1" si="1355"/>
        <v>40</v>
      </c>
      <c r="S1064" s="136" t="s">
        <v>62</v>
      </c>
      <c r="T1064" s="123">
        <f t="shared" ca="1" si="1356"/>
        <v>50</v>
      </c>
      <c r="U1064" s="126">
        <f t="shared" ca="1" si="1357"/>
        <v>100</v>
      </c>
      <c r="V1064" s="1"/>
      <c r="W1064" s="39" t="str">
        <f ca="1">IF(OR($A1064=0,$A1064="S",$A1064&gt;CFF!$A$9),"",MAX(W$11:OFFSET(W1064,-1,0))+1)</f>
        <v/>
      </c>
      <c r="X1064" s="4" t="str">
        <f t="shared" si="1358"/>
        <v>Serv. Terc.-005</v>
      </c>
      <c r="Y1064" s="39">
        <f t="shared" ca="1" si="1359"/>
        <v>85</v>
      </c>
      <c r="Z1064" s="1"/>
      <c r="AA1064" s="133">
        <f>IF($J1064=$G$2,ROUND(IF(ISNUMBER(S1064),S1064,IF(LEFT(S1064,2)="DI",HLOOKUP(S1064,DADOS!$T$29:$X$30,2,FALSE),0)),4),"")</f>
        <v>0.25</v>
      </c>
      <c r="AB1064" s="2"/>
    </row>
    <row r="1065" spans="1:28">
      <c r="A1065" t="str">
        <f t="shared" ref="A1065:A1072" si="1360">CHOOSE(1+LOG(1+2*(J1065=$C$2)+4*(J1065=$D$2)+8*(J1065=$E$2)+16*(J1065=$F$2)+32*(J1065=$G$2),2),0,1,2,3,4,"S")</f>
        <v>S</v>
      </c>
      <c r="B1065">
        <f t="shared" ref="B1065:B1072" si="1361">IF(OR(A1065="S",A1065=0),0,IF(ISERROR(I1065),H1065,SMALL(H1065:I1065,1)))</f>
        <v>0</v>
      </c>
      <c r="C1065">
        <f ca="1">IF($A1065=1,OFFSET(C1065,-1,0)+1,OFFSET(C1065,-1,0))</f>
        <v>12</v>
      </c>
      <c r="D1065">
        <f ca="1">IF($A1065=1,0,IF($A1065=2,OFFSET(D1065,-1,0)+1,OFFSET(D1065,-1,0)))</f>
        <v>3</v>
      </c>
      <c r="E1065">
        <f ca="1">IF(AND($A1065&lt;=2,$A1065&lt;&gt;0),0,IF($A1065=3,OFFSET(E1065,-1,0)+1,OFFSET(E1065,-1,0)))</f>
        <v>0</v>
      </c>
      <c r="F1065">
        <f ca="1">IF(AND($A1065&lt;=3,$A1065&lt;&gt;0),0,IF($A1065=4,OFFSET(F1065,-1,0)+1,OFFSET(F1065,-1,0)))</f>
        <v>0</v>
      </c>
      <c r="G1065">
        <f ca="1">IF(AND($A1065&lt;=4,$A1065&lt;&gt;0),0,IF($A1065="S",OFFSET(G1065,-1,0)+1,OFFSET(G1065,-1,0)))</f>
        <v>9</v>
      </c>
      <c r="H1065">
        <f ca="1">IF(OR($A1065="S",$A1065=0),0,MATCH(0,OFFSET($B1065,1,$A1065,ROW($A$1504)-ROW($A1065)),0))</f>
        <v>0</v>
      </c>
      <c r="I1065">
        <f ca="1">IF(OR($A1065="S",$A1065=0),0,MATCH(OFFSET($B1065,0,$A1065)+1,OFFSET($B1065,1,$A1065,ROW($A$1504)-ROW($A1065)),0))</f>
        <v>0</v>
      </c>
      <c r="J1065" s="132" t="s">
        <v>29</v>
      </c>
      <c r="K1065" s="121" t="str">
        <f t="shared" ref="K1065:K1072" ca="1" si="1362">IF($A1065=0,"-",CONCATENATE(C1065&amp;".",IF(AND($A$5&gt;=2,$A1065&gt;=2),D1065&amp;".",""),IF(AND($A$5&gt;=3,$A1065&gt;=3),E1065&amp;".",""),IF(AND($A$5&gt;=4,$A1065&gt;=4),F1065&amp;".",""),IF($A1065="S",G1065&amp;".","")))</f>
        <v>12.3.9.</v>
      </c>
      <c r="L1065" s="137" t="str">
        <f ca="1">IF(NOT(ISERROR($Y1065)),IF($Y1065&lt;&gt;FALSE,INDEX(Banco,$Y1065,4),""),"")</f>
        <v xml:space="preserve">Cotação </v>
      </c>
      <c r="M1065" s="122" t="s">
        <v>80</v>
      </c>
      <c r="N1065" s="139" t="s">
        <v>160</v>
      </c>
      <c r="O1065" s="137" t="str">
        <f ca="1">IF(NOT(ISERROR($Y1065)),IF($Y1065&lt;&gt;FALSE,INDEX(Banco,$Y1065,5),""),"")</f>
        <v>Barra de gelo</v>
      </c>
      <c r="P1065" s="138" t="str">
        <f ca="1">IF(NOT(ISERROR($Y1065)),IF($Y1065&lt;&gt;FALSE,INDEX(Banco,$Y1065,6),""),"")</f>
        <v>Unidade</v>
      </c>
      <c r="Q1065" s="134">
        <v>4</v>
      </c>
      <c r="R1065" s="124">
        <f ca="1">IF(NOT(ISERROR($Y1065)),IF($Y1065&lt;&gt;FALSE,INDEX(Banco,$Y1065,7),0),0)</f>
        <v>12</v>
      </c>
      <c r="S1065" s="136" t="s">
        <v>62</v>
      </c>
      <c r="T1065" s="123">
        <f ca="1">IF($J1065=$G$2,ROUND(ROUND($R1065,2)*IF($R$9="Preço Unitário (R$)",1,1+$AA1065),2),0)</f>
        <v>15</v>
      </c>
      <c r="U1065" s="126">
        <f ca="1">IF($A1065="S",VTOTAL1,IF($A1065=0,0,ROUND(SomaAgrup,2)))</f>
        <v>60</v>
      </c>
      <c r="V1065" s="1"/>
      <c r="W1065" s="39" t="str">
        <f ca="1">IF(OR($A1065=0,$A1065="S",$A1065&gt;CFF!$A$9),"",MAX(W$11:OFFSET(W1065,-1,0))+1)</f>
        <v/>
      </c>
      <c r="X1065" s="4" t="str">
        <f>IF(AND($J1065=$G$2,$N1065&lt;&gt;"",$M1065&lt;&gt;""),CONCATENATE($M1065,"-",$N1065))</f>
        <v>Serv. Terc.-011</v>
      </c>
      <c r="Y1065" s="39">
        <f t="shared" ref="Y1065:Y1072" ca="1" si="1363">IF(X1065&lt;&gt;FALSE,MATCH(X1065,OFFSET(Banco,0,0,,1),0))</f>
        <v>91</v>
      </c>
      <c r="Z1065" s="1"/>
      <c r="AA1065" s="133">
        <f>IF($J1065=$G$2,ROUND(IF(ISNUMBER(S1065),S1065,IF(LEFT(S1065,2)="DI",HLOOKUP(S1065,DADOS!$T$29:$X$30,2,FALSE),0)),4),"")</f>
        <v>0.25</v>
      </c>
      <c r="AB1065" s="2"/>
    </row>
    <row r="1066" spans="1:28">
      <c r="A1066" t="str">
        <f t="shared" si="1360"/>
        <v>S</v>
      </c>
      <c r="B1066">
        <f t="shared" si="1361"/>
        <v>0</v>
      </c>
      <c r="C1066">
        <f ca="1">IF($A1066=1,OFFSET(C1066,-1,0)+1,OFFSET(C1066,-1,0))</f>
        <v>12</v>
      </c>
      <c r="D1066">
        <f ca="1">IF($A1066=1,0,IF($A1066=2,OFFSET(D1066,-1,0)+1,OFFSET(D1066,-1,0)))</f>
        <v>3</v>
      </c>
      <c r="E1066">
        <f ca="1">IF(AND($A1066&lt;=2,$A1066&lt;&gt;0),0,IF($A1066=3,OFFSET(E1066,-1,0)+1,OFFSET(E1066,-1,0)))</f>
        <v>0</v>
      </c>
      <c r="F1066">
        <f ca="1">IF(AND($A1066&lt;=3,$A1066&lt;&gt;0),0,IF($A1066=4,OFFSET(F1066,-1,0)+1,OFFSET(F1066,-1,0)))</f>
        <v>0</v>
      </c>
      <c r="G1066">
        <f ca="1">IF(AND($A1066&lt;=4,$A1066&lt;&gt;0),0,IF($A1066="S",OFFSET(G1066,-1,0)+1,OFFSET(G1066,-1,0)))</f>
        <v>10</v>
      </c>
      <c r="H1066">
        <f ca="1">IF(OR($A1066="S",$A1066=0),0,MATCH(0,OFFSET($B1066,1,$A1066,ROW($A$1504)-ROW($A1066)),0))</f>
        <v>0</v>
      </c>
      <c r="I1066">
        <f ca="1">IF(OR($A1066="S",$A1066=0),0,MATCH(OFFSET($B1066,0,$A1066)+1,OFFSET($B1066,1,$A1066,ROW($A$1504)-ROW($A1066)),0))</f>
        <v>0</v>
      </c>
      <c r="J1066" s="132" t="s">
        <v>29</v>
      </c>
      <c r="K1066" s="121" t="str">
        <f t="shared" ca="1" si="1362"/>
        <v>12.3.10.</v>
      </c>
      <c r="L1066" s="137" t="str">
        <f ca="1">IF(NOT(ISERROR($Y1066)),IF($Y1066&lt;&gt;FALSE,INDEX(Banco,$Y1066,4),""),"")</f>
        <v>Cotação</v>
      </c>
      <c r="M1066" s="122" t="s">
        <v>80</v>
      </c>
      <c r="N1066" s="139" t="s">
        <v>150</v>
      </c>
      <c r="O1066" s="137" t="str">
        <f ca="1">IF(NOT(ISERROR($Y1066)),IF($Y1066&lt;&gt;FALSE,INDEX(Banco,$Y1066,5),""),"")</f>
        <v>Sucos</v>
      </c>
      <c r="P1066" s="138" t="str">
        <f ca="1">IF(NOT(ISERROR($Y1066)),IF($Y1066&lt;&gt;FALSE,INDEX(Banco,$Y1066,6),""),"")</f>
        <v>Unidade</v>
      </c>
      <c r="Q1066" s="134">
        <v>12</v>
      </c>
      <c r="R1066" s="124">
        <f ca="1">IF(NOT(ISERROR($Y1066)),IF($Y1066&lt;&gt;FALSE,INDEX(Banco,$Y1066,7),0),0)</f>
        <v>6.4</v>
      </c>
      <c r="S1066" s="136" t="s">
        <v>62</v>
      </c>
      <c r="T1066" s="123">
        <f ca="1">IF($J1066=$G$2,ROUND(ROUND($R1066,2)*IF($R$9="Preço Unitário (R$)",1,1+$AA1066),2),0)</f>
        <v>8</v>
      </c>
      <c r="U1066" s="126">
        <f ca="1">IF($A1066="S",VTOTAL1,IF($A1066=0,0,ROUND(SomaAgrup,2)))</f>
        <v>96</v>
      </c>
      <c r="V1066" s="1"/>
      <c r="W1066" s="39" t="str">
        <f ca="1">IF(OR($A1066=0,$A1066="S",$A1066&gt;CFF!$A$9),"",MAX(W$11:OFFSET(W1066,-1,0))+1)</f>
        <v/>
      </c>
      <c r="X1066" s="4" t="str">
        <f>IF(AND($J1066=$G$2,$N1066&lt;&gt;"",$M1066&lt;&gt;""),CONCATENATE($M1066,"-",$N1066))</f>
        <v>Serv. Terc.-013</v>
      </c>
      <c r="Y1066" s="39">
        <f t="shared" ca="1" si="1363"/>
        <v>93</v>
      </c>
      <c r="Z1066" s="1"/>
      <c r="AA1066" s="133">
        <f>IF($J1066=$G$2,ROUND(IF(ISNUMBER(S1066),S1066,IF(LEFT(S1066,2)="DI",HLOOKUP(S1066,DADOS!$T$29:$X$30,2,FALSE),0)),4),"")</f>
        <v>0.25</v>
      </c>
      <c r="AB1066" s="2"/>
    </row>
    <row r="1067" spans="1:28">
      <c r="A1067" t="str">
        <f>CHOOSE(1+LOG(1+2*(J1067=$C$2)+4*(J1067=$D$2)+8*(J1067=$E$2)+16*(J1067=$F$2)+32*(J1067=$G$2),2),0,1,2,3,4,"S")</f>
        <v>S</v>
      </c>
      <c r="B1067">
        <f>IF(OR(A1067="S",A1067=0),0,IF(ISERROR(I1067),H1067,SMALL(H1067:I1067,1)))</f>
        <v>0</v>
      </c>
      <c r="C1067">
        <f ca="1">IF($A1067=1,OFFSET(C1067,-1,0)+1,OFFSET(C1067,-1,0))</f>
        <v>12</v>
      </c>
      <c r="D1067">
        <f ca="1">IF($A1067=1,0,IF($A1067=2,OFFSET(D1067,-1,0)+1,OFFSET(D1067,-1,0)))</f>
        <v>3</v>
      </c>
      <c r="E1067">
        <f ca="1">IF(AND($A1067&lt;=2,$A1067&lt;&gt;0),0,IF($A1067=3,OFFSET(E1067,-1,0)+1,OFFSET(E1067,-1,0)))</f>
        <v>0</v>
      </c>
      <c r="F1067">
        <f ca="1">IF(AND($A1067&lt;=3,$A1067&lt;&gt;0),0,IF($A1067=4,OFFSET(F1067,-1,0)+1,OFFSET(F1067,-1,0)))</f>
        <v>0</v>
      </c>
      <c r="G1067">
        <f ca="1">IF(AND($A1067&lt;=4,$A1067&lt;&gt;0),0,IF($A1067="S",OFFSET(G1067,-1,0)+1,OFFSET(G1067,-1,0)))</f>
        <v>11</v>
      </c>
      <c r="H1067">
        <f ca="1">IF(OR($A1067="S",$A1067=0),0,MATCH(0,OFFSET($B1067,1,$A1067,ROW($A$1504)-ROW($A1067)),0))</f>
        <v>0</v>
      </c>
      <c r="I1067">
        <f ca="1">IF(OR($A1067="S",$A1067=0),0,MATCH(OFFSET($B1067,0,$A1067)+1,OFFSET($B1067,1,$A1067,ROW($A$1504)-ROW($A1067)),0))</f>
        <v>0</v>
      </c>
      <c r="J1067" s="132" t="s">
        <v>29</v>
      </c>
      <c r="K1067" s="121" t="str">
        <f ca="1">IF($A1067=0,"-",CONCATENATE(C1067&amp;".",IF(AND($A$5&gt;=2,$A1067&gt;=2),D1067&amp;".",""),IF(AND($A$5&gt;=3,$A1067&gt;=3),E1067&amp;".",""),IF(AND($A$5&gt;=4,$A1067&gt;=4),F1067&amp;".",""),IF($A1067="S",G1067&amp;".","")))</f>
        <v>12.3.11.</v>
      </c>
      <c r="L1067" s="137" t="str">
        <f ca="1">IF(NOT(ISERROR($Y1067)),IF($Y1067&lt;&gt;FALSE,INDEX(Banco,$Y1067,4),""),"")</f>
        <v>Cotação</v>
      </c>
      <c r="M1067" s="122" t="s">
        <v>80</v>
      </c>
      <c r="N1067" s="139" t="s">
        <v>171</v>
      </c>
      <c r="O1067" s="137" t="str">
        <f ca="1">IF(NOT(ISERROR($Y1067)),IF($Y1067&lt;&gt;FALSE,INDEX(Banco,$Y1067,5),""),"")</f>
        <v xml:space="preserve">Refrigerantes (02 litros) </v>
      </c>
      <c r="P1067" s="138" t="str">
        <f ca="1">IF(NOT(ISERROR($Y1067)),IF($Y1067&lt;&gt;FALSE,INDEX(Banco,$Y1067,6),""),"")</f>
        <v>Unidade</v>
      </c>
      <c r="Q1067" s="134">
        <v>24</v>
      </c>
      <c r="R1067" s="124">
        <f ca="1">IF(NOT(ISERROR($Y1067)),IF($Y1067&lt;&gt;FALSE,INDEX(Banco,$Y1067,7),0),0)</f>
        <v>6</v>
      </c>
      <c r="S1067" s="136" t="s">
        <v>62</v>
      </c>
      <c r="T1067" s="123">
        <f ca="1">IF($J1067=$G$2,ROUND(ROUND($R1067,2)*IF($R$9="Preço Unitário (R$)",1,1+$AA1067),2),0)</f>
        <v>7.5</v>
      </c>
      <c r="U1067" s="126">
        <f ca="1">IF($A1067="S",VTOTAL1,IF($A1067=0,0,ROUND(SomaAgrup,2)))</f>
        <v>180</v>
      </c>
      <c r="V1067" s="1"/>
      <c r="W1067" s="39" t="str">
        <f ca="1">IF(OR($A1067=0,$A1067="S",$A1067&gt;CFF!$A$9),"",MAX(W$11:OFFSET(W1067,-1,0))+1)</f>
        <v/>
      </c>
      <c r="X1067" s="4" t="str">
        <f>IF(AND($J1067=$G$2,$N1067&lt;&gt;"",$M1067&lt;&gt;""),CONCATENATE($M1067,"-",$N1067))</f>
        <v>Serv. Terc.-027</v>
      </c>
      <c r="Y1067" s="39">
        <f ca="1">IF(X1067&lt;&gt;FALSE,MATCH(X1067,OFFSET(Banco,0,0,,1),0))</f>
        <v>107</v>
      </c>
      <c r="Z1067" s="1"/>
      <c r="AA1067" s="133">
        <f>IF($J1067=$G$2,ROUND(IF(ISNUMBER(S1067),S1067,IF(LEFT(S1067,2)="DI",HLOOKUP(S1067,DADOS!$T$29:$X$30,2,FALSE),0)),4),"")</f>
        <v>0.25</v>
      </c>
      <c r="AB1067" s="2"/>
    </row>
    <row r="1068" spans="1:28">
      <c r="A1068" t="str">
        <f t="shared" si="1360"/>
        <v>S</v>
      </c>
      <c r="B1068">
        <f t="shared" si="1361"/>
        <v>0</v>
      </c>
      <c r="C1068">
        <f t="shared" ca="1" si="1346"/>
        <v>12</v>
      </c>
      <c r="D1068">
        <f t="shared" ca="1" si="1347"/>
        <v>3</v>
      </c>
      <c r="E1068">
        <f t="shared" ca="1" si="1348"/>
        <v>0</v>
      </c>
      <c r="F1068">
        <f t="shared" ca="1" si="1349"/>
        <v>0</v>
      </c>
      <c r="G1068">
        <f t="shared" ca="1" si="1350"/>
        <v>12</v>
      </c>
      <c r="H1068">
        <f ca="1">IF(OR($A1068="S",$A1068=0),0,MATCH(0,OFFSET($B1068,1,$A1068,ROW($A$1504)-ROW($A1068)),0))</f>
        <v>0</v>
      </c>
      <c r="I1068">
        <f ca="1">IF(OR($A1068="S",$A1068=0),0,MATCH(OFFSET($B1068,0,$A1068)+1,OFFSET($B1068,1,$A1068,ROW($A$1504)-ROW($A1068)),0))</f>
        <v>0</v>
      </c>
      <c r="J1068" s="132" t="s">
        <v>29</v>
      </c>
      <c r="K1068" s="121" t="str">
        <f t="shared" ca="1" si="1362"/>
        <v>12.3.12.</v>
      </c>
      <c r="L1068" s="137" t="str">
        <f t="shared" ca="1" si="1352"/>
        <v>Cotação</v>
      </c>
      <c r="M1068" s="122" t="s">
        <v>80</v>
      </c>
      <c r="N1068" s="139" t="s">
        <v>162</v>
      </c>
      <c r="O1068" s="137" t="str">
        <f t="shared" ca="1" si="1353"/>
        <v>Coffee break (salgados)</v>
      </c>
      <c r="P1068" s="138" t="str">
        <f t="shared" ca="1" si="1354"/>
        <v>Centro</v>
      </c>
      <c r="Q1068" s="134">
        <v>20</v>
      </c>
      <c r="R1068" s="124">
        <f t="shared" ca="1" si="1355"/>
        <v>65</v>
      </c>
      <c r="S1068" s="136" t="s">
        <v>62</v>
      </c>
      <c r="T1068" s="123">
        <f t="shared" ca="1" si="1356"/>
        <v>81.25</v>
      </c>
      <c r="U1068" s="126">
        <f t="shared" ca="1" si="1357"/>
        <v>1625</v>
      </c>
      <c r="V1068" s="1"/>
      <c r="W1068" s="39" t="str">
        <f ca="1">IF(OR($A1068=0,$A1068="S",$A1068&gt;CFF!$A$9),"",MAX(W$11:OFFSET(W1068,-1,0))+1)</f>
        <v/>
      </c>
      <c r="X1068" s="4" t="str">
        <f t="shared" si="1358"/>
        <v>Serv. Terc.-015</v>
      </c>
      <c r="Y1068" s="39">
        <f t="shared" ca="1" si="1363"/>
        <v>95</v>
      </c>
      <c r="Z1068" s="1"/>
      <c r="AA1068" s="133">
        <f>IF($J1068=$G$2,ROUND(IF(ISNUMBER(S1068),S1068,IF(LEFT(S1068,2)="DI",HLOOKUP(S1068,DADOS!$T$29:$X$30,2,FALSE),0)),4),"")</f>
        <v>0.25</v>
      </c>
      <c r="AB1068" s="2"/>
    </row>
    <row r="1069" spans="1:28">
      <c r="A1069" t="str">
        <f t="shared" si="1360"/>
        <v>S</v>
      </c>
      <c r="B1069">
        <f t="shared" si="1361"/>
        <v>0</v>
      </c>
      <c r="C1069">
        <f t="shared" ca="1" si="1346"/>
        <v>12</v>
      </c>
      <c r="D1069">
        <f t="shared" ca="1" si="1347"/>
        <v>3</v>
      </c>
      <c r="E1069">
        <f t="shared" ca="1" si="1348"/>
        <v>0</v>
      </c>
      <c r="F1069">
        <f t="shared" ca="1" si="1349"/>
        <v>0</v>
      </c>
      <c r="G1069">
        <f t="shared" ca="1" si="1350"/>
        <v>13</v>
      </c>
      <c r="H1069">
        <f ca="1">IF(OR($A1069="S",$A1069=0),0,MATCH(0,OFFSET($B1069,1,$A1069,ROW($A$1504)-ROW($A1069)),0))</f>
        <v>0</v>
      </c>
      <c r="I1069">
        <f ca="1">IF(OR($A1069="S",$A1069=0),0,MATCH(OFFSET($B1069,0,$A1069)+1,OFFSET($B1069,1,$A1069,ROW($A$1504)-ROW($A1069)),0))</f>
        <v>0</v>
      </c>
      <c r="J1069" s="132" t="s">
        <v>29</v>
      </c>
      <c r="K1069" s="121" t="str">
        <f t="shared" ca="1" si="1362"/>
        <v>12.3.13.</v>
      </c>
      <c r="L1069" s="137" t="str">
        <f t="shared" ca="1" si="1352"/>
        <v>Cotação</v>
      </c>
      <c r="M1069" s="122" t="s">
        <v>80</v>
      </c>
      <c r="N1069" s="139" t="s">
        <v>225</v>
      </c>
      <c r="O1069" s="137" t="str">
        <f t="shared" ca="1" si="1353"/>
        <v xml:space="preserve">Confecção de camisetas </v>
      </c>
      <c r="P1069" s="138" t="str">
        <f t="shared" ca="1" si="1354"/>
        <v>Unidade</v>
      </c>
      <c r="Q1069" s="134">
        <v>60</v>
      </c>
      <c r="R1069" s="124">
        <f t="shared" ca="1" si="1355"/>
        <v>19</v>
      </c>
      <c r="S1069" s="136" t="s">
        <v>62</v>
      </c>
      <c r="T1069" s="123">
        <f t="shared" ca="1" si="1356"/>
        <v>23.75</v>
      </c>
      <c r="U1069" s="126">
        <f t="shared" ca="1" si="1357"/>
        <v>1425</v>
      </c>
      <c r="V1069" s="1"/>
      <c r="W1069" s="39" t="str">
        <f ca="1">IF(OR($A1069=0,$A1069="S",$A1069&gt;CFF!$A$9),"",MAX(W$11:OFFSET(W1069,-1,0))+1)</f>
        <v/>
      </c>
      <c r="X1069" s="4" t="str">
        <f t="shared" si="1358"/>
        <v>Serv. Terc.-067</v>
      </c>
      <c r="Y1069" s="39">
        <f t="shared" ca="1" si="1363"/>
        <v>147</v>
      </c>
      <c r="Z1069" s="1"/>
      <c r="AA1069" s="133">
        <f>IF($J1069=$G$2,ROUND(IF(ISNUMBER(S1069),S1069,IF(LEFT(S1069,2)="DI",HLOOKUP(S1069,DADOS!$T$29:$X$30,2,FALSE),0)),4),"")</f>
        <v>0.25</v>
      </c>
      <c r="AB1069" s="2"/>
    </row>
    <row r="1070" spans="1:28">
      <c r="A1070" t="str">
        <f t="shared" si="1360"/>
        <v>S</v>
      </c>
      <c r="B1070">
        <f t="shared" si="1361"/>
        <v>0</v>
      </c>
      <c r="C1070">
        <f t="shared" ca="1" si="1346"/>
        <v>12</v>
      </c>
      <c r="D1070">
        <f t="shared" ca="1" si="1347"/>
        <v>3</v>
      </c>
      <c r="E1070">
        <f t="shared" ca="1" si="1348"/>
        <v>0</v>
      </c>
      <c r="F1070">
        <f t="shared" ca="1" si="1349"/>
        <v>0</v>
      </c>
      <c r="G1070">
        <f t="shared" ca="1" si="1350"/>
        <v>14</v>
      </c>
      <c r="H1070">
        <f ca="1">IF(OR($A1070="S",$A1070=0),0,MATCH(0,OFFSET($B1070,1,$A1070,ROW($A$1504)-ROW($A1070)),0))</f>
        <v>0</v>
      </c>
      <c r="I1070">
        <f ca="1">IF(OR($A1070="S",$A1070=0),0,MATCH(OFFSET($B1070,0,$A1070)+1,OFFSET($B1070,1,$A1070,ROW($A$1504)-ROW($A1070)),0))</f>
        <v>0</v>
      </c>
      <c r="J1070" s="132" t="s">
        <v>29</v>
      </c>
      <c r="K1070" s="121" t="str">
        <f t="shared" ca="1" si="1362"/>
        <v>12.3.14.</v>
      </c>
      <c r="L1070" s="137" t="str">
        <f t="shared" ca="1" si="1352"/>
        <v>CRBio</v>
      </c>
      <c r="M1070" s="122" t="s">
        <v>80</v>
      </c>
      <c r="N1070" s="139" t="s">
        <v>226</v>
      </c>
      <c r="O1070" s="137" t="str">
        <f t="shared" ca="1" si="1353"/>
        <v>Biólogo (Instrutor)</v>
      </c>
      <c r="P1070" s="138" t="str">
        <f t="shared" ca="1" si="1354"/>
        <v>Horas</v>
      </c>
      <c r="Q1070" s="134">
        <v>8</v>
      </c>
      <c r="R1070" s="124">
        <f t="shared" ca="1" si="1355"/>
        <v>100.72</v>
      </c>
      <c r="S1070" s="136" t="s">
        <v>62</v>
      </c>
      <c r="T1070" s="123">
        <f t="shared" ca="1" si="1356"/>
        <v>125.9</v>
      </c>
      <c r="U1070" s="126">
        <f t="shared" ca="1" si="1357"/>
        <v>1007.2</v>
      </c>
      <c r="V1070" s="1"/>
      <c r="W1070" s="39" t="str">
        <f ca="1">IF(OR($A1070=0,$A1070="S",$A1070&gt;CFF!$A$9),"",MAX(W$11:OFFSET(W1070,-1,0))+1)</f>
        <v/>
      </c>
      <c r="X1070" s="4" t="str">
        <f t="shared" si="1358"/>
        <v>Serv. Terc.-068</v>
      </c>
      <c r="Y1070" s="39">
        <f t="shared" ca="1" si="1363"/>
        <v>148</v>
      </c>
      <c r="Z1070" s="1"/>
      <c r="AA1070" s="133">
        <f>IF($J1070=$G$2,ROUND(IF(ISNUMBER(S1070),S1070,IF(LEFT(S1070,2)="DI",HLOOKUP(S1070,DADOS!$T$29:$X$30,2,FALSE),0)),4),"")</f>
        <v>0.25</v>
      </c>
      <c r="AB1070" s="2"/>
    </row>
    <row r="1071" spans="1:28">
      <c r="A1071" t="str">
        <f t="shared" si="1360"/>
        <v>S</v>
      </c>
      <c r="B1071">
        <f t="shared" si="1361"/>
        <v>0</v>
      </c>
      <c r="C1071">
        <f t="shared" ca="1" si="1346"/>
        <v>12</v>
      </c>
      <c r="D1071">
        <f t="shared" ca="1" si="1347"/>
        <v>3</v>
      </c>
      <c r="E1071">
        <f t="shared" ca="1" si="1348"/>
        <v>0</v>
      </c>
      <c r="F1071">
        <f t="shared" ca="1" si="1349"/>
        <v>0</v>
      </c>
      <c r="G1071">
        <f t="shared" ca="1" si="1350"/>
        <v>15</v>
      </c>
      <c r="H1071">
        <f ca="1">IF(OR($A1071="S",$A1071=0),0,MATCH(0,OFFSET($B1071,1,$A1071,ROW($A$1504)-ROW($A1071)),0))</f>
        <v>0</v>
      </c>
      <c r="I1071">
        <f ca="1">IF(OR($A1071="S",$A1071=0),0,MATCH(OFFSET($B1071,0,$A1071)+1,OFFSET($B1071,1,$A1071,ROW($A$1504)-ROW($A1071)),0))</f>
        <v>0</v>
      </c>
      <c r="J1071" s="132" t="s">
        <v>29</v>
      </c>
      <c r="K1071" s="121" t="str">
        <f t="shared" ca="1" si="1362"/>
        <v>12.3.15.</v>
      </c>
      <c r="L1071" s="137" t="str">
        <f t="shared" ca="1" si="1352"/>
        <v>Cotação</v>
      </c>
      <c r="M1071" s="122" t="s">
        <v>79</v>
      </c>
      <c r="N1071" s="139" t="s">
        <v>170</v>
      </c>
      <c r="O1071" s="137" t="str">
        <f t="shared" ca="1" si="1353"/>
        <v>Saco de lixo (100 litros)</v>
      </c>
      <c r="P1071" s="138" t="str">
        <f t="shared" ca="1" si="1354"/>
        <v>Pacote</v>
      </c>
      <c r="Q1071" s="134">
        <v>18</v>
      </c>
      <c r="R1071" s="124">
        <f t="shared" ca="1" si="1355"/>
        <v>15</v>
      </c>
      <c r="S1071" s="136" t="s">
        <v>62</v>
      </c>
      <c r="T1071" s="123">
        <f t="shared" ca="1" si="1356"/>
        <v>18.75</v>
      </c>
      <c r="U1071" s="126">
        <f t="shared" ca="1" si="1357"/>
        <v>337.5</v>
      </c>
      <c r="V1071" s="1"/>
      <c r="W1071" s="39" t="str">
        <f ca="1">IF(OR($A1071=0,$A1071="S",$A1071&gt;CFF!$A$9),"",MAX(W$11:OFFSET(W1071,-1,0))+1)</f>
        <v/>
      </c>
      <c r="X1071" s="4" t="str">
        <f t="shared" si="1358"/>
        <v>Rec. Materiais-026</v>
      </c>
      <c r="Y1071" s="39">
        <f t="shared" ca="1" si="1363"/>
        <v>35</v>
      </c>
      <c r="Z1071" s="1"/>
      <c r="AA1071" s="133">
        <f>IF($J1071=$G$2,ROUND(IF(ISNUMBER(S1071),S1071,IF(LEFT(S1071,2)="DI",HLOOKUP(S1071,DADOS!$T$29:$X$30,2,FALSE),0)),4),"")</f>
        <v>0.25</v>
      </c>
      <c r="AB1071" s="2"/>
    </row>
    <row r="1072" spans="1:28">
      <c r="A1072" t="str">
        <f t="shared" si="1360"/>
        <v>S</v>
      </c>
      <c r="B1072">
        <f t="shared" si="1361"/>
        <v>0</v>
      </c>
      <c r="C1072">
        <f t="shared" ca="1" si="1346"/>
        <v>12</v>
      </c>
      <c r="D1072">
        <f t="shared" ca="1" si="1347"/>
        <v>3</v>
      </c>
      <c r="E1072">
        <f t="shared" ca="1" si="1348"/>
        <v>0</v>
      </c>
      <c r="F1072">
        <f t="shared" ca="1" si="1349"/>
        <v>0</v>
      </c>
      <c r="G1072">
        <f t="shared" ca="1" si="1350"/>
        <v>16</v>
      </c>
      <c r="H1072">
        <f ca="1">IF(OR($A1072="S",$A1072=0),0,MATCH(0,OFFSET($B1072,1,$A1072,ROW($A$1504)-ROW($A1072)),0))</f>
        <v>0</v>
      </c>
      <c r="I1072">
        <f ca="1">IF(OR($A1072="S",$A1072=0),0,MATCH(OFFSET($B1072,0,$A1072)+1,OFFSET($B1072,1,$A1072,ROW($A$1504)-ROW($A1072)),0))</f>
        <v>0</v>
      </c>
      <c r="J1072" s="132" t="s">
        <v>29</v>
      </c>
      <c r="K1072" s="121" t="str">
        <f t="shared" ca="1" si="1362"/>
        <v>12.3.16.</v>
      </c>
      <c r="L1072" s="137" t="str">
        <f t="shared" ca="1" si="1352"/>
        <v>Cotação</v>
      </c>
      <c r="M1072" s="122" t="s">
        <v>79</v>
      </c>
      <c r="N1072" s="139" t="s">
        <v>171</v>
      </c>
      <c r="O1072" s="137" t="str">
        <f t="shared" ca="1" si="1353"/>
        <v>Luvas de latex para limpeza descarpack</v>
      </c>
      <c r="P1072" s="138" t="str">
        <f t="shared" ca="1" si="1354"/>
        <v>Unidade</v>
      </c>
      <c r="Q1072" s="134">
        <v>40</v>
      </c>
      <c r="R1072" s="124">
        <f t="shared" ca="1" si="1355"/>
        <v>3.99</v>
      </c>
      <c r="S1072" s="136" t="s">
        <v>62</v>
      </c>
      <c r="T1072" s="123">
        <f t="shared" ca="1" si="1356"/>
        <v>4.99</v>
      </c>
      <c r="U1072" s="126">
        <f t="shared" ca="1" si="1357"/>
        <v>199.6</v>
      </c>
      <c r="V1072" s="1"/>
      <c r="W1072" s="39" t="str">
        <f ca="1">IF(OR($A1072=0,$A1072="S",$A1072&gt;CFF!$A$9),"",MAX(W$11:OFFSET(W1072,-1,0))+1)</f>
        <v/>
      </c>
      <c r="X1072" s="4" t="str">
        <f t="shared" si="1358"/>
        <v>Rec. Materiais-027</v>
      </c>
      <c r="Y1072" s="39">
        <f t="shared" ca="1" si="1363"/>
        <v>36</v>
      </c>
      <c r="Z1072" s="1"/>
      <c r="AA1072" s="133">
        <f>IF($J1072=$G$2,ROUND(IF(ISNUMBER(S1072),S1072,IF(LEFT(S1072,2)="DI",HLOOKUP(S1072,DADOS!$T$29:$X$30,2,FALSE),0)),4),"")</f>
        <v>0.25</v>
      </c>
      <c r="AB1072" s="2"/>
    </row>
    <row r="1073" spans="1:28">
      <c r="A1073" t="str">
        <f t="shared" ref="A1073:A1076" si="1364">CHOOSE(1+LOG(1+2*(J1073=$C$2)+4*(J1073=$D$2)+8*(J1073=$E$2)+16*(J1073=$F$2)+32*(J1073=$G$2),2),0,1,2,3,4,"S")</f>
        <v>S</v>
      </c>
      <c r="B1073">
        <f t="shared" ref="B1073:B1076" si="1365">IF(OR(A1073="S",A1073=0),0,IF(ISERROR(I1073),H1073,SMALL(H1073:I1073,1)))</f>
        <v>0</v>
      </c>
      <c r="C1073">
        <f t="shared" ref="C1073:C1076" ca="1" si="1366">IF($A1073=1,OFFSET(C1073,-1,0)+1,OFFSET(C1073,-1,0))</f>
        <v>12</v>
      </c>
      <c r="D1073">
        <f t="shared" ref="D1073:D1076" ca="1" si="1367">IF($A1073=1,0,IF($A1073=2,OFFSET(D1073,-1,0)+1,OFFSET(D1073,-1,0)))</f>
        <v>3</v>
      </c>
      <c r="E1073">
        <f t="shared" ref="E1073:E1076" ca="1" si="1368">IF(AND($A1073&lt;=2,$A1073&lt;&gt;0),0,IF($A1073=3,OFFSET(E1073,-1,0)+1,OFFSET(E1073,-1,0)))</f>
        <v>0</v>
      </c>
      <c r="F1073">
        <f t="shared" ref="F1073:F1076" ca="1" si="1369">IF(AND($A1073&lt;=3,$A1073&lt;&gt;0),0,IF($A1073=4,OFFSET(F1073,-1,0)+1,OFFSET(F1073,-1,0)))</f>
        <v>0</v>
      </c>
      <c r="G1073">
        <f t="shared" ref="G1073:G1076" ca="1" si="1370">IF(AND($A1073&lt;=4,$A1073&lt;&gt;0),0,IF($A1073="S",OFFSET(G1073,-1,0)+1,OFFSET(G1073,-1,0)))</f>
        <v>17</v>
      </c>
      <c r="H1073">
        <f ca="1">IF(OR($A1073="S",$A1073=0),0,MATCH(0,OFFSET($B1073,1,$A1073,ROW($A$1504)-ROW($A1073)),0))</f>
        <v>0</v>
      </c>
      <c r="I1073">
        <f ca="1">IF(OR($A1073="S",$A1073=0),0,MATCH(OFFSET($B1073,0,$A1073)+1,OFFSET($B1073,1,$A1073,ROW($A$1504)-ROW($A1073)),0))</f>
        <v>0</v>
      </c>
      <c r="J1073" s="132" t="s">
        <v>29</v>
      </c>
      <c r="K1073" s="121" t="str">
        <f t="shared" ref="K1073:K1076" ca="1" si="1371">IF($A1073=0,"-",CONCATENATE(C1073&amp;".",IF(AND($A$5&gt;=2,$A1073&gt;=2),D1073&amp;".",""),IF(AND($A$5&gt;=3,$A1073&gt;=3),E1073&amp;".",""),IF(AND($A$5&gt;=4,$A1073&gt;=4),F1073&amp;".",""),IF($A1073="S",G1073&amp;".","")))</f>
        <v>12.3.17.</v>
      </c>
      <c r="L1073" s="137" t="str">
        <f t="shared" ref="L1073:L1076" ca="1" si="1372">IF(NOT(ISERROR($Y1073)),IF($Y1073&lt;&gt;FALSE,INDEX(Banco,$Y1073,4),""),"")</f>
        <v>Cotação</v>
      </c>
      <c r="M1073" s="122" t="s">
        <v>79</v>
      </c>
      <c r="N1073" s="139" t="s">
        <v>279</v>
      </c>
      <c r="O1073" s="137" t="str">
        <f ca="1">IF(NOT(ISERROR($Y1073)),IF($Y1073&lt;&gt;FALSE,INDEX(Banco,$Y1073,5),""),"")</f>
        <v>Apito (12 unidades)</v>
      </c>
      <c r="P1073" s="138" t="str">
        <f t="shared" ref="P1073:P1076" ca="1" si="1373">IF(NOT(ISERROR($Y1073)),IF($Y1073&lt;&gt;FALSE,INDEX(Banco,$Y1073,6),""),"")</f>
        <v>Pacote</v>
      </c>
      <c r="Q1073" s="134">
        <v>6</v>
      </c>
      <c r="R1073" s="124">
        <f t="shared" ref="R1073:R1076" ca="1" si="1374">IF(NOT(ISERROR($Y1073)),IF($Y1073&lt;&gt;FALSE,INDEX(Banco,$Y1073,7),0),0)</f>
        <v>19.899999999999999</v>
      </c>
      <c r="S1073" s="136" t="s">
        <v>62</v>
      </c>
      <c r="T1073" s="123">
        <f t="shared" ref="T1073:T1076" ca="1" si="1375">IF($J1073=$G$2,ROUND(ROUND($R1073,2)*IF($R$9="Preço Unitário (R$)",1,1+$AA1073),2),0)</f>
        <v>24.88</v>
      </c>
      <c r="U1073" s="126">
        <f t="shared" ref="U1073:U1076" ca="1" si="1376">IF($A1073="S",VTOTAL1,IF($A1073=0,0,ROUND(SomaAgrup,2)))</f>
        <v>149.28</v>
      </c>
      <c r="V1073" s="1"/>
      <c r="W1073" s="39" t="str">
        <f ca="1">IF(OR($A1073=0,$A1073="S",$A1073&gt;CFF!$A$9),"",MAX(W$11:OFFSET(W1073,-1,0))+1)</f>
        <v/>
      </c>
      <c r="X1073" s="4" t="str">
        <f t="shared" ref="X1073:X1076" si="1377">IF(AND($J1073=$G$2,$N1073&lt;&gt;"",$M1073&lt;&gt;""),CONCATENATE($M1073,"-",$N1073))</f>
        <v>Rec. Materiais-062</v>
      </c>
      <c r="Y1073" s="39">
        <f t="shared" ref="Y1073:Y1076" ca="1" si="1378">IF(X1073&lt;&gt;FALSE,MATCH(X1073,OFFSET(Banco,0,0,,1),0))</f>
        <v>71</v>
      </c>
      <c r="Z1073" s="1"/>
      <c r="AA1073" s="133">
        <f>IF($J1073=$G$2,ROUND(IF(ISNUMBER(S1073),S1073,IF(LEFT(S1073,2)="DI",HLOOKUP(S1073,DADOS!$T$29:$X$30,2,FALSE),0)),4),"")</f>
        <v>0.25</v>
      </c>
      <c r="AB1073" s="2"/>
    </row>
    <row r="1074" spans="1:28">
      <c r="A1074">
        <f>CHOOSE(1+LOG(1+2*(J1074=$C$2)+4*(J1074=$D$2)+8*(J1074=$E$2)+16*(J1074=$F$2)+32*(J1074=$G$2),2),0,1,2,3,4,"S")</f>
        <v>2</v>
      </c>
      <c r="B1074">
        <f ca="1">IF(OR(A1074="S",A1074=0),0,IF(ISERROR(I1074),H1074,SMALL(H1074:I1074,1)))</f>
        <v>3</v>
      </c>
      <c r="C1074">
        <f ca="1">IF($A1074=1,OFFSET(C1074,-1,0)+1,OFFSET(C1074,-1,0))</f>
        <v>12</v>
      </c>
      <c r="D1074">
        <f ca="1">IF($A1074=1,0,IF($A1074=2,OFFSET(D1074,-1,0)+1,OFFSET(D1074,-1,0)))</f>
        <v>4</v>
      </c>
      <c r="E1074">
        <f ca="1">IF(AND($A1074&lt;=2,$A1074&lt;&gt;0),0,IF($A1074=3,OFFSET(E1074,-1,0)+1,OFFSET(E1074,-1,0)))</f>
        <v>0</v>
      </c>
      <c r="F1074">
        <f ca="1">IF(AND($A1074&lt;=3,$A1074&lt;&gt;0),0,IF($A1074=4,OFFSET(F1074,-1,0)+1,OFFSET(F1074,-1,0)))</f>
        <v>0</v>
      </c>
      <c r="G1074">
        <f ca="1">IF(AND($A1074&lt;=4,$A1074&lt;&gt;0),0,IF($A1074="S",OFFSET(G1074,-1,0)+1,OFFSET(G1074,-1,0)))</f>
        <v>0</v>
      </c>
      <c r="H1074">
        <f ca="1">IF(OR($A1074="S",$A1074=0),0,MATCH(0,OFFSET($B1074,1,$A1074,ROW($A$1504)-ROW($A1074)),0))</f>
        <v>54</v>
      </c>
      <c r="I1074">
        <f ca="1">IF(OR($A1074="S",$A1074=0),0,MATCH(OFFSET($B1074,0,$A1074)+1,OFFSET($B1074,1,$A1074,ROW($A$1504)-ROW($A1074)),0))</f>
        <v>3</v>
      </c>
      <c r="J1074" s="132" t="s">
        <v>68</v>
      </c>
      <c r="K1074" s="121" t="str">
        <f ca="1">IF($A1074=0,"-",CONCATENATE(C1074&amp;".",IF(AND($A$5&gt;=2,$A1074&gt;=2),D1074&amp;".",""),IF(AND($A$5&gt;=3,$A1074&gt;=3),E1074&amp;".",""),IF(AND($A$5&gt;=4,$A1074&gt;=4),F1074&amp;".",""),IF($A1074="S",G1074&amp;".","")))</f>
        <v>12.4.</v>
      </c>
      <c r="L1074" s="137" t="str">
        <f ca="1">IF(NOT(ISERROR($Y1074)),IF($Y1074&lt;&gt;FALSE,INDEX(Banco,$Y1074,4),""),"")</f>
        <v/>
      </c>
      <c r="M1074" s="122"/>
      <c r="N1074" s="139"/>
      <c r="O1074" s="137" t="s">
        <v>429</v>
      </c>
      <c r="P1074" s="138" t="str">
        <f ca="1">IF(NOT(ISERROR($Y1074)),IF($Y1074&lt;&gt;FALSE,INDEX(Banco,$Y1074,6),""),"")</f>
        <v/>
      </c>
      <c r="Q1074" s="134"/>
      <c r="R1074" s="124">
        <f ca="1">IF(NOT(ISERROR($Y1074)),IF($Y1074&lt;&gt;FALSE,INDEX(Banco,$Y1074,7),0),0)</f>
        <v>0</v>
      </c>
      <c r="S1074" s="136" t="s">
        <v>62</v>
      </c>
      <c r="T1074" s="123">
        <f>IF($J1074=$G$2,ROUND(ROUND($R1074,2)*IF($R$9="Preço Unitário (R$)",1,1+$AA1074),2),0)</f>
        <v>0</v>
      </c>
      <c r="U1074" s="126">
        <f ca="1">IF($A1074="S",VTOTAL1,IF($A1074=0,0,ROUND(SomaAgrup,2)))</f>
        <v>3427.56</v>
      </c>
      <c r="V1074" s="1"/>
      <c r="W1074" s="39">
        <f ca="1">IF(OR($A1074=0,$A1074="S",$A1074&gt;CFF!$A$9),"",MAX(W$11:OFFSET(W1074,-1,0))+1)</f>
        <v>94</v>
      </c>
      <c r="X1074" s="4" t="b">
        <f>IF(AND($J1074=$G$2,$N1074&lt;&gt;"",$M1074&lt;&gt;""),CONCATENATE($M1074,"-",$N1074))</f>
        <v>0</v>
      </c>
      <c r="Y1074" s="39" t="b">
        <f ca="1">IF(X1074&lt;&gt;FALSE,MATCH(X1074,OFFSET(Banco,0,0,,1),0))</f>
        <v>0</v>
      </c>
      <c r="Z1074" s="1"/>
      <c r="AA1074" s="133" t="str">
        <f>IF($J1074=$G$2,ROUND(IF(ISNUMBER(S1074),S1074,IF(LEFT(S1074,2)="DI",HLOOKUP(S1074,DADOS!$T$29:$X$30,2,FALSE),0)),4),"")</f>
        <v/>
      </c>
      <c r="AB1074" s="2"/>
    </row>
    <row r="1075" spans="1:28">
      <c r="A1075" t="str">
        <f t="shared" si="1364"/>
        <v>S</v>
      </c>
      <c r="B1075">
        <f t="shared" si="1365"/>
        <v>0</v>
      </c>
      <c r="C1075">
        <f t="shared" ca="1" si="1366"/>
        <v>12</v>
      </c>
      <c r="D1075">
        <f t="shared" ca="1" si="1367"/>
        <v>4</v>
      </c>
      <c r="E1075">
        <f t="shared" ca="1" si="1368"/>
        <v>0</v>
      </c>
      <c r="F1075">
        <f t="shared" ca="1" si="1369"/>
        <v>0</v>
      </c>
      <c r="G1075">
        <f t="shared" ca="1" si="1370"/>
        <v>1</v>
      </c>
      <c r="H1075">
        <f ca="1">IF(OR($A1075="S",$A1075=0),0,MATCH(0,OFFSET($B1075,1,$A1075,ROW($A$1504)-ROW($A1075)),0))</f>
        <v>0</v>
      </c>
      <c r="I1075">
        <f ca="1">IF(OR($A1075="S",$A1075=0),0,MATCH(OFFSET($B1075,0,$A1075)+1,OFFSET($B1075,1,$A1075,ROW($A$1504)-ROW($A1075)),0))</f>
        <v>0</v>
      </c>
      <c r="J1075" s="132" t="s">
        <v>29</v>
      </c>
      <c r="K1075" s="121" t="str">
        <f t="shared" ca="1" si="1371"/>
        <v>12.4.1.</v>
      </c>
      <c r="L1075" s="137" t="str">
        <f t="shared" ca="1" si="1372"/>
        <v>CRESS</v>
      </c>
      <c r="M1075" s="122" t="s">
        <v>78</v>
      </c>
      <c r="N1075" s="139" t="s">
        <v>149</v>
      </c>
      <c r="O1075" s="137" t="str">
        <f ca="1">IF(NOT(ISERROR($Y1075)),IF($Y1075&lt;&gt;FALSE,INDEX(Banco,$Y1075,5),""),"")</f>
        <v>Responsável Técnica</v>
      </c>
      <c r="P1075" s="138" t="str">
        <f t="shared" ca="1" si="1373"/>
        <v>Horas</v>
      </c>
      <c r="Q1075" s="134">
        <v>4</v>
      </c>
      <c r="R1075" s="124">
        <f t="shared" ca="1" si="1374"/>
        <v>150.28</v>
      </c>
      <c r="S1075" s="136" t="s">
        <v>62</v>
      </c>
      <c r="T1075" s="123">
        <f t="shared" ca="1" si="1375"/>
        <v>187.85</v>
      </c>
      <c r="U1075" s="126">
        <f t="shared" ca="1" si="1376"/>
        <v>751.4</v>
      </c>
      <c r="V1075" s="1"/>
      <c r="W1075" s="39" t="str">
        <f ca="1">IF(OR($A1075=0,$A1075="S",$A1075&gt;CFF!$A$9),"",MAX(W$11:OFFSET(W1075,-1,0))+1)</f>
        <v/>
      </c>
      <c r="X1075" s="4" t="str">
        <f t="shared" si="1377"/>
        <v>Rec. Humanos-001</v>
      </c>
      <c r="Y1075" s="39">
        <f t="shared" ca="1" si="1378"/>
        <v>3</v>
      </c>
      <c r="Z1075" s="1"/>
      <c r="AA1075" s="133">
        <f>IF($J1075=$G$2,ROUND(IF(ISNUMBER(S1075),S1075,IF(LEFT(S1075,2)="DI",HLOOKUP(S1075,DADOS!$T$29:$X$30,2,FALSE),0)),4),"")</f>
        <v>0.25</v>
      </c>
      <c r="AB1075" s="2"/>
    </row>
    <row r="1076" spans="1:28">
      <c r="A1076" t="str">
        <f t="shared" si="1364"/>
        <v>S</v>
      </c>
      <c r="B1076">
        <f t="shared" si="1365"/>
        <v>0</v>
      </c>
      <c r="C1076">
        <f t="shared" ca="1" si="1366"/>
        <v>12</v>
      </c>
      <c r="D1076">
        <f t="shared" ca="1" si="1367"/>
        <v>4</v>
      </c>
      <c r="E1076">
        <f t="shared" ca="1" si="1368"/>
        <v>0</v>
      </c>
      <c r="F1076">
        <f t="shared" ca="1" si="1369"/>
        <v>0</v>
      </c>
      <c r="G1076">
        <f t="shared" ca="1" si="1370"/>
        <v>2</v>
      </c>
      <c r="H1076">
        <f ca="1">IF(OR($A1076="S",$A1076=0),0,MATCH(0,OFFSET($B1076,1,$A1076,ROW($A$1504)-ROW($A1076)),0))</f>
        <v>0</v>
      </c>
      <c r="I1076">
        <f ca="1">IF(OR($A1076="S",$A1076=0),0,MATCH(OFFSET($B1076,0,$A1076)+1,OFFSET($B1076,1,$A1076,ROW($A$1504)-ROW($A1076)),0))</f>
        <v>0</v>
      </c>
      <c r="J1076" s="132" t="s">
        <v>29</v>
      </c>
      <c r="K1076" s="121" t="str">
        <f t="shared" ca="1" si="1371"/>
        <v>12.4.2.</v>
      </c>
      <c r="L1076" s="137" t="str">
        <f t="shared" ca="1" si="1372"/>
        <v>CRESS</v>
      </c>
      <c r="M1076" s="122" t="s">
        <v>78</v>
      </c>
      <c r="N1076" s="139" t="s">
        <v>152</v>
      </c>
      <c r="O1076" s="137" t="str">
        <f ca="1">IF(NOT(ISERROR($Y1076)),IF($Y1076&lt;&gt;FALSE,INDEX(Banco,$Y1076,5),""),"")</f>
        <v>Assistente Social</v>
      </c>
      <c r="P1076" s="138" t="str">
        <f t="shared" ca="1" si="1373"/>
        <v>Horas</v>
      </c>
      <c r="Q1076" s="134">
        <v>16</v>
      </c>
      <c r="R1076" s="124">
        <f t="shared" ca="1" si="1374"/>
        <v>133.81</v>
      </c>
      <c r="S1076" s="136" t="s">
        <v>62</v>
      </c>
      <c r="T1076" s="123">
        <f t="shared" ca="1" si="1375"/>
        <v>167.26</v>
      </c>
      <c r="U1076" s="126">
        <f t="shared" ca="1" si="1376"/>
        <v>2676.16</v>
      </c>
      <c r="V1076" s="1"/>
      <c r="W1076" s="39" t="str">
        <f ca="1">IF(OR($A1076=0,$A1076="S",$A1076&gt;CFF!$A$9),"",MAX(W$11:OFFSET(W1076,-1,0))+1)</f>
        <v/>
      </c>
      <c r="X1076" s="4" t="str">
        <f t="shared" si="1377"/>
        <v>Rec. Humanos-002</v>
      </c>
      <c r="Y1076" s="39">
        <f t="shared" ca="1" si="1378"/>
        <v>4</v>
      </c>
      <c r="Z1076" s="1"/>
      <c r="AA1076" s="133">
        <f>IF($J1076=$G$2,ROUND(IF(ISNUMBER(S1076),S1076,IF(LEFT(S1076,2)="DI",HLOOKUP(S1076,DADOS!$T$29:$X$30,2,FALSE),0)),4),"")</f>
        <v>0.25</v>
      </c>
      <c r="AB1076" s="2"/>
    </row>
    <row r="1077" spans="1:28" ht="25.5">
      <c r="A1077">
        <f>CHOOSE(1+LOG(1+2*(J1077=$C$2)+4*(J1077=$D$2)+8*(J1077=$E$2)+16*(J1077=$F$2)+32*(J1077=$G$2),2),0,1,2,3,4,"S")</f>
        <v>2</v>
      </c>
      <c r="B1077">
        <f ca="1">IF(OR(A1077="S",A1077=0),0,IF(ISERROR(I1077),H1077,SMALL(H1077:I1077,1)))</f>
        <v>18</v>
      </c>
      <c r="C1077">
        <f ca="1">IF($A1077=1,OFFSET(C1077,-1,0)+1,OFFSET(C1077,-1,0))</f>
        <v>12</v>
      </c>
      <c r="D1077">
        <f ca="1">IF($A1077=1,0,IF($A1077=2,OFFSET(D1077,-1,0)+1,OFFSET(D1077,-1,0)))</f>
        <v>5</v>
      </c>
      <c r="E1077">
        <f ca="1">IF(AND($A1077&lt;=2,$A1077&lt;&gt;0),0,IF($A1077=3,OFFSET(E1077,-1,0)+1,OFFSET(E1077,-1,0)))</f>
        <v>0</v>
      </c>
      <c r="F1077">
        <f ca="1">IF(AND($A1077&lt;=3,$A1077&lt;&gt;0),0,IF($A1077=4,OFFSET(F1077,-1,0)+1,OFFSET(F1077,-1,0)))</f>
        <v>0</v>
      </c>
      <c r="G1077">
        <f ca="1">IF(AND($A1077&lt;=4,$A1077&lt;&gt;0),0,IF($A1077="S",OFFSET(G1077,-1,0)+1,OFFSET(G1077,-1,0)))</f>
        <v>0</v>
      </c>
      <c r="H1077">
        <f ca="1">IF(OR($A1077="S",$A1077=0),0,MATCH(0,OFFSET($B1077,1,$A1077,ROW($A$1504)-ROW($A1077)),0))</f>
        <v>51</v>
      </c>
      <c r="I1077">
        <f ca="1">IF(OR($A1077="S",$A1077=0),0,MATCH(OFFSET($B1077,0,$A1077)+1,OFFSET($B1077,1,$A1077,ROW($A$1504)-ROW($A1077)),0))</f>
        <v>18</v>
      </c>
      <c r="J1077" s="132" t="s">
        <v>68</v>
      </c>
      <c r="K1077" s="121" t="str">
        <f ca="1">IF($A1077=0,"-",CONCATENATE(C1077&amp;".",IF(AND($A$5&gt;=2,$A1077&gt;=2),D1077&amp;".",""),IF(AND($A$5&gt;=3,$A1077&gt;=3),E1077&amp;".",""),IF(AND($A$5&gt;=4,$A1077&gt;=4),F1077&amp;".",""),IF($A1077="S",G1077&amp;".","")))</f>
        <v>12.5.</v>
      </c>
      <c r="L1077" s="137" t="str">
        <f ca="1">IF(NOT(ISERROR($Y1077)),IF($Y1077&lt;&gt;FALSE,INDEX(Banco,$Y1077,4),""),"")</f>
        <v/>
      </c>
      <c r="M1077" s="122"/>
      <c r="N1077" s="139"/>
      <c r="O1077" s="137" t="s">
        <v>430</v>
      </c>
      <c r="P1077" s="138" t="str">
        <f ca="1">IF(NOT(ISERROR($Y1077)),IF($Y1077&lt;&gt;FALSE,INDEX(Banco,$Y1077,6),""),"")</f>
        <v/>
      </c>
      <c r="Q1077" s="134"/>
      <c r="R1077" s="124">
        <f ca="1">IF(NOT(ISERROR($Y1077)),IF($Y1077&lt;&gt;FALSE,INDEX(Banco,$Y1077,7),0),0)</f>
        <v>0</v>
      </c>
      <c r="S1077" s="136" t="s">
        <v>62</v>
      </c>
      <c r="T1077" s="123">
        <f>IF($J1077=$G$2,ROUND(ROUND($R1077,2)*IF($R$9="Preço Unitário (R$)",1,1+$AA1077),2),0)</f>
        <v>0</v>
      </c>
      <c r="U1077" s="126">
        <f ca="1">IF($A1077="S",VTOTAL1,IF($A1077=0,0,ROUND(SomaAgrup,2)))</f>
        <v>10512.35</v>
      </c>
      <c r="V1077" s="1"/>
      <c r="W1077" s="39">
        <f ca="1">IF(OR($A1077=0,$A1077="S",$A1077&gt;CFF!$A$9),"",MAX(W$11:OFFSET(W1077,-1,0))+1)</f>
        <v>95</v>
      </c>
      <c r="X1077" s="4" t="b">
        <f>IF(AND($J1077=$G$2,$N1077&lt;&gt;"",$M1077&lt;&gt;""),CONCATENATE($M1077,"-",$N1077))</f>
        <v>0</v>
      </c>
      <c r="Y1077" s="39" t="b">
        <f ca="1">IF(X1077&lt;&gt;FALSE,MATCH(X1077,OFFSET(Banco,0,0,,1),0))</f>
        <v>0</v>
      </c>
      <c r="Z1077" s="1"/>
      <c r="AA1077" s="133" t="str">
        <f>IF($J1077=$G$2,ROUND(IF(ISNUMBER(S1077),S1077,IF(LEFT(S1077,2)="DI",HLOOKUP(S1077,DADOS!$T$29:$X$30,2,FALSE),0)),4),"")</f>
        <v/>
      </c>
      <c r="AB1077" s="2"/>
    </row>
    <row r="1078" spans="1:28">
      <c r="A1078" t="str">
        <f t="shared" ref="A1078:A1083" si="1379">CHOOSE(1+LOG(1+2*(J1078=$C$2)+4*(J1078=$D$2)+8*(J1078=$E$2)+16*(J1078=$F$2)+32*(J1078=$G$2),2),0,1,2,3,4,"S")</f>
        <v>S</v>
      </c>
      <c r="B1078">
        <f t="shared" ref="B1078:B1083" si="1380">IF(OR(A1078="S",A1078=0),0,IF(ISERROR(I1078),H1078,SMALL(H1078:I1078,1)))</f>
        <v>0</v>
      </c>
      <c r="C1078">
        <f t="shared" ref="C1078:C1093" ca="1" si="1381">IF($A1078=1,OFFSET(C1078,-1,0)+1,OFFSET(C1078,-1,0))</f>
        <v>12</v>
      </c>
      <c r="D1078">
        <f t="shared" ref="D1078:D1093" ca="1" si="1382">IF($A1078=1,0,IF($A1078=2,OFFSET(D1078,-1,0)+1,OFFSET(D1078,-1,0)))</f>
        <v>5</v>
      </c>
      <c r="E1078">
        <f t="shared" ref="E1078:E1093" ca="1" si="1383">IF(AND($A1078&lt;=2,$A1078&lt;&gt;0),0,IF($A1078=3,OFFSET(E1078,-1,0)+1,OFFSET(E1078,-1,0)))</f>
        <v>0</v>
      </c>
      <c r="F1078">
        <f t="shared" ref="F1078:F1093" ca="1" si="1384">IF(AND($A1078&lt;=3,$A1078&lt;&gt;0),0,IF($A1078=4,OFFSET(F1078,-1,0)+1,OFFSET(F1078,-1,0)))</f>
        <v>0</v>
      </c>
      <c r="G1078">
        <f t="shared" ref="G1078:G1093" ca="1" si="1385">IF(AND($A1078&lt;=4,$A1078&lt;&gt;0),0,IF($A1078="S",OFFSET(G1078,-1,0)+1,OFFSET(G1078,-1,0)))</f>
        <v>1</v>
      </c>
      <c r="H1078">
        <f ca="1">IF(OR($A1078="S",$A1078=0),0,MATCH(0,OFFSET($B1078,1,$A1078,ROW($A$1504)-ROW($A1078)),0))</f>
        <v>0</v>
      </c>
      <c r="I1078">
        <f ca="1">IF(OR($A1078="S",$A1078=0),0,MATCH(OFFSET($B1078,0,$A1078)+1,OFFSET($B1078,1,$A1078,ROW($A$1504)-ROW($A1078)),0))</f>
        <v>0</v>
      </c>
      <c r="J1078" s="132" t="s">
        <v>29</v>
      </c>
      <c r="K1078" s="121" t="str">
        <f t="shared" ref="K1078:K1093" ca="1" si="1386">IF($A1078=0,"-",CONCATENATE(C1078&amp;".",IF(AND($A$5&gt;=2,$A1078&gt;=2),D1078&amp;".",""),IF(AND($A$5&gt;=3,$A1078&gt;=3),E1078&amp;".",""),IF(AND($A$5&gt;=4,$A1078&gt;=4),F1078&amp;".",""),IF($A1078="S",G1078&amp;".","")))</f>
        <v>12.5.1.</v>
      </c>
      <c r="L1078" s="137" t="str">
        <f t="shared" ref="L1078:L1093" ca="1" si="1387">IF(NOT(ISERROR($Y1078)),IF($Y1078&lt;&gt;FALSE,INDEX(Banco,$Y1078,4),""),"")</f>
        <v>CRESS</v>
      </c>
      <c r="M1078" s="122" t="s">
        <v>78</v>
      </c>
      <c r="N1078" s="139" t="s">
        <v>149</v>
      </c>
      <c r="O1078" s="137" t="str">
        <f t="shared" ref="O1078:O1093" ca="1" si="1388">IF(NOT(ISERROR($Y1078)),IF($Y1078&lt;&gt;FALSE,INDEX(Banco,$Y1078,5),""),"")</f>
        <v>Responsável Técnica</v>
      </c>
      <c r="P1078" s="138" t="str">
        <f t="shared" ref="P1078:P1093" ca="1" si="1389">IF(NOT(ISERROR($Y1078)),IF($Y1078&lt;&gt;FALSE,INDEX(Banco,$Y1078,6),""),"")</f>
        <v>Horas</v>
      </c>
      <c r="Q1078" s="134">
        <v>9</v>
      </c>
      <c r="R1078" s="124">
        <f t="shared" ref="R1078:R1093" ca="1" si="1390">IF(NOT(ISERROR($Y1078)),IF($Y1078&lt;&gt;FALSE,INDEX(Banco,$Y1078,7),0),0)</f>
        <v>150.28</v>
      </c>
      <c r="S1078" s="136" t="s">
        <v>62</v>
      </c>
      <c r="T1078" s="123">
        <f t="shared" ref="T1078:T1093" ca="1" si="1391">IF($J1078=$G$2,ROUND(ROUND($R1078,2)*IF($R$9="Preço Unitário (R$)",1,1+$AA1078),2),0)</f>
        <v>187.85</v>
      </c>
      <c r="U1078" s="126">
        <f t="shared" ref="U1078:U1093" ca="1" si="1392">IF($A1078="S",VTOTAL1,IF($A1078=0,0,ROUND(SomaAgrup,2)))</f>
        <v>1690.65</v>
      </c>
      <c r="V1078" s="1"/>
      <c r="W1078" s="39" t="str">
        <f ca="1">IF(OR($A1078=0,$A1078="S",$A1078&gt;CFF!$A$9),"",MAX(W$11:OFFSET(W1078,-1,0))+1)</f>
        <v/>
      </c>
      <c r="X1078" s="4" t="str">
        <f t="shared" ref="X1078:X1093" si="1393">IF(AND($J1078=$G$2,$N1078&lt;&gt;"",$M1078&lt;&gt;""),CONCATENATE($M1078,"-",$N1078))</f>
        <v>Rec. Humanos-001</v>
      </c>
      <c r="Y1078" s="39">
        <f t="shared" ref="Y1078:Y1083" ca="1" si="1394">IF(X1078&lt;&gt;FALSE,MATCH(X1078,OFFSET(Banco,0,0,,1),0))</f>
        <v>3</v>
      </c>
      <c r="Z1078" s="1"/>
      <c r="AA1078" s="133">
        <f>IF($J1078=$G$2,ROUND(IF(ISNUMBER(S1078),S1078,IF(LEFT(S1078,2)="DI",HLOOKUP(S1078,DADOS!$T$29:$X$30,2,FALSE),0)),4),"")</f>
        <v>0.25</v>
      </c>
      <c r="AB1078" s="2"/>
    </row>
    <row r="1079" spans="1:28">
      <c r="A1079" t="str">
        <f t="shared" si="1379"/>
        <v>S</v>
      </c>
      <c r="B1079">
        <f t="shared" si="1380"/>
        <v>0</v>
      </c>
      <c r="C1079">
        <f t="shared" ca="1" si="1381"/>
        <v>12</v>
      </c>
      <c r="D1079">
        <f t="shared" ca="1" si="1382"/>
        <v>5</v>
      </c>
      <c r="E1079">
        <f t="shared" ca="1" si="1383"/>
        <v>0</v>
      </c>
      <c r="F1079">
        <f t="shared" ca="1" si="1384"/>
        <v>0</v>
      </c>
      <c r="G1079">
        <f t="shared" ca="1" si="1385"/>
        <v>2</v>
      </c>
      <c r="H1079">
        <f ca="1">IF(OR($A1079="S",$A1079=0),0,MATCH(0,OFFSET($B1079,1,$A1079,ROW($A$1504)-ROW($A1079)),0))</f>
        <v>0</v>
      </c>
      <c r="I1079">
        <f ca="1">IF(OR($A1079="S",$A1079=0),0,MATCH(OFFSET($B1079,0,$A1079)+1,OFFSET($B1079,1,$A1079,ROW($A$1504)-ROW($A1079)),0))</f>
        <v>0</v>
      </c>
      <c r="J1079" s="132" t="s">
        <v>29</v>
      </c>
      <c r="K1079" s="121" t="str">
        <f t="shared" ca="1" si="1386"/>
        <v>12.5.2.</v>
      </c>
      <c r="L1079" s="137" t="str">
        <f t="shared" ca="1" si="1387"/>
        <v>CRESS</v>
      </c>
      <c r="M1079" s="122" t="s">
        <v>78</v>
      </c>
      <c r="N1079" s="139" t="s">
        <v>152</v>
      </c>
      <c r="O1079" s="137" t="str">
        <f t="shared" ca="1" si="1388"/>
        <v>Assistente Social</v>
      </c>
      <c r="P1079" s="138" t="str">
        <f t="shared" ca="1" si="1389"/>
        <v>Horas</v>
      </c>
      <c r="Q1079" s="134">
        <v>10</v>
      </c>
      <c r="R1079" s="124">
        <f t="shared" ca="1" si="1390"/>
        <v>133.81</v>
      </c>
      <c r="S1079" s="136" t="s">
        <v>62</v>
      </c>
      <c r="T1079" s="123">
        <f t="shared" ca="1" si="1391"/>
        <v>167.26</v>
      </c>
      <c r="U1079" s="126">
        <f t="shared" ca="1" si="1392"/>
        <v>1672.6</v>
      </c>
      <c r="V1079" s="1"/>
      <c r="W1079" s="39" t="str">
        <f ca="1">IF(OR($A1079=0,$A1079="S",$A1079&gt;CFF!$A$9),"",MAX(W$11:OFFSET(W1079,-1,0))+1)</f>
        <v/>
      </c>
      <c r="X1079" s="4" t="str">
        <f t="shared" si="1393"/>
        <v>Rec. Humanos-002</v>
      </c>
      <c r="Y1079" s="39">
        <f t="shared" ca="1" si="1394"/>
        <v>4</v>
      </c>
      <c r="Z1079" s="1"/>
      <c r="AA1079" s="133">
        <f>IF($J1079=$G$2,ROUND(IF(ISNUMBER(S1079),S1079,IF(LEFT(S1079,2)="DI",HLOOKUP(S1079,DADOS!$T$29:$X$30,2,FALSE),0)),4),"")</f>
        <v>0.25</v>
      </c>
      <c r="AB1079" s="2"/>
    </row>
    <row r="1080" spans="1:28">
      <c r="A1080" t="str">
        <f t="shared" si="1379"/>
        <v>S</v>
      </c>
      <c r="B1080">
        <f t="shared" si="1380"/>
        <v>0</v>
      </c>
      <c r="C1080">
        <f t="shared" ca="1" si="1381"/>
        <v>12</v>
      </c>
      <c r="D1080">
        <f t="shared" ca="1" si="1382"/>
        <v>5</v>
      </c>
      <c r="E1080">
        <f t="shared" ca="1" si="1383"/>
        <v>0</v>
      </c>
      <c r="F1080">
        <f t="shared" ca="1" si="1384"/>
        <v>0</v>
      </c>
      <c r="G1080">
        <f t="shared" ca="1" si="1385"/>
        <v>3</v>
      </c>
      <c r="H1080">
        <f ca="1">IF(OR($A1080="S",$A1080=0),0,MATCH(0,OFFSET($B1080,1,$A1080,ROW($A$1504)-ROW($A1080)),0))</f>
        <v>0</v>
      </c>
      <c r="I1080">
        <f ca="1">IF(OR($A1080="S",$A1080=0),0,MATCH(OFFSET($B1080,0,$A1080)+1,OFFSET($B1080,1,$A1080,ROW($A$1504)-ROW($A1080)),0))</f>
        <v>0</v>
      </c>
      <c r="J1080" s="132" t="s">
        <v>29</v>
      </c>
      <c r="K1080" s="121" t="str">
        <f t="shared" ca="1" si="1386"/>
        <v>12.5.3.</v>
      </c>
      <c r="L1080" s="137" t="str">
        <f t="shared" ca="1" si="1387"/>
        <v>Cotação</v>
      </c>
      <c r="M1080" s="122" t="s">
        <v>78</v>
      </c>
      <c r="N1080" s="139" t="s">
        <v>151</v>
      </c>
      <c r="O1080" s="137" t="str">
        <f t="shared" ca="1" si="1388"/>
        <v xml:space="preserve">Administrador (Técnico de Apoio) </v>
      </c>
      <c r="P1080" s="138" t="str">
        <f t="shared" ca="1" si="1389"/>
        <v>Horas</v>
      </c>
      <c r="Q1080" s="134">
        <v>4</v>
      </c>
      <c r="R1080" s="124">
        <f t="shared" ca="1" si="1390"/>
        <v>103.65</v>
      </c>
      <c r="S1080" s="136" t="s">
        <v>62</v>
      </c>
      <c r="T1080" s="123">
        <f t="shared" ca="1" si="1391"/>
        <v>129.56</v>
      </c>
      <c r="U1080" s="126">
        <f t="shared" ca="1" si="1392"/>
        <v>518.24</v>
      </c>
      <c r="V1080" s="1"/>
      <c r="W1080" s="39" t="str">
        <f ca="1">IF(OR($A1080=0,$A1080="S",$A1080&gt;CFF!$A$9),"",MAX(W$11:OFFSET(W1080,-1,0))+1)</f>
        <v/>
      </c>
      <c r="X1080" s="4" t="str">
        <f t="shared" si="1393"/>
        <v>Rec. Humanos-003</v>
      </c>
      <c r="Y1080" s="39">
        <f t="shared" ca="1" si="1394"/>
        <v>5</v>
      </c>
      <c r="Z1080" s="1"/>
      <c r="AA1080" s="133">
        <f>IF($J1080=$G$2,ROUND(IF(ISNUMBER(S1080),S1080,IF(LEFT(S1080,2)="DI",HLOOKUP(S1080,DADOS!$T$29:$X$30,2,FALSE),0)),4),"")</f>
        <v>0.25</v>
      </c>
      <c r="AB1080" s="2"/>
    </row>
    <row r="1081" spans="1:28">
      <c r="A1081" t="str">
        <f t="shared" si="1379"/>
        <v>S</v>
      </c>
      <c r="B1081">
        <f t="shared" si="1380"/>
        <v>0</v>
      </c>
      <c r="C1081">
        <f t="shared" ca="1" si="1381"/>
        <v>12</v>
      </c>
      <c r="D1081">
        <f t="shared" ca="1" si="1382"/>
        <v>5</v>
      </c>
      <c r="E1081">
        <f t="shared" ca="1" si="1383"/>
        <v>0</v>
      </c>
      <c r="F1081">
        <f t="shared" ca="1" si="1384"/>
        <v>0</v>
      </c>
      <c r="G1081">
        <f t="shared" ca="1" si="1385"/>
        <v>4</v>
      </c>
      <c r="H1081">
        <f ca="1">IF(OR($A1081="S",$A1081=0),0,MATCH(0,OFFSET($B1081,1,$A1081,ROW($A$1504)-ROW($A1081)),0))</f>
        <v>0</v>
      </c>
      <c r="I1081">
        <f ca="1">IF(OR($A1081="S",$A1081=0),0,MATCH(OFFSET($B1081,0,$A1081)+1,OFFSET($B1081,1,$A1081,ROW($A$1504)-ROW($A1081)),0))</f>
        <v>0</v>
      </c>
      <c r="J1081" s="132" t="s">
        <v>29</v>
      </c>
      <c r="K1081" s="121" t="str">
        <f t="shared" ca="1" si="1386"/>
        <v>12.5.4.</v>
      </c>
      <c r="L1081" s="137" t="str">
        <f t="shared" ca="1" si="1387"/>
        <v>SINE</v>
      </c>
      <c r="M1081" s="122" t="s">
        <v>78</v>
      </c>
      <c r="N1081" s="139" t="s">
        <v>153</v>
      </c>
      <c r="O1081" s="137" t="str">
        <f t="shared" ca="1" si="1388"/>
        <v>Estagiários</v>
      </c>
      <c r="P1081" s="138" t="str">
        <f t="shared" ca="1" si="1389"/>
        <v>Horas</v>
      </c>
      <c r="Q1081" s="134">
        <v>22</v>
      </c>
      <c r="R1081" s="124">
        <f t="shared" ca="1" si="1390"/>
        <v>9.7899999999999991</v>
      </c>
      <c r="S1081" s="136" t="s">
        <v>62</v>
      </c>
      <c r="T1081" s="123">
        <f t="shared" ca="1" si="1391"/>
        <v>12.24</v>
      </c>
      <c r="U1081" s="126">
        <f t="shared" ca="1" si="1392"/>
        <v>269.27999999999997</v>
      </c>
      <c r="V1081" s="1"/>
      <c r="W1081" s="39" t="str">
        <f ca="1">IF(OR($A1081=0,$A1081="S",$A1081&gt;CFF!$A$9),"",MAX(W$11:OFFSET(W1081,-1,0))+1)</f>
        <v/>
      </c>
      <c r="X1081" s="4" t="str">
        <f t="shared" si="1393"/>
        <v>Rec. Humanos-004</v>
      </c>
      <c r="Y1081" s="39">
        <f t="shared" ca="1" si="1394"/>
        <v>6</v>
      </c>
      <c r="Z1081" s="1"/>
      <c r="AA1081" s="133">
        <f>IF($J1081=$G$2,ROUND(IF(ISNUMBER(S1081),S1081,IF(LEFT(S1081,2)="DI",HLOOKUP(S1081,DADOS!$T$29:$X$30,2,FALSE),0)),4),"")</f>
        <v>0.25</v>
      </c>
      <c r="AB1081" s="2"/>
    </row>
    <row r="1082" spans="1:28">
      <c r="A1082" t="str">
        <f t="shared" si="1379"/>
        <v>S</v>
      </c>
      <c r="B1082">
        <f t="shared" si="1380"/>
        <v>0</v>
      </c>
      <c r="C1082">
        <f t="shared" ca="1" si="1381"/>
        <v>12</v>
      </c>
      <c r="D1082">
        <f t="shared" ca="1" si="1382"/>
        <v>5</v>
      </c>
      <c r="E1082">
        <f t="shared" ca="1" si="1383"/>
        <v>0</v>
      </c>
      <c r="F1082">
        <f t="shared" ca="1" si="1384"/>
        <v>0</v>
      </c>
      <c r="G1082">
        <f t="shared" ca="1" si="1385"/>
        <v>5</v>
      </c>
      <c r="H1082">
        <f ca="1">IF(OR($A1082="S",$A1082=0),0,MATCH(0,OFFSET($B1082,1,$A1082,ROW($A$1504)-ROW($A1082)),0))</f>
        <v>0</v>
      </c>
      <c r="I1082">
        <f ca="1">IF(OR($A1082="S",$A1082=0),0,MATCH(OFFSET($B1082,0,$A1082)+1,OFFSET($B1082,1,$A1082,ROW($A$1504)-ROW($A1082)),0))</f>
        <v>0</v>
      </c>
      <c r="J1082" s="132" t="s">
        <v>29</v>
      </c>
      <c r="K1082" s="121" t="str">
        <f t="shared" ca="1" si="1386"/>
        <v>12.5.5.</v>
      </c>
      <c r="L1082" s="137" t="str">
        <f t="shared" ca="1" si="1387"/>
        <v>Cotação</v>
      </c>
      <c r="M1082" s="122" t="s">
        <v>80</v>
      </c>
      <c r="N1082" s="139" t="s">
        <v>149</v>
      </c>
      <c r="O1082" s="137" t="str">
        <f t="shared" ca="1" si="1388"/>
        <v>Fotocópias</v>
      </c>
      <c r="P1082" s="138" t="str">
        <f t="shared" ca="1" si="1389"/>
        <v>Unidade</v>
      </c>
      <c r="Q1082" s="134">
        <v>150</v>
      </c>
      <c r="R1082" s="124">
        <f t="shared" ca="1" si="1390"/>
        <v>0.3</v>
      </c>
      <c r="S1082" s="136" t="s">
        <v>62</v>
      </c>
      <c r="T1082" s="123">
        <f t="shared" ca="1" si="1391"/>
        <v>0.38</v>
      </c>
      <c r="U1082" s="126">
        <f t="shared" ca="1" si="1392"/>
        <v>57</v>
      </c>
      <c r="V1082" s="1"/>
      <c r="W1082" s="39" t="str">
        <f ca="1">IF(OR($A1082=0,$A1082="S",$A1082&gt;CFF!$A$9),"",MAX(W$11:OFFSET(W1082,-1,0))+1)</f>
        <v/>
      </c>
      <c r="X1082" s="4" t="str">
        <f t="shared" si="1393"/>
        <v>Serv. Terc.-001</v>
      </c>
      <c r="Y1082" s="39">
        <f t="shared" ca="1" si="1394"/>
        <v>81</v>
      </c>
      <c r="Z1082" s="1"/>
      <c r="AA1082" s="133">
        <f>IF($J1082=$G$2,ROUND(IF(ISNUMBER(S1082),S1082,IF(LEFT(S1082,2)="DI",HLOOKUP(S1082,DADOS!$T$29:$X$30,2,FALSE),0)),4),"")</f>
        <v>0.25</v>
      </c>
      <c r="AB1082" s="2"/>
    </row>
    <row r="1083" spans="1:28">
      <c r="A1083" t="str">
        <f t="shared" si="1379"/>
        <v>S</v>
      </c>
      <c r="B1083">
        <f t="shared" si="1380"/>
        <v>0</v>
      </c>
      <c r="C1083">
        <f t="shared" ca="1" si="1381"/>
        <v>12</v>
      </c>
      <c r="D1083">
        <f t="shared" ca="1" si="1382"/>
        <v>5</v>
      </c>
      <c r="E1083">
        <f t="shared" ca="1" si="1383"/>
        <v>0</v>
      </c>
      <c r="F1083">
        <f t="shared" ca="1" si="1384"/>
        <v>0</v>
      </c>
      <c r="G1083">
        <f t="shared" ca="1" si="1385"/>
        <v>6</v>
      </c>
      <c r="H1083">
        <f ca="1">IF(OR($A1083="S",$A1083=0),0,MATCH(0,OFFSET($B1083,1,$A1083,ROW($A$1504)-ROW($A1083)),0))</f>
        <v>0</v>
      </c>
      <c r="I1083">
        <f ca="1">IF(OR($A1083="S",$A1083=0),0,MATCH(OFFSET($B1083,0,$A1083)+1,OFFSET($B1083,1,$A1083,ROW($A$1504)-ROW($A1083)),0))</f>
        <v>0</v>
      </c>
      <c r="J1083" s="132" t="s">
        <v>29</v>
      </c>
      <c r="K1083" s="121" t="str">
        <f t="shared" ca="1" si="1386"/>
        <v>12.5.6.</v>
      </c>
      <c r="L1083" s="137" t="str">
        <f t="shared" ca="1" si="1387"/>
        <v>Cotação</v>
      </c>
      <c r="M1083" s="122" t="s">
        <v>80</v>
      </c>
      <c r="N1083" s="139" t="s">
        <v>256</v>
      </c>
      <c r="O1083" s="137" t="str">
        <f t="shared" ca="1" si="1388"/>
        <v>Instrutor/Monitor (Educação Fisíca)</v>
      </c>
      <c r="P1083" s="138" t="str">
        <f t="shared" ca="1" si="1389"/>
        <v>Horas</v>
      </c>
      <c r="Q1083" s="134">
        <v>3</v>
      </c>
      <c r="R1083" s="124">
        <f t="shared" ca="1" si="1390"/>
        <v>100</v>
      </c>
      <c r="S1083" s="136" t="s">
        <v>62</v>
      </c>
      <c r="T1083" s="123">
        <f t="shared" ca="1" si="1391"/>
        <v>125</v>
      </c>
      <c r="U1083" s="126">
        <f t="shared" ca="1" si="1392"/>
        <v>375</v>
      </c>
      <c r="V1083" s="1"/>
      <c r="W1083" s="39" t="str">
        <f ca="1">IF(OR($A1083=0,$A1083="S",$A1083&gt;CFF!$A$9),"",MAX(W$11:OFFSET(W1083,-1,0))+1)</f>
        <v/>
      </c>
      <c r="X1083" s="4" t="str">
        <f t="shared" si="1393"/>
        <v>Serv. Terc.-017</v>
      </c>
      <c r="Y1083" s="39">
        <f t="shared" ca="1" si="1394"/>
        <v>97</v>
      </c>
      <c r="Z1083" s="1"/>
      <c r="AA1083" s="133">
        <f>IF($J1083=$G$2,ROUND(IF(ISNUMBER(S1083),S1083,IF(LEFT(S1083,2)="DI",HLOOKUP(S1083,DADOS!$T$29:$X$30,2,FALSE),0)),4),"")</f>
        <v>0.25</v>
      </c>
      <c r="AB1083" s="2"/>
    </row>
    <row r="1084" spans="1:28">
      <c r="A1084" t="str">
        <f t="shared" ref="A1084:A1093" si="1395">CHOOSE(1+LOG(1+2*(J1084=$C$2)+4*(J1084=$D$2)+8*(J1084=$E$2)+16*(J1084=$F$2)+32*(J1084=$G$2),2),0,1,2,3,4,"S")</f>
        <v>S</v>
      </c>
      <c r="B1084">
        <f t="shared" ref="B1084:B1093" si="1396">IF(OR(A1084="S",A1084=0),0,IF(ISERROR(I1084),H1084,SMALL(H1084:I1084,1)))</f>
        <v>0</v>
      </c>
      <c r="C1084">
        <f t="shared" ca="1" si="1381"/>
        <v>12</v>
      </c>
      <c r="D1084">
        <f t="shared" ca="1" si="1382"/>
        <v>5</v>
      </c>
      <c r="E1084">
        <f t="shared" ca="1" si="1383"/>
        <v>0</v>
      </c>
      <c r="F1084">
        <f t="shared" ca="1" si="1384"/>
        <v>0</v>
      </c>
      <c r="G1084">
        <f t="shared" ca="1" si="1385"/>
        <v>7</v>
      </c>
      <c r="H1084">
        <f ca="1">IF(OR($A1084="S",$A1084=0),0,MATCH(0,OFFSET($B1084,1,$A1084,ROW($A$1504)-ROW($A1084)),0))</f>
        <v>0</v>
      </c>
      <c r="I1084">
        <f ca="1">IF(OR($A1084="S",$A1084=0),0,MATCH(OFFSET($B1084,0,$A1084)+1,OFFSET($B1084,1,$A1084,ROW($A$1504)-ROW($A1084)),0))</f>
        <v>0</v>
      </c>
      <c r="J1084" s="132" t="s">
        <v>29</v>
      </c>
      <c r="K1084" s="121" t="str">
        <f t="shared" ca="1" si="1386"/>
        <v>12.5.7.</v>
      </c>
      <c r="L1084" s="137" t="str">
        <f t="shared" ca="1" si="1387"/>
        <v>Cotação</v>
      </c>
      <c r="M1084" s="122" t="s">
        <v>80</v>
      </c>
      <c r="N1084" s="139" t="s">
        <v>152</v>
      </c>
      <c r="O1084" s="137" t="str">
        <f t="shared" ca="1" si="1388"/>
        <v>Carro de som com gravação de vinheta</v>
      </c>
      <c r="P1084" s="138" t="str">
        <f t="shared" ca="1" si="1389"/>
        <v>Horas</v>
      </c>
      <c r="Q1084" s="134">
        <v>3</v>
      </c>
      <c r="R1084" s="124">
        <f t="shared" ca="1" si="1390"/>
        <v>200</v>
      </c>
      <c r="S1084" s="136" t="s">
        <v>62</v>
      </c>
      <c r="T1084" s="123">
        <f t="shared" ca="1" si="1391"/>
        <v>250</v>
      </c>
      <c r="U1084" s="126">
        <f t="shared" ca="1" si="1392"/>
        <v>750</v>
      </c>
      <c r="V1084" s="1"/>
      <c r="W1084" s="39" t="str">
        <f ca="1">IF(OR($A1084=0,$A1084="S",$A1084&gt;CFF!$A$9),"",MAX(W$11:OFFSET(W1084,-1,0))+1)</f>
        <v/>
      </c>
      <c r="X1084" s="4" t="str">
        <f t="shared" si="1393"/>
        <v>Serv. Terc.-002</v>
      </c>
      <c r="Y1084" s="39">
        <f t="shared" ref="Y1084:Y1093" ca="1" si="1397">IF(X1084&lt;&gt;FALSE,MATCH(X1084,OFFSET(Banco,0,0,,1),0))</f>
        <v>82</v>
      </c>
      <c r="Z1084" s="1"/>
      <c r="AA1084" s="133">
        <f>IF($J1084=$G$2,ROUND(IF(ISNUMBER(S1084),S1084,IF(LEFT(S1084,2)="DI",HLOOKUP(S1084,DADOS!$T$29:$X$30,2,FALSE),0)),4),"")</f>
        <v>0.25</v>
      </c>
      <c r="AB1084" s="2"/>
    </row>
    <row r="1085" spans="1:28">
      <c r="A1085" t="str">
        <f t="shared" si="1395"/>
        <v>S</v>
      </c>
      <c r="B1085">
        <f t="shared" si="1396"/>
        <v>0</v>
      </c>
      <c r="C1085">
        <f t="shared" ca="1" si="1381"/>
        <v>12</v>
      </c>
      <c r="D1085">
        <f t="shared" ca="1" si="1382"/>
        <v>5</v>
      </c>
      <c r="E1085">
        <f t="shared" ca="1" si="1383"/>
        <v>0</v>
      </c>
      <c r="F1085">
        <f t="shared" ca="1" si="1384"/>
        <v>0</v>
      </c>
      <c r="G1085">
        <f t="shared" ca="1" si="1385"/>
        <v>8</v>
      </c>
      <c r="H1085">
        <f ca="1">IF(OR($A1085="S",$A1085=0),0,MATCH(0,OFFSET($B1085,1,$A1085,ROW($A$1504)-ROW($A1085)),0))</f>
        <v>0</v>
      </c>
      <c r="I1085">
        <f ca="1">IF(OR($A1085="S",$A1085=0),0,MATCH(OFFSET($B1085,0,$A1085)+1,OFFSET($B1085,1,$A1085,ROW($A$1504)-ROW($A1085)),0))</f>
        <v>0</v>
      </c>
      <c r="J1085" s="132" t="s">
        <v>29</v>
      </c>
      <c r="K1085" s="121" t="str">
        <f t="shared" ca="1" si="1386"/>
        <v>12.5.8.</v>
      </c>
      <c r="L1085" s="137" t="str">
        <f t="shared" ca="1" si="1387"/>
        <v>Cotação</v>
      </c>
      <c r="M1085" s="122" t="s">
        <v>80</v>
      </c>
      <c r="N1085" s="139" t="s">
        <v>154</v>
      </c>
      <c r="O1085" s="137" t="str">
        <f t="shared" ca="1" si="1388"/>
        <v>Locação de caixa térmica</v>
      </c>
      <c r="P1085" s="138" t="str">
        <f t="shared" ca="1" si="1389"/>
        <v>Unidade</v>
      </c>
      <c r="Q1085" s="134">
        <v>2</v>
      </c>
      <c r="R1085" s="124">
        <f t="shared" ca="1" si="1390"/>
        <v>40</v>
      </c>
      <c r="S1085" s="136" t="s">
        <v>62</v>
      </c>
      <c r="T1085" s="123">
        <f t="shared" ca="1" si="1391"/>
        <v>50</v>
      </c>
      <c r="U1085" s="126">
        <f t="shared" ca="1" si="1392"/>
        <v>100</v>
      </c>
      <c r="V1085" s="1"/>
      <c r="W1085" s="39" t="str">
        <f ca="1">IF(OR($A1085=0,$A1085="S",$A1085&gt;CFF!$A$9),"",MAX(W$11:OFFSET(W1085,-1,0))+1)</f>
        <v/>
      </c>
      <c r="X1085" s="4" t="str">
        <f t="shared" si="1393"/>
        <v>Serv. Terc.-005</v>
      </c>
      <c r="Y1085" s="39">
        <f t="shared" ca="1" si="1397"/>
        <v>85</v>
      </c>
      <c r="Z1085" s="1"/>
      <c r="AA1085" s="133">
        <f>IF($J1085=$G$2,ROUND(IF(ISNUMBER(S1085),S1085,IF(LEFT(S1085,2)="DI",HLOOKUP(S1085,DADOS!$T$29:$X$30,2,FALSE),0)),4),"")</f>
        <v>0.25</v>
      </c>
      <c r="AB1085" s="2"/>
    </row>
    <row r="1086" spans="1:28">
      <c r="A1086" t="str">
        <f t="shared" si="1395"/>
        <v>S</v>
      </c>
      <c r="B1086">
        <f t="shared" si="1396"/>
        <v>0</v>
      </c>
      <c r="C1086">
        <f t="shared" ca="1" si="1381"/>
        <v>12</v>
      </c>
      <c r="D1086">
        <f t="shared" ca="1" si="1382"/>
        <v>5</v>
      </c>
      <c r="E1086">
        <f t="shared" ca="1" si="1383"/>
        <v>0</v>
      </c>
      <c r="F1086">
        <f t="shared" ca="1" si="1384"/>
        <v>0</v>
      </c>
      <c r="G1086">
        <f t="shared" ca="1" si="1385"/>
        <v>9</v>
      </c>
      <c r="H1086">
        <f ca="1">IF(OR($A1086="S",$A1086=0),0,MATCH(0,OFFSET($B1086,1,$A1086,ROW($A$1504)-ROW($A1086)),0))</f>
        <v>0</v>
      </c>
      <c r="I1086">
        <f ca="1">IF(OR($A1086="S",$A1086=0),0,MATCH(OFFSET($B1086,0,$A1086)+1,OFFSET($B1086,1,$A1086,ROW($A$1504)-ROW($A1086)),0))</f>
        <v>0</v>
      </c>
      <c r="J1086" s="132" t="s">
        <v>29</v>
      </c>
      <c r="K1086" s="121" t="str">
        <f t="shared" ca="1" si="1386"/>
        <v>12.5.9.</v>
      </c>
      <c r="L1086" s="137" t="str">
        <f t="shared" ca="1" si="1387"/>
        <v xml:space="preserve">Cotação </v>
      </c>
      <c r="M1086" s="122" t="s">
        <v>80</v>
      </c>
      <c r="N1086" s="139" t="s">
        <v>160</v>
      </c>
      <c r="O1086" s="137" t="str">
        <f t="shared" ca="1" si="1388"/>
        <v>Barra de gelo</v>
      </c>
      <c r="P1086" s="138" t="str">
        <f t="shared" ca="1" si="1389"/>
        <v>Unidade</v>
      </c>
      <c r="Q1086" s="134">
        <v>4</v>
      </c>
      <c r="R1086" s="124">
        <f t="shared" ca="1" si="1390"/>
        <v>12</v>
      </c>
      <c r="S1086" s="136" t="s">
        <v>62</v>
      </c>
      <c r="T1086" s="123">
        <f t="shared" ca="1" si="1391"/>
        <v>15</v>
      </c>
      <c r="U1086" s="126">
        <f t="shared" ca="1" si="1392"/>
        <v>60</v>
      </c>
      <c r="V1086" s="1"/>
      <c r="W1086" s="39" t="str">
        <f ca="1">IF(OR($A1086=0,$A1086="S",$A1086&gt;CFF!$A$9),"",MAX(W$11:OFFSET(W1086,-1,0))+1)</f>
        <v/>
      </c>
      <c r="X1086" s="4" t="str">
        <f t="shared" si="1393"/>
        <v>Serv. Terc.-011</v>
      </c>
      <c r="Y1086" s="39">
        <f t="shared" ca="1" si="1397"/>
        <v>91</v>
      </c>
      <c r="Z1086" s="1"/>
      <c r="AA1086" s="133">
        <f>IF($J1086=$G$2,ROUND(IF(ISNUMBER(S1086),S1086,IF(LEFT(S1086,2)="DI",HLOOKUP(S1086,DADOS!$T$29:$X$30,2,FALSE),0)),4),"")</f>
        <v>0.25</v>
      </c>
      <c r="AB1086" s="2"/>
    </row>
    <row r="1087" spans="1:28">
      <c r="A1087" t="str">
        <f t="shared" si="1395"/>
        <v>S</v>
      </c>
      <c r="B1087">
        <f t="shared" si="1396"/>
        <v>0</v>
      </c>
      <c r="C1087">
        <f t="shared" ca="1" si="1381"/>
        <v>12</v>
      </c>
      <c r="D1087">
        <f t="shared" ca="1" si="1382"/>
        <v>5</v>
      </c>
      <c r="E1087">
        <f t="shared" ca="1" si="1383"/>
        <v>0</v>
      </c>
      <c r="F1087">
        <f t="shared" ca="1" si="1384"/>
        <v>0</v>
      </c>
      <c r="G1087">
        <f t="shared" ca="1" si="1385"/>
        <v>10</v>
      </c>
      <c r="H1087">
        <f ca="1">IF(OR($A1087="S",$A1087=0),0,MATCH(0,OFFSET($B1087,1,$A1087,ROW($A$1504)-ROW($A1087)),0))</f>
        <v>0</v>
      </c>
      <c r="I1087">
        <f ca="1">IF(OR($A1087="S",$A1087=0),0,MATCH(OFFSET($B1087,0,$A1087)+1,OFFSET($B1087,1,$A1087,ROW($A$1504)-ROW($A1087)),0))</f>
        <v>0</v>
      </c>
      <c r="J1087" s="132" t="s">
        <v>29</v>
      </c>
      <c r="K1087" s="121" t="str">
        <f t="shared" ca="1" si="1386"/>
        <v>12.5.10.</v>
      </c>
      <c r="L1087" s="137" t="str">
        <f t="shared" ca="1" si="1387"/>
        <v>Cotação</v>
      </c>
      <c r="M1087" s="122" t="s">
        <v>80</v>
      </c>
      <c r="N1087" s="139" t="s">
        <v>150</v>
      </c>
      <c r="O1087" s="137" t="str">
        <f t="shared" ca="1" si="1388"/>
        <v>Sucos</v>
      </c>
      <c r="P1087" s="138" t="str">
        <f t="shared" ca="1" si="1389"/>
        <v>Unidade</v>
      </c>
      <c r="Q1087" s="134">
        <v>12</v>
      </c>
      <c r="R1087" s="124">
        <f t="shared" ca="1" si="1390"/>
        <v>6.4</v>
      </c>
      <c r="S1087" s="136" t="s">
        <v>62</v>
      </c>
      <c r="T1087" s="123">
        <f t="shared" ca="1" si="1391"/>
        <v>8</v>
      </c>
      <c r="U1087" s="126">
        <f t="shared" ca="1" si="1392"/>
        <v>96</v>
      </c>
      <c r="V1087" s="1"/>
      <c r="W1087" s="39" t="str">
        <f ca="1">IF(OR($A1087=0,$A1087="S",$A1087&gt;CFF!$A$9),"",MAX(W$11:OFFSET(W1087,-1,0))+1)</f>
        <v/>
      </c>
      <c r="X1087" s="4" t="str">
        <f t="shared" si="1393"/>
        <v>Serv. Terc.-013</v>
      </c>
      <c r="Y1087" s="39">
        <f t="shared" ca="1" si="1397"/>
        <v>93</v>
      </c>
      <c r="Z1087" s="1"/>
      <c r="AA1087" s="133">
        <f>IF($J1087=$G$2,ROUND(IF(ISNUMBER(S1087),S1087,IF(LEFT(S1087,2)="DI",HLOOKUP(S1087,DADOS!$T$29:$X$30,2,FALSE),0)),4),"")</f>
        <v>0.25</v>
      </c>
      <c r="AB1087" s="2"/>
    </row>
    <row r="1088" spans="1:28">
      <c r="A1088" t="str">
        <f>CHOOSE(1+LOG(1+2*(J1088=$C$2)+4*(J1088=$D$2)+8*(J1088=$E$2)+16*(J1088=$F$2)+32*(J1088=$G$2),2),0,1,2,3,4,"S")</f>
        <v>S</v>
      </c>
      <c r="B1088">
        <f>IF(OR(A1088="S",A1088=0),0,IF(ISERROR(I1088),H1088,SMALL(H1088:I1088,1)))</f>
        <v>0</v>
      </c>
      <c r="C1088">
        <f ca="1">IF($A1088=1,OFFSET(C1088,-1,0)+1,OFFSET(C1088,-1,0))</f>
        <v>12</v>
      </c>
      <c r="D1088">
        <f ca="1">IF($A1088=1,0,IF($A1088=2,OFFSET(D1088,-1,0)+1,OFFSET(D1088,-1,0)))</f>
        <v>5</v>
      </c>
      <c r="E1088">
        <f ca="1">IF(AND($A1088&lt;=2,$A1088&lt;&gt;0),0,IF($A1088=3,OFFSET(E1088,-1,0)+1,OFFSET(E1088,-1,0)))</f>
        <v>0</v>
      </c>
      <c r="F1088">
        <f ca="1">IF(AND($A1088&lt;=3,$A1088&lt;&gt;0),0,IF($A1088=4,OFFSET(F1088,-1,0)+1,OFFSET(F1088,-1,0)))</f>
        <v>0</v>
      </c>
      <c r="G1088">
        <f ca="1">IF(AND($A1088&lt;=4,$A1088&lt;&gt;0),0,IF($A1088="S",OFFSET(G1088,-1,0)+1,OFFSET(G1088,-1,0)))</f>
        <v>11</v>
      </c>
      <c r="H1088">
        <f ca="1">IF(OR($A1088="S",$A1088=0),0,MATCH(0,OFFSET($B1088,1,$A1088,ROW($A$1504)-ROW($A1088)),0))</f>
        <v>0</v>
      </c>
      <c r="I1088">
        <f ca="1">IF(OR($A1088="S",$A1088=0),0,MATCH(OFFSET($B1088,0,$A1088)+1,OFFSET($B1088,1,$A1088,ROW($A$1504)-ROW($A1088)),0))</f>
        <v>0</v>
      </c>
      <c r="J1088" s="132" t="s">
        <v>29</v>
      </c>
      <c r="K1088" s="121" t="str">
        <f ca="1">IF($A1088=0,"-",CONCATENATE(C1088&amp;".",IF(AND($A$5&gt;=2,$A1088&gt;=2),D1088&amp;".",""),IF(AND($A$5&gt;=3,$A1088&gt;=3),E1088&amp;".",""),IF(AND($A$5&gt;=4,$A1088&gt;=4),F1088&amp;".",""),IF($A1088="S",G1088&amp;".","")))</f>
        <v>12.5.11.</v>
      </c>
      <c r="L1088" s="137" t="str">
        <f ca="1">IF(NOT(ISERROR($Y1088)),IF($Y1088&lt;&gt;FALSE,INDEX(Banco,$Y1088,4),""),"")</f>
        <v>Cotação</v>
      </c>
      <c r="M1088" s="122" t="s">
        <v>80</v>
      </c>
      <c r="N1088" s="139" t="s">
        <v>171</v>
      </c>
      <c r="O1088" s="137" t="str">
        <f ca="1">IF(NOT(ISERROR($Y1088)),IF($Y1088&lt;&gt;FALSE,INDEX(Banco,$Y1088,5),""),"")</f>
        <v xml:space="preserve">Refrigerantes (02 litros) </v>
      </c>
      <c r="P1088" s="138" t="str">
        <f ca="1">IF(NOT(ISERROR($Y1088)),IF($Y1088&lt;&gt;FALSE,INDEX(Banco,$Y1088,6),""),"")</f>
        <v>Unidade</v>
      </c>
      <c r="Q1088" s="134">
        <v>24</v>
      </c>
      <c r="R1088" s="124">
        <f ca="1">IF(NOT(ISERROR($Y1088)),IF($Y1088&lt;&gt;FALSE,INDEX(Banco,$Y1088,7),0),0)</f>
        <v>6</v>
      </c>
      <c r="S1088" s="136" t="s">
        <v>62</v>
      </c>
      <c r="T1088" s="123">
        <f ca="1">IF($J1088=$G$2,ROUND(ROUND($R1088,2)*IF($R$9="Preço Unitário (R$)",1,1+$AA1088),2),0)</f>
        <v>7.5</v>
      </c>
      <c r="U1088" s="126">
        <f ca="1">IF($A1088="S",VTOTAL1,IF($A1088=0,0,ROUND(SomaAgrup,2)))</f>
        <v>180</v>
      </c>
      <c r="V1088" s="1"/>
      <c r="W1088" s="39" t="str">
        <f ca="1">IF(OR($A1088=0,$A1088="S",$A1088&gt;CFF!$A$9),"",MAX(W$11:OFFSET(W1088,-1,0))+1)</f>
        <v/>
      </c>
      <c r="X1088" s="4" t="str">
        <f>IF(AND($J1088=$G$2,$N1088&lt;&gt;"",$M1088&lt;&gt;""),CONCATENATE($M1088,"-",$N1088))</f>
        <v>Serv. Terc.-027</v>
      </c>
      <c r="Y1088" s="39">
        <f ca="1">IF(X1088&lt;&gt;FALSE,MATCH(X1088,OFFSET(Banco,0,0,,1),0))</f>
        <v>107</v>
      </c>
      <c r="Z1088" s="1"/>
      <c r="AA1088" s="133">
        <f>IF($J1088=$G$2,ROUND(IF(ISNUMBER(S1088),S1088,IF(LEFT(S1088,2)="DI",HLOOKUP(S1088,DADOS!$T$29:$X$30,2,FALSE),0)),4),"")</f>
        <v>0.25</v>
      </c>
      <c r="AB1088" s="2"/>
    </row>
    <row r="1089" spans="1:28">
      <c r="A1089" t="str">
        <f t="shared" si="1395"/>
        <v>S</v>
      </c>
      <c r="B1089">
        <f t="shared" si="1396"/>
        <v>0</v>
      </c>
      <c r="C1089">
        <f t="shared" ca="1" si="1381"/>
        <v>12</v>
      </c>
      <c r="D1089">
        <f t="shared" ca="1" si="1382"/>
        <v>5</v>
      </c>
      <c r="E1089">
        <f t="shared" ca="1" si="1383"/>
        <v>0</v>
      </c>
      <c r="F1089">
        <f t="shared" ca="1" si="1384"/>
        <v>0</v>
      </c>
      <c r="G1089">
        <f t="shared" ca="1" si="1385"/>
        <v>12</v>
      </c>
      <c r="H1089">
        <f ca="1">IF(OR($A1089="S",$A1089=0),0,MATCH(0,OFFSET($B1089,1,$A1089,ROW($A$1504)-ROW($A1089)),0))</f>
        <v>0</v>
      </c>
      <c r="I1089">
        <f ca="1">IF(OR($A1089="S",$A1089=0),0,MATCH(OFFSET($B1089,0,$A1089)+1,OFFSET($B1089,1,$A1089,ROW($A$1504)-ROW($A1089)),0))</f>
        <v>0</v>
      </c>
      <c r="J1089" s="132" t="s">
        <v>29</v>
      </c>
      <c r="K1089" s="121" t="str">
        <f t="shared" ca="1" si="1386"/>
        <v>12.5.12.</v>
      </c>
      <c r="L1089" s="137" t="str">
        <f t="shared" ca="1" si="1387"/>
        <v>Cotação</v>
      </c>
      <c r="M1089" s="122" t="s">
        <v>80</v>
      </c>
      <c r="N1089" s="139" t="s">
        <v>162</v>
      </c>
      <c r="O1089" s="137" t="str">
        <f t="shared" ca="1" si="1388"/>
        <v>Coffee break (salgados)</v>
      </c>
      <c r="P1089" s="138" t="str">
        <f t="shared" ca="1" si="1389"/>
        <v>Centro</v>
      </c>
      <c r="Q1089" s="134">
        <v>20</v>
      </c>
      <c r="R1089" s="124">
        <f t="shared" ca="1" si="1390"/>
        <v>65</v>
      </c>
      <c r="S1089" s="136" t="s">
        <v>62</v>
      </c>
      <c r="T1089" s="123">
        <f t="shared" ca="1" si="1391"/>
        <v>81.25</v>
      </c>
      <c r="U1089" s="126">
        <f t="shared" ca="1" si="1392"/>
        <v>1625</v>
      </c>
      <c r="V1089" s="1"/>
      <c r="W1089" s="39" t="str">
        <f ca="1">IF(OR($A1089=0,$A1089="S",$A1089&gt;CFF!$A$9),"",MAX(W$11:OFFSET(W1089,-1,0))+1)</f>
        <v/>
      </c>
      <c r="X1089" s="4" t="str">
        <f t="shared" si="1393"/>
        <v>Serv. Terc.-015</v>
      </c>
      <c r="Y1089" s="39">
        <f t="shared" ca="1" si="1397"/>
        <v>95</v>
      </c>
      <c r="Z1089" s="1"/>
      <c r="AA1089" s="133">
        <f>IF($J1089=$G$2,ROUND(IF(ISNUMBER(S1089),S1089,IF(LEFT(S1089,2)="DI",HLOOKUP(S1089,DADOS!$T$29:$X$30,2,FALSE),0)),4),"")</f>
        <v>0.25</v>
      </c>
      <c r="AB1089" s="2"/>
    </row>
    <row r="1090" spans="1:28">
      <c r="A1090" t="str">
        <f t="shared" si="1395"/>
        <v>S</v>
      </c>
      <c r="B1090">
        <f t="shared" si="1396"/>
        <v>0</v>
      </c>
      <c r="C1090">
        <f t="shared" ca="1" si="1381"/>
        <v>12</v>
      </c>
      <c r="D1090">
        <f t="shared" ca="1" si="1382"/>
        <v>5</v>
      </c>
      <c r="E1090">
        <f t="shared" ca="1" si="1383"/>
        <v>0</v>
      </c>
      <c r="F1090">
        <f t="shared" ca="1" si="1384"/>
        <v>0</v>
      </c>
      <c r="G1090">
        <f t="shared" ca="1" si="1385"/>
        <v>13</v>
      </c>
      <c r="H1090">
        <f ca="1">IF(OR($A1090="S",$A1090=0),0,MATCH(0,OFFSET($B1090,1,$A1090,ROW($A$1504)-ROW($A1090)),0))</f>
        <v>0</v>
      </c>
      <c r="I1090">
        <f ca="1">IF(OR($A1090="S",$A1090=0),0,MATCH(OFFSET($B1090,0,$A1090)+1,OFFSET($B1090,1,$A1090,ROW($A$1504)-ROW($A1090)),0))</f>
        <v>0</v>
      </c>
      <c r="J1090" s="132" t="s">
        <v>29</v>
      </c>
      <c r="K1090" s="121" t="str">
        <f t="shared" ca="1" si="1386"/>
        <v>12.5.13.</v>
      </c>
      <c r="L1090" s="137" t="str">
        <f t="shared" ca="1" si="1387"/>
        <v>Cotação</v>
      </c>
      <c r="M1090" s="122" t="s">
        <v>80</v>
      </c>
      <c r="N1090" s="139" t="s">
        <v>225</v>
      </c>
      <c r="O1090" s="137" t="str">
        <f t="shared" ca="1" si="1388"/>
        <v xml:space="preserve">Confecção de camisetas </v>
      </c>
      <c r="P1090" s="138" t="str">
        <f t="shared" ca="1" si="1389"/>
        <v>Unidade</v>
      </c>
      <c r="Q1090" s="134">
        <v>60</v>
      </c>
      <c r="R1090" s="124">
        <f t="shared" ca="1" si="1390"/>
        <v>19</v>
      </c>
      <c r="S1090" s="136" t="s">
        <v>62</v>
      </c>
      <c r="T1090" s="123">
        <f t="shared" ca="1" si="1391"/>
        <v>23.75</v>
      </c>
      <c r="U1090" s="126">
        <f t="shared" ca="1" si="1392"/>
        <v>1425</v>
      </c>
      <c r="V1090" s="1"/>
      <c r="W1090" s="39" t="str">
        <f ca="1">IF(OR($A1090=0,$A1090="S",$A1090&gt;CFF!$A$9),"",MAX(W$11:OFFSET(W1090,-1,0))+1)</f>
        <v/>
      </c>
      <c r="X1090" s="4" t="str">
        <f t="shared" si="1393"/>
        <v>Serv. Terc.-067</v>
      </c>
      <c r="Y1090" s="39">
        <f t="shared" ca="1" si="1397"/>
        <v>147</v>
      </c>
      <c r="Z1090" s="1"/>
      <c r="AA1090" s="133">
        <f>IF($J1090=$G$2,ROUND(IF(ISNUMBER(S1090),S1090,IF(LEFT(S1090,2)="DI",HLOOKUP(S1090,DADOS!$T$29:$X$30,2,FALSE),0)),4),"")</f>
        <v>0.25</v>
      </c>
      <c r="AB1090" s="2"/>
    </row>
    <row r="1091" spans="1:28">
      <c r="A1091" t="str">
        <f t="shared" si="1395"/>
        <v>S</v>
      </c>
      <c r="B1091">
        <f t="shared" si="1396"/>
        <v>0</v>
      </c>
      <c r="C1091">
        <f t="shared" ca="1" si="1381"/>
        <v>12</v>
      </c>
      <c r="D1091">
        <f t="shared" ca="1" si="1382"/>
        <v>5</v>
      </c>
      <c r="E1091">
        <f t="shared" ca="1" si="1383"/>
        <v>0</v>
      </c>
      <c r="F1091">
        <f t="shared" ca="1" si="1384"/>
        <v>0</v>
      </c>
      <c r="G1091">
        <f t="shared" ca="1" si="1385"/>
        <v>14</v>
      </c>
      <c r="H1091">
        <f ca="1">IF(OR($A1091="S",$A1091=0),0,MATCH(0,OFFSET($B1091,1,$A1091,ROW($A$1504)-ROW($A1091)),0))</f>
        <v>0</v>
      </c>
      <c r="I1091">
        <f ca="1">IF(OR($A1091="S",$A1091=0),0,MATCH(OFFSET($B1091,0,$A1091)+1,OFFSET($B1091,1,$A1091,ROW($A$1504)-ROW($A1091)),0))</f>
        <v>0</v>
      </c>
      <c r="J1091" s="132" t="s">
        <v>29</v>
      </c>
      <c r="K1091" s="121" t="str">
        <f t="shared" ca="1" si="1386"/>
        <v>12.5.14.</v>
      </c>
      <c r="L1091" s="137" t="str">
        <f t="shared" ca="1" si="1387"/>
        <v>CRBio</v>
      </c>
      <c r="M1091" s="122" t="s">
        <v>80</v>
      </c>
      <c r="N1091" s="139" t="s">
        <v>226</v>
      </c>
      <c r="O1091" s="137" t="str">
        <f t="shared" ca="1" si="1388"/>
        <v>Biólogo (Instrutor)</v>
      </c>
      <c r="P1091" s="138" t="str">
        <f t="shared" ca="1" si="1389"/>
        <v>Horas</v>
      </c>
      <c r="Q1091" s="134">
        <v>8</v>
      </c>
      <c r="R1091" s="124">
        <f t="shared" ca="1" si="1390"/>
        <v>100.72</v>
      </c>
      <c r="S1091" s="136" t="s">
        <v>62</v>
      </c>
      <c r="T1091" s="123">
        <f t="shared" ca="1" si="1391"/>
        <v>125.9</v>
      </c>
      <c r="U1091" s="126">
        <f t="shared" ca="1" si="1392"/>
        <v>1007.2</v>
      </c>
      <c r="V1091" s="1"/>
      <c r="W1091" s="39" t="str">
        <f ca="1">IF(OR($A1091=0,$A1091="S",$A1091&gt;CFF!$A$9),"",MAX(W$11:OFFSET(W1091,-1,0))+1)</f>
        <v/>
      </c>
      <c r="X1091" s="4" t="str">
        <f t="shared" si="1393"/>
        <v>Serv. Terc.-068</v>
      </c>
      <c r="Y1091" s="39">
        <f t="shared" ca="1" si="1397"/>
        <v>148</v>
      </c>
      <c r="Z1091" s="1"/>
      <c r="AA1091" s="133">
        <f>IF($J1091=$G$2,ROUND(IF(ISNUMBER(S1091),S1091,IF(LEFT(S1091,2)="DI",HLOOKUP(S1091,DADOS!$T$29:$X$30,2,FALSE),0)),4),"")</f>
        <v>0.25</v>
      </c>
      <c r="AB1091" s="2"/>
    </row>
    <row r="1092" spans="1:28">
      <c r="A1092" t="str">
        <f t="shared" si="1395"/>
        <v>S</v>
      </c>
      <c r="B1092">
        <f t="shared" si="1396"/>
        <v>0</v>
      </c>
      <c r="C1092">
        <f t="shared" ca="1" si="1381"/>
        <v>12</v>
      </c>
      <c r="D1092">
        <f t="shared" ca="1" si="1382"/>
        <v>5</v>
      </c>
      <c r="E1092">
        <f t="shared" ca="1" si="1383"/>
        <v>0</v>
      </c>
      <c r="F1092">
        <f t="shared" ca="1" si="1384"/>
        <v>0</v>
      </c>
      <c r="G1092">
        <f t="shared" ca="1" si="1385"/>
        <v>15</v>
      </c>
      <c r="H1092">
        <f ca="1">IF(OR($A1092="S",$A1092=0),0,MATCH(0,OFFSET($B1092,1,$A1092,ROW($A$1504)-ROW($A1092)),0))</f>
        <v>0</v>
      </c>
      <c r="I1092">
        <f ca="1">IF(OR($A1092="S",$A1092=0),0,MATCH(OFFSET($B1092,0,$A1092)+1,OFFSET($B1092,1,$A1092,ROW($A$1504)-ROW($A1092)),0))</f>
        <v>0</v>
      </c>
      <c r="J1092" s="132" t="s">
        <v>29</v>
      </c>
      <c r="K1092" s="121" t="str">
        <f t="shared" ca="1" si="1386"/>
        <v>12.5.15.</v>
      </c>
      <c r="L1092" s="137" t="str">
        <f t="shared" ca="1" si="1387"/>
        <v>Cotação</v>
      </c>
      <c r="M1092" s="122" t="s">
        <v>79</v>
      </c>
      <c r="N1092" s="139" t="s">
        <v>170</v>
      </c>
      <c r="O1092" s="137" t="str">
        <f t="shared" ca="1" si="1388"/>
        <v>Saco de lixo (100 litros)</v>
      </c>
      <c r="P1092" s="138" t="str">
        <f t="shared" ca="1" si="1389"/>
        <v>Pacote</v>
      </c>
      <c r="Q1092" s="134">
        <v>18</v>
      </c>
      <c r="R1092" s="124">
        <f t="shared" ca="1" si="1390"/>
        <v>15</v>
      </c>
      <c r="S1092" s="136" t="s">
        <v>62</v>
      </c>
      <c r="T1092" s="123">
        <f t="shared" ca="1" si="1391"/>
        <v>18.75</v>
      </c>
      <c r="U1092" s="126">
        <f t="shared" ca="1" si="1392"/>
        <v>337.5</v>
      </c>
      <c r="V1092" s="1"/>
      <c r="W1092" s="39" t="str">
        <f ca="1">IF(OR($A1092=0,$A1092="S",$A1092&gt;CFF!$A$9),"",MAX(W$11:OFFSET(W1092,-1,0))+1)</f>
        <v/>
      </c>
      <c r="X1092" s="4" t="str">
        <f t="shared" si="1393"/>
        <v>Rec. Materiais-026</v>
      </c>
      <c r="Y1092" s="39">
        <f t="shared" ca="1" si="1397"/>
        <v>35</v>
      </c>
      <c r="Z1092" s="1"/>
      <c r="AA1092" s="133">
        <f>IF($J1092=$G$2,ROUND(IF(ISNUMBER(S1092),S1092,IF(LEFT(S1092,2)="DI",HLOOKUP(S1092,DADOS!$T$29:$X$30,2,FALSE),0)),4),"")</f>
        <v>0.25</v>
      </c>
      <c r="AB1092" s="2"/>
    </row>
    <row r="1093" spans="1:28">
      <c r="A1093" t="str">
        <f t="shared" si="1395"/>
        <v>S</v>
      </c>
      <c r="B1093">
        <f t="shared" si="1396"/>
        <v>0</v>
      </c>
      <c r="C1093">
        <f t="shared" ca="1" si="1381"/>
        <v>12</v>
      </c>
      <c r="D1093">
        <f t="shared" ca="1" si="1382"/>
        <v>5</v>
      </c>
      <c r="E1093">
        <f t="shared" ca="1" si="1383"/>
        <v>0</v>
      </c>
      <c r="F1093">
        <f t="shared" ca="1" si="1384"/>
        <v>0</v>
      </c>
      <c r="G1093">
        <f t="shared" ca="1" si="1385"/>
        <v>16</v>
      </c>
      <c r="H1093">
        <f ca="1">IF(OR($A1093="S",$A1093=0),0,MATCH(0,OFFSET($B1093,1,$A1093,ROW($A$1504)-ROW($A1093)),0))</f>
        <v>0</v>
      </c>
      <c r="I1093">
        <f ca="1">IF(OR($A1093="S",$A1093=0),0,MATCH(OFFSET($B1093,0,$A1093)+1,OFFSET($B1093,1,$A1093,ROW($A$1504)-ROW($A1093)),0))</f>
        <v>0</v>
      </c>
      <c r="J1093" s="132" t="s">
        <v>29</v>
      </c>
      <c r="K1093" s="121" t="str">
        <f t="shared" ca="1" si="1386"/>
        <v>12.5.16.</v>
      </c>
      <c r="L1093" s="137" t="str">
        <f t="shared" ca="1" si="1387"/>
        <v>Cotação</v>
      </c>
      <c r="M1093" s="122" t="s">
        <v>79</v>
      </c>
      <c r="N1093" s="139" t="s">
        <v>171</v>
      </c>
      <c r="O1093" s="137" t="str">
        <f t="shared" ca="1" si="1388"/>
        <v>Luvas de latex para limpeza descarpack</v>
      </c>
      <c r="P1093" s="138" t="str">
        <f t="shared" ca="1" si="1389"/>
        <v>Unidade</v>
      </c>
      <c r="Q1093" s="134">
        <v>40</v>
      </c>
      <c r="R1093" s="124">
        <f t="shared" ca="1" si="1390"/>
        <v>3.99</v>
      </c>
      <c r="S1093" s="136" t="s">
        <v>62</v>
      </c>
      <c r="T1093" s="123">
        <f t="shared" ca="1" si="1391"/>
        <v>4.99</v>
      </c>
      <c r="U1093" s="126">
        <f t="shared" ca="1" si="1392"/>
        <v>199.6</v>
      </c>
      <c r="V1093" s="1"/>
      <c r="W1093" s="39" t="str">
        <f ca="1">IF(OR($A1093=0,$A1093="S",$A1093&gt;CFF!$A$9),"",MAX(W$11:OFFSET(W1093,-1,0))+1)</f>
        <v/>
      </c>
      <c r="X1093" s="4" t="str">
        <f t="shared" si="1393"/>
        <v>Rec. Materiais-027</v>
      </c>
      <c r="Y1093" s="39">
        <f t="shared" ca="1" si="1397"/>
        <v>36</v>
      </c>
      <c r="Z1093" s="1"/>
      <c r="AA1093" s="133">
        <f>IF($J1093=$G$2,ROUND(IF(ISNUMBER(S1093),S1093,IF(LEFT(S1093,2)="DI",HLOOKUP(S1093,DADOS!$T$29:$X$30,2,FALSE),0)),4),"")</f>
        <v>0.25</v>
      </c>
      <c r="AB1093" s="2"/>
    </row>
    <row r="1094" spans="1:28">
      <c r="A1094" t="str">
        <f>CHOOSE(1+LOG(1+2*(J1094=$C$2)+4*(J1094=$D$2)+8*(J1094=$E$2)+16*(J1094=$F$2)+32*(J1094=$G$2),2),0,1,2,3,4,"S")</f>
        <v>S</v>
      </c>
      <c r="B1094">
        <f>IF(OR(A1094="S",A1094=0),0,IF(ISERROR(I1094),H1094,SMALL(H1094:I1094,1)))</f>
        <v>0</v>
      </c>
      <c r="C1094">
        <f ca="1">IF($A1094=1,OFFSET(C1094,-1,0)+1,OFFSET(C1094,-1,0))</f>
        <v>12</v>
      </c>
      <c r="D1094">
        <f ca="1">IF($A1094=1,0,IF($A1094=2,OFFSET(D1094,-1,0)+1,OFFSET(D1094,-1,0)))</f>
        <v>5</v>
      </c>
      <c r="E1094">
        <f ca="1">IF(AND($A1094&lt;=2,$A1094&lt;&gt;0),0,IF($A1094=3,OFFSET(E1094,-1,0)+1,OFFSET(E1094,-1,0)))</f>
        <v>0</v>
      </c>
      <c r="F1094">
        <f ca="1">IF(AND($A1094&lt;=3,$A1094&lt;&gt;0),0,IF($A1094=4,OFFSET(F1094,-1,0)+1,OFFSET(F1094,-1,0)))</f>
        <v>0</v>
      </c>
      <c r="G1094">
        <f ca="1">IF(AND($A1094&lt;=4,$A1094&lt;&gt;0),0,IF($A1094="S",OFFSET(G1094,-1,0)+1,OFFSET(G1094,-1,0)))</f>
        <v>17</v>
      </c>
      <c r="H1094">
        <f ca="1">IF(OR($A1094="S",$A1094=0),0,MATCH(0,OFFSET($B1094,1,$A1094,ROW($A$1504)-ROW($A1094)),0))</f>
        <v>0</v>
      </c>
      <c r="I1094">
        <f ca="1">IF(OR($A1094="S",$A1094=0),0,MATCH(OFFSET($B1094,0,$A1094)+1,OFFSET($B1094,1,$A1094,ROW($A$1504)-ROW($A1094)),0))</f>
        <v>0</v>
      </c>
      <c r="J1094" s="132" t="s">
        <v>29</v>
      </c>
      <c r="K1094" s="121" t="str">
        <f ca="1">IF($A1094=0,"-",CONCATENATE(C1094&amp;".",IF(AND($A$5&gt;=2,$A1094&gt;=2),D1094&amp;".",""),IF(AND($A$5&gt;=3,$A1094&gt;=3),E1094&amp;".",""),IF(AND($A$5&gt;=4,$A1094&gt;=4),F1094&amp;".",""),IF($A1094="S",G1094&amp;".","")))</f>
        <v>12.5.17.</v>
      </c>
      <c r="L1094" s="137" t="str">
        <f ca="1">IF(NOT(ISERROR($Y1094)),IF($Y1094&lt;&gt;FALSE,INDEX(Banco,$Y1094,4),""),"")</f>
        <v>Cotação</v>
      </c>
      <c r="M1094" s="122" t="s">
        <v>79</v>
      </c>
      <c r="N1094" s="139" t="s">
        <v>279</v>
      </c>
      <c r="O1094" s="137" t="str">
        <f ca="1">IF(NOT(ISERROR($Y1094)),IF($Y1094&lt;&gt;FALSE,INDEX(Banco,$Y1094,5),""),"")</f>
        <v>Apito (12 unidades)</v>
      </c>
      <c r="P1094" s="138" t="str">
        <f ca="1">IF(NOT(ISERROR($Y1094)),IF($Y1094&lt;&gt;FALSE,INDEX(Banco,$Y1094,6),""),"")</f>
        <v>Pacote</v>
      </c>
      <c r="Q1094" s="134">
        <v>6</v>
      </c>
      <c r="R1094" s="124">
        <f ca="1">IF(NOT(ISERROR($Y1094)),IF($Y1094&lt;&gt;FALSE,INDEX(Banco,$Y1094,7),0),0)</f>
        <v>19.899999999999999</v>
      </c>
      <c r="S1094" s="136" t="s">
        <v>62</v>
      </c>
      <c r="T1094" s="123">
        <f ca="1">IF($J1094=$G$2,ROUND(ROUND($R1094,2)*IF($R$9="Preço Unitário (R$)",1,1+$AA1094),2),0)</f>
        <v>24.88</v>
      </c>
      <c r="U1094" s="126">
        <f ca="1">IF($A1094="S",VTOTAL1,IF($A1094=0,0,ROUND(SomaAgrup,2)))</f>
        <v>149.28</v>
      </c>
      <c r="V1094" s="1"/>
      <c r="W1094" s="39" t="str">
        <f ca="1">IF(OR($A1094=0,$A1094="S",$A1094&gt;CFF!$A$9),"",MAX(W$11:OFFSET(W1094,-1,0))+1)</f>
        <v/>
      </c>
      <c r="X1094" s="4" t="str">
        <f>IF(AND($J1094=$G$2,$N1094&lt;&gt;"",$M1094&lt;&gt;""),CONCATENATE($M1094,"-",$N1094))</f>
        <v>Rec. Materiais-062</v>
      </c>
      <c r="Y1094" s="39">
        <f ca="1">IF(X1094&lt;&gt;FALSE,MATCH(X1094,OFFSET(Banco,0,0,,1),0))</f>
        <v>71</v>
      </c>
      <c r="Z1094" s="1"/>
      <c r="AA1094" s="133">
        <f>IF($J1094=$G$2,ROUND(IF(ISNUMBER(S1094),S1094,IF(LEFT(S1094,2)="DI",HLOOKUP(S1094,DADOS!$T$29:$X$30,2,FALSE),0)),4),"")</f>
        <v>0.25</v>
      </c>
      <c r="AB1094" s="2"/>
    </row>
    <row r="1095" spans="1:28">
      <c r="A1095">
        <f>CHOOSE(1+LOG(1+2*(J1095=$C$2)+4*(J1095=$D$2)+8*(J1095=$E$2)+16*(J1095=$F$2)+32*(J1095=$G$2),2),0,1,2,3,4,"S")</f>
        <v>2</v>
      </c>
      <c r="B1095">
        <f ca="1">IF(OR(A1095="S",A1095=0),0,IF(ISERROR(I1095),H1095,SMALL(H1095:I1095,1)))</f>
        <v>25</v>
      </c>
      <c r="C1095">
        <f ca="1">IF($A1095=1,OFFSET(C1095,-1,0)+1,OFFSET(C1095,-1,0))</f>
        <v>12</v>
      </c>
      <c r="D1095">
        <f ca="1">IF($A1095=1,0,IF($A1095=2,OFFSET(D1095,-1,0)+1,OFFSET(D1095,-1,0)))</f>
        <v>6</v>
      </c>
      <c r="E1095">
        <f ca="1">IF(AND($A1095&lt;=2,$A1095&lt;&gt;0),0,IF($A1095=3,OFFSET(E1095,-1,0)+1,OFFSET(E1095,-1,0)))</f>
        <v>0</v>
      </c>
      <c r="F1095">
        <f ca="1">IF(AND($A1095&lt;=3,$A1095&lt;&gt;0),0,IF($A1095=4,OFFSET(F1095,-1,0)+1,OFFSET(F1095,-1,0)))</f>
        <v>0</v>
      </c>
      <c r="G1095">
        <f ca="1">IF(AND($A1095&lt;=4,$A1095&lt;&gt;0),0,IF($A1095="S",OFFSET(G1095,-1,0)+1,OFFSET(G1095,-1,0)))</f>
        <v>0</v>
      </c>
      <c r="H1095">
        <f ca="1">IF(OR($A1095="S",$A1095=0),0,MATCH(0,OFFSET($B1095,1,$A1095,ROW($A$1504)-ROW($A1095)),0))</f>
        <v>33</v>
      </c>
      <c r="I1095">
        <f ca="1">IF(OR($A1095="S",$A1095=0),0,MATCH(OFFSET($B1095,0,$A1095)+1,OFFSET($B1095,1,$A1095,ROW($A$1504)-ROW($A1095)),0))</f>
        <v>25</v>
      </c>
      <c r="J1095" s="132" t="s">
        <v>68</v>
      </c>
      <c r="K1095" s="121" t="str">
        <f ca="1">IF($A1095=0,"-",CONCATENATE(C1095&amp;".",IF(AND($A$5&gt;=2,$A1095&gt;=2),D1095&amp;".",""),IF(AND($A$5&gt;=3,$A1095&gt;=3),E1095&amp;".",""),IF(AND($A$5&gt;=4,$A1095&gt;=4),F1095&amp;".",""),IF($A1095="S",G1095&amp;".","")))</f>
        <v>12.6.</v>
      </c>
      <c r="L1095" s="137" t="str">
        <f ca="1">IF(NOT(ISERROR($Y1095)),IF($Y1095&lt;&gt;FALSE,INDEX(Banco,$Y1095,4),""),"")</f>
        <v/>
      </c>
      <c r="M1095" s="122"/>
      <c r="N1095" s="139"/>
      <c r="O1095" s="137" t="s">
        <v>431</v>
      </c>
      <c r="P1095" s="138" t="str">
        <f ca="1">IF(NOT(ISERROR($Y1095)),IF($Y1095&lt;&gt;FALSE,INDEX(Banco,$Y1095,6),""),"")</f>
        <v/>
      </c>
      <c r="Q1095" s="134"/>
      <c r="R1095" s="124">
        <f ca="1">IF(NOT(ISERROR($Y1095)),IF($Y1095&lt;&gt;FALSE,INDEX(Banco,$Y1095,7),0),0)</f>
        <v>0</v>
      </c>
      <c r="S1095" s="136" t="s">
        <v>62</v>
      </c>
      <c r="T1095" s="123">
        <f>IF($J1095=$G$2,ROUND(ROUND($R1095,2)*IF($R$9="Preço Unitário (R$)",1,1+$AA1095),2),0)</f>
        <v>0</v>
      </c>
      <c r="U1095" s="126">
        <f ca="1">IF($A1095="S",VTOTAL1,IF($A1095=0,0,ROUND(SomaAgrup,2)))</f>
        <v>17941.72</v>
      </c>
      <c r="V1095" s="1"/>
      <c r="W1095" s="39">
        <f ca="1">IF(OR($A1095=0,$A1095="S",$A1095&gt;CFF!$A$9),"",MAX(W$11:OFFSET(W1095,-1,0))+1)</f>
        <v>96</v>
      </c>
      <c r="X1095" s="4" t="b">
        <f>IF(AND($J1095=$G$2,$N1095&lt;&gt;"",$M1095&lt;&gt;""),CONCATENATE($M1095,"-",$N1095))</f>
        <v>0</v>
      </c>
      <c r="Y1095" s="39" t="b">
        <f ca="1">IF(X1095&lt;&gt;FALSE,MATCH(X1095,OFFSET(Banco,0,0,,1),0))</f>
        <v>0</v>
      </c>
      <c r="Z1095" s="1"/>
      <c r="AA1095" s="133" t="str">
        <f>IF($J1095=$G$2,ROUND(IF(ISNUMBER(S1095),S1095,IF(LEFT(S1095,2)="DI",HLOOKUP(S1095,DADOS!$T$29:$X$30,2,FALSE),0)),4),"")</f>
        <v/>
      </c>
      <c r="AB1095" s="2"/>
    </row>
    <row r="1096" spans="1:28">
      <c r="A1096" t="str">
        <f t="shared" ref="A1096:A1110" si="1398">CHOOSE(1+LOG(1+2*(J1096=$C$2)+4*(J1096=$D$2)+8*(J1096=$E$2)+16*(J1096=$F$2)+32*(J1096=$G$2),2),0,1,2,3,4,"S")</f>
        <v>S</v>
      </c>
      <c r="B1096">
        <f t="shared" ref="B1096:B1110" si="1399">IF(OR(A1096="S",A1096=0),0,IF(ISERROR(I1096),H1096,SMALL(H1096:I1096,1)))</f>
        <v>0</v>
      </c>
      <c r="C1096">
        <f t="shared" ref="C1096:C1110" ca="1" si="1400">IF($A1096=1,OFFSET(C1096,-1,0)+1,OFFSET(C1096,-1,0))</f>
        <v>12</v>
      </c>
      <c r="D1096">
        <f t="shared" ref="D1096:D1110" ca="1" si="1401">IF($A1096=1,0,IF($A1096=2,OFFSET(D1096,-1,0)+1,OFFSET(D1096,-1,0)))</f>
        <v>6</v>
      </c>
      <c r="E1096">
        <f t="shared" ref="E1096:E1110" ca="1" si="1402">IF(AND($A1096&lt;=2,$A1096&lt;&gt;0),0,IF($A1096=3,OFFSET(E1096,-1,0)+1,OFFSET(E1096,-1,0)))</f>
        <v>0</v>
      </c>
      <c r="F1096">
        <f t="shared" ref="F1096:F1110" ca="1" si="1403">IF(AND($A1096&lt;=3,$A1096&lt;&gt;0),0,IF($A1096=4,OFFSET(F1096,-1,0)+1,OFFSET(F1096,-1,0)))</f>
        <v>0</v>
      </c>
      <c r="G1096">
        <f t="shared" ref="G1096:G1110" ca="1" si="1404">IF(AND($A1096&lt;=4,$A1096&lt;&gt;0),0,IF($A1096="S",OFFSET(G1096,-1,0)+1,OFFSET(G1096,-1,0)))</f>
        <v>1</v>
      </c>
      <c r="H1096">
        <f ca="1">IF(OR($A1096="S",$A1096=0),0,MATCH(0,OFFSET($B1096,1,$A1096,ROW($A$1504)-ROW($A1096)),0))</f>
        <v>0</v>
      </c>
      <c r="I1096">
        <f ca="1">IF(OR($A1096="S",$A1096=0),0,MATCH(OFFSET($B1096,0,$A1096)+1,OFFSET($B1096,1,$A1096,ROW($A$1504)-ROW($A1096)),0))</f>
        <v>0</v>
      </c>
      <c r="J1096" s="132" t="s">
        <v>29</v>
      </c>
      <c r="K1096" s="121" t="str">
        <f t="shared" ref="K1096:K1110" ca="1" si="1405">IF($A1096=0,"-",CONCATENATE(C1096&amp;".",IF(AND($A$5&gt;=2,$A1096&gt;=2),D1096&amp;".",""),IF(AND($A$5&gt;=3,$A1096&gt;=3),E1096&amp;".",""),IF(AND($A$5&gt;=4,$A1096&gt;=4),F1096&amp;".",""),IF($A1096="S",G1096&amp;".","")))</f>
        <v>12.6.1.</v>
      </c>
      <c r="L1096" s="137" t="str">
        <f t="shared" ref="L1096:L1110" ca="1" si="1406">IF(NOT(ISERROR($Y1096)),IF($Y1096&lt;&gt;FALSE,INDEX(Banco,$Y1096,4),""),"")</f>
        <v>CRESS</v>
      </c>
      <c r="M1096" s="122" t="s">
        <v>78</v>
      </c>
      <c r="N1096" s="139" t="s">
        <v>149</v>
      </c>
      <c r="O1096" s="137" t="str">
        <f t="shared" ref="O1096:O1110" ca="1" si="1407">IF(NOT(ISERROR($Y1096)),IF($Y1096&lt;&gt;FALSE,INDEX(Banco,$Y1096,5),""),"")</f>
        <v>Responsável Técnica</v>
      </c>
      <c r="P1096" s="138" t="str">
        <f t="shared" ref="P1096:P1110" ca="1" si="1408">IF(NOT(ISERROR($Y1096)),IF($Y1096&lt;&gt;FALSE,INDEX(Banco,$Y1096,6),""),"")</f>
        <v>Horas</v>
      </c>
      <c r="Q1096" s="134">
        <v>14</v>
      </c>
      <c r="R1096" s="124">
        <f t="shared" ref="R1096:R1110" ca="1" si="1409">IF(NOT(ISERROR($Y1096)),IF($Y1096&lt;&gt;FALSE,INDEX(Banco,$Y1096,7),0),0)</f>
        <v>150.28</v>
      </c>
      <c r="S1096" s="136" t="s">
        <v>62</v>
      </c>
      <c r="T1096" s="123">
        <f t="shared" ref="T1096:T1110" ca="1" si="1410">IF($J1096=$G$2,ROUND(ROUND($R1096,2)*IF($R$9="Preço Unitário (R$)",1,1+$AA1096),2),0)</f>
        <v>187.85</v>
      </c>
      <c r="U1096" s="126">
        <f t="shared" ref="U1096:U1110" ca="1" si="1411">IF($A1096="S",VTOTAL1,IF($A1096=0,0,ROUND(SomaAgrup,2)))</f>
        <v>2629.9</v>
      </c>
      <c r="V1096" s="1"/>
      <c r="W1096" s="39" t="str">
        <f ca="1">IF(OR($A1096=0,$A1096="S",$A1096&gt;CFF!$A$9),"",MAX(W$11:OFFSET(W1096,-1,0))+1)</f>
        <v/>
      </c>
      <c r="X1096" s="4" t="str">
        <f t="shared" ref="X1096:X1110" si="1412">IF(AND($J1096=$G$2,$N1096&lt;&gt;"",$M1096&lt;&gt;""),CONCATENATE($M1096,"-",$N1096))</f>
        <v>Rec. Humanos-001</v>
      </c>
      <c r="Y1096" s="39">
        <f t="shared" ref="Y1096:Y1110" ca="1" si="1413">IF(X1096&lt;&gt;FALSE,MATCH(X1096,OFFSET(Banco,0,0,,1),0))</f>
        <v>3</v>
      </c>
      <c r="Z1096" s="1"/>
      <c r="AA1096" s="133">
        <f>IF($J1096=$G$2,ROUND(IF(ISNUMBER(S1096),S1096,IF(LEFT(S1096,2)="DI",HLOOKUP(S1096,DADOS!$T$29:$X$30,2,FALSE),0)),4),"")</f>
        <v>0.25</v>
      </c>
      <c r="AB1096" s="2"/>
    </row>
    <row r="1097" spans="1:28">
      <c r="A1097" t="str">
        <f t="shared" si="1398"/>
        <v>S</v>
      </c>
      <c r="B1097">
        <f t="shared" si="1399"/>
        <v>0</v>
      </c>
      <c r="C1097">
        <f t="shared" ca="1" si="1400"/>
        <v>12</v>
      </c>
      <c r="D1097">
        <f t="shared" ca="1" si="1401"/>
        <v>6</v>
      </c>
      <c r="E1097">
        <f t="shared" ca="1" si="1402"/>
        <v>0</v>
      </c>
      <c r="F1097">
        <f t="shared" ca="1" si="1403"/>
        <v>0</v>
      </c>
      <c r="G1097">
        <f t="shared" ca="1" si="1404"/>
        <v>2</v>
      </c>
      <c r="H1097">
        <f ca="1">IF(OR($A1097="S",$A1097=0),0,MATCH(0,OFFSET($B1097,1,$A1097,ROW($A$1504)-ROW($A1097)),0))</f>
        <v>0</v>
      </c>
      <c r="I1097">
        <f ca="1">IF(OR($A1097="S",$A1097=0),0,MATCH(OFFSET($B1097,0,$A1097)+1,OFFSET($B1097,1,$A1097,ROW($A$1504)-ROW($A1097)),0))</f>
        <v>0</v>
      </c>
      <c r="J1097" s="132" t="s">
        <v>29</v>
      </c>
      <c r="K1097" s="121" t="str">
        <f t="shared" ca="1" si="1405"/>
        <v>12.6.2.</v>
      </c>
      <c r="L1097" s="137" t="str">
        <f t="shared" ca="1" si="1406"/>
        <v>CRESS</v>
      </c>
      <c r="M1097" s="122" t="s">
        <v>78</v>
      </c>
      <c r="N1097" s="139" t="s">
        <v>152</v>
      </c>
      <c r="O1097" s="137" t="str">
        <f t="shared" ca="1" si="1407"/>
        <v>Assistente Social</v>
      </c>
      <c r="P1097" s="138" t="str">
        <f t="shared" ca="1" si="1408"/>
        <v>Horas</v>
      </c>
      <c r="Q1097" s="134">
        <v>10</v>
      </c>
      <c r="R1097" s="124">
        <f t="shared" ca="1" si="1409"/>
        <v>133.81</v>
      </c>
      <c r="S1097" s="136" t="s">
        <v>62</v>
      </c>
      <c r="T1097" s="123">
        <f t="shared" ca="1" si="1410"/>
        <v>167.26</v>
      </c>
      <c r="U1097" s="126">
        <f t="shared" ca="1" si="1411"/>
        <v>1672.6</v>
      </c>
      <c r="V1097" s="1"/>
      <c r="W1097" s="39" t="str">
        <f ca="1">IF(OR($A1097=0,$A1097="S",$A1097&gt;CFF!$A$9),"",MAX(W$11:OFFSET(W1097,-1,0))+1)</f>
        <v/>
      </c>
      <c r="X1097" s="4" t="str">
        <f t="shared" si="1412"/>
        <v>Rec. Humanos-002</v>
      </c>
      <c r="Y1097" s="39">
        <f t="shared" ca="1" si="1413"/>
        <v>4</v>
      </c>
      <c r="Z1097" s="1"/>
      <c r="AA1097" s="133">
        <f>IF($J1097=$G$2,ROUND(IF(ISNUMBER(S1097),S1097,IF(LEFT(S1097,2)="DI",HLOOKUP(S1097,DADOS!$T$29:$X$30,2,FALSE),0)),4),"")</f>
        <v>0.25</v>
      </c>
      <c r="AB1097" s="2"/>
    </row>
    <row r="1098" spans="1:28">
      <c r="A1098" t="str">
        <f t="shared" si="1398"/>
        <v>S</v>
      </c>
      <c r="B1098">
        <f t="shared" si="1399"/>
        <v>0</v>
      </c>
      <c r="C1098">
        <f t="shared" ca="1" si="1400"/>
        <v>12</v>
      </c>
      <c r="D1098">
        <f t="shared" ca="1" si="1401"/>
        <v>6</v>
      </c>
      <c r="E1098">
        <f t="shared" ca="1" si="1402"/>
        <v>0</v>
      </c>
      <c r="F1098">
        <f t="shared" ca="1" si="1403"/>
        <v>0</v>
      </c>
      <c r="G1098">
        <f t="shared" ca="1" si="1404"/>
        <v>3</v>
      </c>
      <c r="H1098">
        <f ca="1">IF(OR($A1098="S",$A1098=0),0,MATCH(0,OFFSET($B1098,1,$A1098,ROW($A$1504)-ROW($A1098)),0))</f>
        <v>0</v>
      </c>
      <c r="I1098">
        <f ca="1">IF(OR($A1098="S",$A1098=0),0,MATCH(OFFSET($B1098,0,$A1098)+1,OFFSET($B1098,1,$A1098,ROW($A$1504)-ROW($A1098)),0))</f>
        <v>0</v>
      </c>
      <c r="J1098" s="132" t="s">
        <v>29</v>
      </c>
      <c r="K1098" s="121" t="str">
        <f t="shared" ca="1" si="1405"/>
        <v>12.6.3.</v>
      </c>
      <c r="L1098" s="137" t="str">
        <f t="shared" ca="1" si="1406"/>
        <v>Cotação</v>
      </c>
      <c r="M1098" s="122" t="s">
        <v>78</v>
      </c>
      <c r="N1098" s="139" t="s">
        <v>151</v>
      </c>
      <c r="O1098" s="137" t="str">
        <f t="shared" ca="1" si="1407"/>
        <v xml:space="preserve">Administrador (Técnico de Apoio) </v>
      </c>
      <c r="P1098" s="138" t="str">
        <f t="shared" ca="1" si="1408"/>
        <v>Horas</v>
      </c>
      <c r="Q1098" s="134">
        <v>4</v>
      </c>
      <c r="R1098" s="124">
        <f t="shared" ca="1" si="1409"/>
        <v>103.65</v>
      </c>
      <c r="S1098" s="136" t="s">
        <v>62</v>
      </c>
      <c r="T1098" s="123">
        <f t="shared" ca="1" si="1410"/>
        <v>129.56</v>
      </c>
      <c r="U1098" s="126">
        <f t="shared" ca="1" si="1411"/>
        <v>518.24</v>
      </c>
      <c r="V1098" s="1"/>
      <c r="W1098" s="39" t="str">
        <f ca="1">IF(OR($A1098=0,$A1098="S",$A1098&gt;CFF!$A$9),"",MAX(W$11:OFFSET(W1098,-1,0))+1)</f>
        <v/>
      </c>
      <c r="X1098" s="4" t="str">
        <f t="shared" si="1412"/>
        <v>Rec. Humanos-003</v>
      </c>
      <c r="Y1098" s="39">
        <f t="shared" ca="1" si="1413"/>
        <v>5</v>
      </c>
      <c r="Z1098" s="1"/>
      <c r="AA1098" s="133">
        <f>IF($J1098=$G$2,ROUND(IF(ISNUMBER(S1098),S1098,IF(LEFT(S1098,2)="DI",HLOOKUP(S1098,DADOS!$T$29:$X$30,2,FALSE),0)),4),"")</f>
        <v>0.25</v>
      </c>
      <c r="AB1098" s="2"/>
    </row>
    <row r="1099" spans="1:28">
      <c r="A1099" t="str">
        <f t="shared" si="1398"/>
        <v>S</v>
      </c>
      <c r="B1099">
        <f t="shared" si="1399"/>
        <v>0</v>
      </c>
      <c r="C1099">
        <f t="shared" ca="1" si="1400"/>
        <v>12</v>
      </c>
      <c r="D1099">
        <f t="shared" ca="1" si="1401"/>
        <v>6</v>
      </c>
      <c r="E1099">
        <f t="shared" ca="1" si="1402"/>
        <v>0</v>
      </c>
      <c r="F1099">
        <f t="shared" ca="1" si="1403"/>
        <v>0</v>
      </c>
      <c r="G1099">
        <f t="shared" ca="1" si="1404"/>
        <v>4</v>
      </c>
      <c r="H1099">
        <f ca="1">IF(OR($A1099="S",$A1099=0),0,MATCH(0,OFFSET($B1099,1,$A1099,ROW($A$1504)-ROW($A1099)),0))</f>
        <v>0</v>
      </c>
      <c r="I1099">
        <f ca="1">IF(OR($A1099="S",$A1099=0),0,MATCH(OFFSET($B1099,0,$A1099)+1,OFFSET($B1099,1,$A1099,ROW($A$1504)-ROW($A1099)),0))</f>
        <v>0</v>
      </c>
      <c r="J1099" s="132" t="s">
        <v>29</v>
      </c>
      <c r="K1099" s="121" t="str">
        <f t="shared" ca="1" si="1405"/>
        <v>12.6.4.</v>
      </c>
      <c r="L1099" s="137" t="str">
        <f t="shared" ca="1" si="1406"/>
        <v>SINE</v>
      </c>
      <c r="M1099" s="122" t="s">
        <v>78</v>
      </c>
      <c r="N1099" s="139" t="s">
        <v>153</v>
      </c>
      <c r="O1099" s="137" t="str">
        <f t="shared" ca="1" si="1407"/>
        <v>Estagiários</v>
      </c>
      <c r="P1099" s="138" t="str">
        <f t="shared" ca="1" si="1408"/>
        <v>Horas</v>
      </c>
      <c r="Q1099" s="134">
        <v>28</v>
      </c>
      <c r="R1099" s="124">
        <f t="shared" ca="1" si="1409"/>
        <v>9.7899999999999991</v>
      </c>
      <c r="S1099" s="136" t="s">
        <v>62</v>
      </c>
      <c r="T1099" s="123">
        <f t="shared" ca="1" si="1410"/>
        <v>12.24</v>
      </c>
      <c r="U1099" s="126">
        <f t="shared" ca="1" si="1411"/>
        <v>342.72</v>
      </c>
      <c r="V1099" s="1"/>
      <c r="W1099" s="39" t="str">
        <f ca="1">IF(OR($A1099=0,$A1099="S",$A1099&gt;CFF!$A$9),"",MAX(W$11:OFFSET(W1099,-1,0))+1)</f>
        <v/>
      </c>
      <c r="X1099" s="4" t="str">
        <f t="shared" si="1412"/>
        <v>Rec. Humanos-004</v>
      </c>
      <c r="Y1099" s="39">
        <f t="shared" ca="1" si="1413"/>
        <v>6</v>
      </c>
      <c r="Z1099" s="1"/>
      <c r="AA1099" s="133">
        <f>IF($J1099=$G$2,ROUND(IF(ISNUMBER(S1099),S1099,IF(LEFT(S1099,2)="DI",HLOOKUP(S1099,DADOS!$T$29:$X$30,2,FALSE),0)),4),"")</f>
        <v>0.25</v>
      </c>
      <c r="AB1099" s="2"/>
    </row>
    <row r="1100" spans="1:28">
      <c r="A1100" t="str">
        <f t="shared" si="1398"/>
        <v>S</v>
      </c>
      <c r="B1100">
        <f t="shared" si="1399"/>
        <v>0</v>
      </c>
      <c r="C1100">
        <f t="shared" ca="1" si="1400"/>
        <v>12</v>
      </c>
      <c r="D1100">
        <f t="shared" ca="1" si="1401"/>
        <v>6</v>
      </c>
      <c r="E1100">
        <f t="shared" ca="1" si="1402"/>
        <v>0</v>
      </c>
      <c r="F1100">
        <f t="shared" ca="1" si="1403"/>
        <v>0</v>
      </c>
      <c r="G1100">
        <f t="shared" ca="1" si="1404"/>
        <v>5</v>
      </c>
      <c r="H1100">
        <f ca="1">IF(OR($A1100="S",$A1100=0),0,MATCH(0,OFFSET($B1100,1,$A1100,ROW($A$1504)-ROW($A1100)),0))</f>
        <v>0</v>
      </c>
      <c r="I1100">
        <f ca="1">IF(OR($A1100="S",$A1100=0),0,MATCH(OFFSET($B1100,0,$A1100)+1,OFFSET($B1100,1,$A1100,ROW($A$1504)-ROW($A1100)),0))</f>
        <v>0</v>
      </c>
      <c r="J1100" s="132" t="s">
        <v>29</v>
      </c>
      <c r="K1100" s="121" t="str">
        <f t="shared" ca="1" si="1405"/>
        <v>12.6.5.</v>
      </c>
      <c r="L1100" s="137" t="str">
        <f t="shared" ca="1" si="1406"/>
        <v>Cotação</v>
      </c>
      <c r="M1100" s="122" t="s">
        <v>80</v>
      </c>
      <c r="N1100" s="139" t="s">
        <v>149</v>
      </c>
      <c r="O1100" s="137" t="str">
        <f t="shared" ca="1" si="1407"/>
        <v>Fotocópias</v>
      </c>
      <c r="P1100" s="138" t="str">
        <f t="shared" ca="1" si="1408"/>
        <v>Unidade</v>
      </c>
      <c r="Q1100" s="134">
        <v>300</v>
      </c>
      <c r="R1100" s="124">
        <f t="shared" ca="1" si="1409"/>
        <v>0.3</v>
      </c>
      <c r="S1100" s="136" t="s">
        <v>62</v>
      </c>
      <c r="T1100" s="123">
        <f t="shared" ca="1" si="1410"/>
        <v>0.38</v>
      </c>
      <c r="U1100" s="126">
        <f t="shared" ca="1" si="1411"/>
        <v>114</v>
      </c>
      <c r="V1100" s="1"/>
      <c r="W1100" s="39" t="str">
        <f ca="1">IF(OR($A1100=0,$A1100="S",$A1100&gt;CFF!$A$9),"",MAX(W$11:OFFSET(W1100,-1,0))+1)</f>
        <v/>
      </c>
      <c r="X1100" s="4" t="str">
        <f t="shared" si="1412"/>
        <v>Serv. Terc.-001</v>
      </c>
      <c r="Y1100" s="39">
        <f t="shared" ca="1" si="1413"/>
        <v>81</v>
      </c>
      <c r="Z1100" s="1"/>
      <c r="AA1100" s="133">
        <f>IF($J1100=$G$2,ROUND(IF(ISNUMBER(S1100),S1100,IF(LEFT(S1100,2)="DI",HLOOKUP(S1100,DADOS!$T$29:$X$30,2,FALSE),0)),4),"")</f>
        <v>0.25</v>
      </c>
      <c r="AB1100" s="2"/>
    </row>
    <row r="1101" spans="1:28">
      <c r="A1101" t="str">
        <f>CHOOSE(1+LOG(1+2*(J1101=$C$2)+4*(J1101=$D$2)+8*(J1101=$E$2)+16*(J1101=$F$2)+32*(J1101=$G$2),2),0,1,2,3,4,"S")</f>
        <v>S</v>
      </c>
      <c r="B1101">
        <f>IF(OR(A1101="S",A1101=0),0,IF(ISERROR(I1101),H1101,SMALL(H1101:I1101,1)))</f>
        <v>0</v>
      </c>
      <c r="C1101">
        <f ca="1">IF($A1101=1,OFFSET(C1101,-1,0)+1,OFFSET(C1101,-1,0))</f>
        <v>12</v>
      </c>
      <c r="D1101">
        <f ca="1">IF($A1101=1,0,IF($A1101=2,OFFSET(D1101,-1,0)+1,OFFSET(D1101,-1,0)))</f>
        <v>6</v>
      </c>
      <c r="E1101">
        <f ca="1">IF(AND($A1101&lt;=2,$A1101&lt;&gt;0),0,IF($A1101=3,OFFSET(E1101,-1,0)+1,OFFSET(E1101,-1,0)))</f>
        <v>0</v>
      </c>
      <c r="F1101">
        <f ca="1">IF(AND($A1101&lt;=3,$A1101&lt;&gt;0),0,IF($A1101=4,OFFSET(F1101,-1,0)+1,OFFSET(F1101,-1,0)))</f>
        <v>0</v>
      </c>
      <c r="G1101">
        <f ca="1">IF(AND($A1101&lt;=4,$A1101&lt;&gt;0),0,IF($A1101="S",OFFSET(G1101,-1,0)+1,OFFSET(G1101,-1,0)))</f>
        <v>6</v>
      </c>
      <c r="H1101">
        <f ca="1">IF(OR($A1101="S",$A1101=0),0,MATCH(0,OFFSET($B1101,1,$A1101,ROW($A$1504)-ROW($A1101)),0))</f>
        <v>0</v>
      </c>
      <c r="I1101">
        <f ca="1">IF(OR($A1101="S",$A1101=0),0,MATCH(OFFSET($B1101,0,$A1101)+1,OFFSET($B1101,1,$A1101,ROW($A$1504)-ROW($A1101)),0))</f>
        <v>0</v>
      </c>
      <c r="J1101" s="132" t="s">
        <v>29</v>
      </c>
      <c r="K1101" s="121" t="str">
        <f ca="1">IF($A1101=0,"-",CONCATENATE(C1101&amp;".",IF(AND($A$5&gt;=2,$A1101&gt;=2),D1101&amp;".",""),IF(AND($A$5&gt;=3,$A1101&gt;=3),E1101&amp;".",""),IF(AND($A$5&gt;=4,$A1101&gt;=4),F1101&amp;".",""),IF($A1101="S",G1101&amp;".","")))</f>
        <v>12.6.6.</v>
      </c>
      <c r="L1101" s="137" t="str">
        <f ca="1">IF(NOT(ISERROR($Y1101)),IF($Y1101&lt;&gt;FALSE,INDEX(Banco,$Y1101,4),""),"")</f>
        <v>Cotação</v>
      </c>
      <c r="M1101" s="122" t="s">
        <v>80</v>
      </c>
      <c r="N1101" s="139" t="s">
        <v>256</v>
      </c>
      <c r="O1101" s="137" t="str">
        <f ca="1">IF(NOT(ISERROR($Y1101)),IF($Y1101&lt;&gt;FALSE,INDEX(Banco,$Y1101,5),""),"")</f>
        <v>Instrutor/Monitor (Educação Fisíca)</v>
      </c>
      <c r="P1101" s="138" t="str">
        <f ca="1">IF(NOT(ISERROR($Y1101)),IF($Y1101&lt;&gt;FALSE,INDEX(Banco,$Y1101,6),""),"")</f>
        <v>Horas</v>
      </c>
      <c r="Q1101" s="134">
        <v>3</v>
      </c>
      <c r="R1101" s="124">
        <f ca="1">IF(NOT(ISERROR($Y1101)),IF($Y1101&lt;&gt;FALSE,INDEX(Banco,$Y1101,7),0),0)</f>
        <v>100</v>
      </c>
      <c r="S1101" s="136" t="s">
        <v>62</v>
      </c>
      <c r="T1101" s="123">
        <f ca="1">IF($J1101=$G$2,ROUND(ROUND($R1101,2)*IF($R$9="Preço Unitário (R$)",1,1+$AA1101),2),0)</f>
        <v>125</v>
      </c>
      <c r="U1101" s="126">
        <f ca="1">IF($A1101="S",VTOTAL1,IF($A1101=0,0,ROUND(SomaAgrup,2)))</f>
        <v>375</v>
      </c>
      <c r="V1101" s="1"/>
      <c r="W1101" s="39" t="str">
        <f ca="1">IF(OR($A1101=0,$A1101="S",$A1101&gt;CFF!$A$9),"",MAX(W$11:OFFSET(W1101,-1,0))+1)</f>
        <v/>
      </c>
      <c r="X1101" s="4" t="str">
        <f>IF(AND($J1101=$G$2,$N1101&lt;&gt;"",$M1101&lt;&gt;""),CONCATENATE($M1101,"-",$N1101))</f>
        <v>Serv. Terc.-017</v>
      </c>
      <c r="Y1101" s="39">
        <f ca="1">IF(X1101&lt;&gt;FALSE,MATCH(X1101,OFFSET(Banco,0,0,,1),0))</f>
        <v>97</v>
      </c>
      <c r="Z1101" s="1"/>
      <c r="AA1101" s="133">
        <f>IF($J1101=$G$2,ROUND(IF(ISNUMBER(S1101),S1101,IF(LEFT(S1101,2)="DI",HLOOKUP(S1101,DADOS!$T$29:$X$30,2,FALSE),0)),4),"")</f>
        <v>0.25</v>
      </c>
      <c r="AB1101" s="2"/>
    </row>
    <row r="1102" spans="1:28">
      <c r="A1102" t="str">
        <f t="shared" si="1398"/>
        <v>S</v>
      </c>
      <c r="B1102">
        <f t="shared" si="1399"/>
        <v>0</v>
      </c>
      <c r="C1102">
        <f t="shared" ca="1" si="1400"/>
        <v>12</v>
      </c>
      <c r="D1102">
        <f t="shared" ca="1" si="1401"/>
        <v>6</v>
      </c>
      <c r="E1102">
        <f t="shared" ca="1" si="1402"/>
        <v>0</v>
      </c>
      <c r="F1102">
        <f t="shared" ca="1" si="1403"/>
        <v>0</v>
      </c>
      <c r="G1102">
        <f t="shared" ca="1" si="1404"/>
        <v>7</v>
      </c>
      <c r="H1102">
        <f ca="1">IF(OR($A1102="S",$A1102=0),0,MATCH(0,OFFSET($B1102,1,$A1102,ROW($A$1504)-ROW($A1102)),0))</f>
        <v>0</v>
      </c>
      <c r="I1102">
        <f ca="1">IF(OR($A1102="S",$A1102=0),0,MATCH(OFFSET($B1102,0,$A1102)+1,OFFSET($B1102,1,$A1102,ROW($A$1504)-ROW($A1102)),0))</f>
        <v>0</v>
      </c>
      <c r="J1102" s="132" t="s">
        <v>29</v>
      </c>
      <c r="K1102" s="121" t="str">
        <f t="shared" ca="1" si="1405"/>
        <v>12.6.7.</v>
      </c>
      <c r="L1102" s="137" t="str">
        <f t="shared" ca="1" si="1406"/>
        <v>Cotação</v>
      </c>
      <c r="M1102" s="122" t="s">
        <v>80</v>
      </c>
      <c r="N1102" s="139" t="s">
        <v>152</v>
      </c>
      <c r="O1102" s="137" t="str">
        <f t="shared" ca="1" si="1407"/>
        <v>Carro de som com gravação de vinheta</v>
      </c>
      <c r="P1102" s="138" t="str">
        <f t="shared" ca="1" si="1408"/>
        <v>Horas</v>
      </c>
      <c r="Q1102" s="134">
        <v>3</v>
      </c>
      <c r="R1102" s="124">
        <f t="shared" ca="1" si="1409"/>
        <v>200</v>
      </c>
      <c r="S1102" s="136" t="s">
        <v>62</v>
      </c>
      <c r="T1102" s="123">
        <f t="shared" ca="1" si="1410"/>
        <v>250</v>
      </c>
      <c r="U1102" s="126">
        <f t="shared" ca="1" si="1411"/>
        <v>750</v>
      </c>
      <c r="V1102" s="1"/>
      <c r="W1102" s="39" t="str">
        <f ca="1">IF(OR($A1102=0,$A1102="S",$A1102&gt;CFF!$A$9),"",MAX(W$11:OFFSET(W1102,-1,0))+1)</f>
        <v/>
      </c>
      <c r="X1102" s="4" t="str">
        <f t="shared" si="1412"/>
        <v>Serv. Terc.-002</v>
      </c>
      <c r="Y1102" s="39">
        <f t="shared" ca="1" si="1413"/>
        <v>82</v>
      </c>
      <c r="Z1102" s="1"/>
      <c r="AA1102" s="133">
        <f>IF($J1102=$G$2,ROUND(IF(ISNUMBER(S1102),S1102,IF(LEFT(S1102,2)="DI",HLOOKUP(S1102,DADOS!$T$29:$X$30,2,FALSE),0)),4),"")</f>
        <v>0.25</v>
      </c>
      <c r="AB1102" s="2"/>
    </row>
    <row r="1103" spans="1:28">
      <c r="A1103" t="str">
        <f t="shared" si="1398"/>
        <v>S</v>
      </c>
      <c r="B1103">
        <f t="shared" si="1399"/>
        <v>0</v>
      </c>
      <c r="C1103">
        <f t="shared" ca="1" si="1400"/>
        <v>12</v>
      </c>
      <c r="D1103">
        <f t="shared" ca="1" si="1401"/>
        <v>6</v>
      </c>
      <c r="E1103">
        <f t="shared" ca="1" si="1402"/>
        <v>0</v>
      </c>
      <c r="F1103">
        <f t="shared" ca="1" si="1403"/>
        <v>0</v>
      </c>
      <c r="G1103">
        <f t="shared" ca="1" si="1404"/>
        <v>8</v>
      </c>
      <c r="H1103">
        <f ca="1">IF(OR($A1103="S",$A1103=0),0,MATCH(0,OFFSET($B1103,1,$A1103,ROW($A$1504)-ROW($A1103)),0))</f>
        <v>0</v>
      </c>
      <c r="I1103">
        <f ca="1">IF(OR($A1103="S",$A1103=0),0,MATCH(OFFSET($B1103,0,$A1103)+1,OFFSET($B1103,1,$A1103,ROW($A$1504)-ROW($A1103)),0))</f>
        <v>0</v>
      </c>
      <c r="J1103" s="132" t="s">
        <v>29</v>
      </c>
      <c r="K1103" s="121" t="str">
        <f t="shared" ca="1" si="1405"/>
        <v>12.6.8.</v>
      </c>
      <c r="L1103" s="137" t="str">
        <f t="shared" ca="1" si="1406"/>
        <v>Cotação</v>
      </c>
      <c r="M1103" s="122" t="s">
        <v>80</v>
      </c>
      <c r="N1103" s="139" t="s">
        <v>151</v>
      </c>
      <c r="O1103" s="137" t="str">
        <f t="shared" ca="1" si="1407"/>
        <v>Locação de mesas</v>
      </c>
      <c r="P1103" s="138" t="str">
        <f t="shared" ca="1" si="1408"/>
        <v>Unidade</v>
      </c>
      <c r="Q1103" s="134">
        <v>20</v>
      </c>
      <c r="R1103" s="124">
        <f t="shared" ca="1" si="1409"/>
        <v>3</v>
      </c>
      <c r="S1103" s="136" t="s">
        <v>62</v>
      </c>
      <c r="T1103" s="123">
        <f t="shared" ca="1" si="1410"/>
        <v>3.75</v>
      </c>
      <c r="U1103" s="126">
        <f t="shared" ca="1" si="1411"/>
        <v>75</v>
      </c>
      <c r="V1103" s="1"/>
      <c r="W1103" s="39" t="str">
        <f ca="1">IF(OR($A1103=0,$A1103="S",$A1103&gt;CFF!$A$9),"",MAX(W$11:OFFSET(W1103,-1,0))+1)</f>
        <v/>
      </c>
      <c r="X1103" s="4" t="str">
        <f t="shared" si="1412"/>
        <v>Serv. Terc.-003</v>
      </c>
      <c r="Y1103" s="39">
        <f t="shared" ca="1" si="1413"/>
        <v>83</v>
      </c>
      <c r="Z1103" s="1"/>
      <c r="AA1103" s="133">
        <f>IF($J1103=$G$2,ROUND(IF(ISNUMBER(S1103),S1103,IF(LEFT(S1103,2)="DI",HLOOKUP(S1103,DADOS!$T$29:$X$30,2,FALSE),0)),4),"")</f>
        <v>0.25</v>
      </c>
      <c r="AB1103" s="2"/>
    </row>
    <row r="1104" spans="1:28">
      <c r="A1104" t="str">
        <f t="shared" si="1398"/>
        <v>S</v>
      </c>
      <c r="B1104">
        <f t="shared" si="1399"/>
        <v>0</v>
      </c>
      <c r="C1104">
        <f t="shared" ca="1" si="1400"/>
        <v>12</v>
      </c>
      <c r="D1104">
        <f t="shared" ca="1" si="1401"/>
        <v>6</v>
      </c>
      <c r="E1104">
        <f t="shared" ca="1" si="1402"/>
        <v>0</v>
      </c>
      <c r="F1104">
        <f t="shared" ca="1" si="1403"/>
        <v>0</v>
      </c>
      <c r="G1104">
        <f t="shared" ca="1" si="1404"/>
        <v>9</v>
      </c>
      <c r="H1104">
        <f ca="1">IF(OR($A1104="S",$A1104=0),0,MATCH(0,OFFSET($B1104,1,$A1104,ROW($A$1504)-ROW($A1104)),0))</f>
        <v>0</v>
      </c>
      <c r="I1104">
        <f ca="1">IF(OR($A1104="S",$A1104=0),0,MATCH(OFFSET($B1104,0,$A1104)+1,OFFSET($B1104,1,$A1104,ROW($A$1504)-ROW($A1104)),0))</f>
        <v>0</v>
      </c>
      <c r="J1104" s="132" t="s">
        <v>29</v>
      </c>
      <c r="K1104" s="121" t="str">
        <f t="shared" ca="1" si="1405"/>
        <v>12.6.9.</v>
      </c>
      <c r="L1104" s="137" t="str">
        <f t="shared" ca="1" si="1406"/>
        <v>Cotação</v>
      </c>
      <c r="M1104" s="122" t="s">
        <v>80</v>
      </c>
      <c r="N1104" s="139" t="s">
        <v>153</v>
      </c>
      <c r="O1104" s="137" t="str">
        <f t="shared" ca="1" si="1407"/>
        <v>Locação de cadeiras</v>
      </c>
      <c r="P1104" s="138" t="str">
        <f t="shared" ca="1" si="1408"/>
        <v>Unidade</v>
      </c>
      <c r="Q1104" s="134">
        <v>400</v>
      </c>
      <c r="R1104" s="124">
        <f t="shared" ca="1" si="1409"/>
        <v>2</v>
      </c>
      <c r="S1104" s="136" t="s">
        <v>62</v>
      </c>
      <c r="T1104" s="123">
        <f t="shared" ca="1" si="1410"/>
        <v>2.5</v>
      </c>
      <c r="U1104" s="126">
        <f t="shared" ca="1" si="1411"/>
        <v>1000</v>
      </c>
      <c r="V1104" s="1"/>
      <c r="W1104" s="39" t="str">
        <f ca="1">IF(OR($A1104=0,$A1104="S",$A1104&gt;CFF!$A$9),"",MAX(W$11:OFFSET(W1104,-1,0))+1)</f>
        <v/>
      </c>
      <c r="X1104" s="4" t="str">
        <f t="shared" si="1412"/>
        <v>Serv. Terc.-004</v>
      </c>
      <c r="Y1104" s="39">
        <f t="shared" ca="1" si="1413"/>
        <v>84</v>
      </c>
      <c r="Z1104" s="1"/>
      <c r="AA1104" s="133">
        <f>IF($J1104=$G$2,ROUND(IF(ISNUMBER(S1104),S1104,IF(LEFT(S1104,2)="DI",HLOOKUP(S1104,DADOS!$T$29:$X$30,2,FALSE),0)),4),"")</f>
        <v>0.25</v>
      </c>
      <c r="AB1104" s="2"/>
    </row>
    <row r="1105" spans="1:28">
      <c r="A1105" t="str">
        <f t="shared" si="1398"/>
        <v>S</v>
      </c>
      <c r="B1105">
        <f t="shared" si="1399"/>
        <v>0</v>
      </c>
      <c r="C1105">
        <f t="shared" ca="1" si="1400"/>
        <v>12</v>
      </c>
      <c r="D1105">
        <f t="shared" ca="1" si="1401"/>
        <v>6</v>
      </c>
      <c r="E1105">
        <f t="shared" ca="1" si="1402"/>
        <v>0</v>
      </c>
      <c r="F1105">
        <f t="shared" ca="1" si="1403"/>
        <v>0</v>
      </c>
      <c r="G1105">
        <f t="shared" ca="1" si="1404"/>
        <v>10</v>
      </c>
      <c r="H1105">
        <f ca="1">IF(OR($A1105="S",$A1105=0),0,MATCH(0,OFFSET($B1105,1,$A1105,ROW($A$1504)-ROW($A1105)),0))</f>
        <v>0</v>
      </c>
      <c r="I1105">
        <f ca="1">IF(OR($A1105="S",$A1105=0),0,MATCH(OFFSET($B1105,0,$A1105)+1,OFFSET($B1105,1,$A1105,ROW($A$1504)-ROW($A1105)),0))</f>
        <v>0</v>
      </c>
      <c r="J1105" s="132" t="s">
        <v>29</v>
      </c>
      <c r="K1105" s="121" t="str">
        <f t="shared" ca="1" si="1405"/>
        <v>12.6.10.</v>
      </c>
      <c r="L1105" s="137" t="str">
        <f t="shared" ca="1" si="1406"/>
        <v>Cotação</v>
      </c>
      <c r="M1105" s="122" t="s">
        <v>80</v>
      </c>
      <c r="N1105" s="139" t="s">
        <v>154</v>
      </c>
      <c r="O1105" s="137" t="str">
        <f t="shared" ca="1" si="1407"/>
        <v>Locação de caixa térmica</v>
      </c>
      <c r="P1105" s="138" t="str">
        <f t="shared" ca="1" si="1408"/>
        <v>Unidade</v>
      </c>
      <c r="Q1105" s="134">
        <v>2</v>
      </c>
      <c r="R1105" s="124">
        <f t="shared" ca="1" si="1409"/>
        <v>40</v>
      </c>
      <c r="S1105" s="136" t="s">
        <v>62</v>
      </c>
      <c r="T1105" s="123">
        <f t="shared" ca="1" si="1410"/>
        <v>50</v>
      </c>
      <c r="U1105" s="126">
        <f t="shared" ca="1" si="1411"/>
        <v>100</v>
      </c>
      <c r="V1105" s="1"/>
      <c r="W1105" s="39" t="str">
        <f ca="1">IF(OR($A1105=0,$A1105="S",$A1105&gt;CFF!$A$9),"",MAX(W$11:OFFSET(W1105,-1,0))+1)</f>
        <v/>
      </c>
      <c r="X1105" s="4" t="str">
        <f t="shared" si="1412"/>
        <v>Serv. Terc.-005</v>
      </c>
      <c r="Y1105" s="39">
        <f t="shared" ca="1" si="1413"/>
        <v>85</v>
      </c>
      <c r="Z1105" s="1"/>
      <c r="AA1105" s="133">
        <f>IF($J1105=$G$2,ROUND(IF(ISNUMBER(S1105),S1105,IF(LEFT(S1105,2)="DI",HLOOKUP(S1105,DADOS!$T$29:$X$30,2,FALSE),0)),4),"")</f>
        <v>0.25</v>
      </c>
      <c r="AB1105" s="2"/>
    </row>
    <row r="1106" spans="1:28">
      <c r="A1106" t="str">
        <f t="shared" si="1398"/>
        <v>S</v>
      </c>
      <c r="B1106">
        <f t="shared" si="1399"/>
        <v>0</v>
      </c>
      <c r="C1106">
        <f t="shared" ca="1" si="1400"/>
        <v>12</v>
      </c>
      <c r="D1106">
        <f t="shared" ca="1" si="1401"/>
        <v>6</v>
      </c>
      <c r="E1106">
        <f t="shared" ca="1" si="1402"/>
        <v>0</v>
      </c>
      <c r="F1106">
        <f t="shared" ca="1" si="1403"/>
        <v>0</v>
      </c>
      <c r="G1106">
        <f t="shared" ca="1" si="1404"/>
        <v>11</v>
      </c>
      <c r="H1106">
        <f ca="1">IF(OR($A1106="S",$A1106=0),0,MATCH(0,OFFSET($B1106,1,$A1106,ROW($A$1504)-ROW($A1106)),0))</f>
        <v>0</v>
      </c>
      <c r="I1106">
        <f ca="1">IF(OR($A1106="S",$A1106=0),0,MATCH(OFFSET($B1106,0,$A1106)+1,OFFSET($B1106,1,$A1106,ROW($A$1504)-ROW($A1106)),0))</f>
        <v>0</v>
      </c>
      <c r="J1106" s="132" t="s">
        <v>29</v>
      </c>
      <c r="K1106" s="121" t="str">
        <f t="shared" ca="1" si="1405"/>
        <v>12.6.11.</v>
      </c>
      <c r="L1106" s="137" t="str">
        <f t="shared" ca="1" si="1406"/>
        <v>Cotação</v>
      </c>
      <c r="M1106" s="122" t="s">
        <v>80</v>
      </c>
      <c r="N1106" s="139" t="s">
        <v>155</v>
      </c>
      <c r="O1106" s="137" t="str">
        <f t="shared" ca="1" si="1407"/>
        <v>Locação de tendas</v>
      </c>
      <c r="P1106" s="138" t="str">
        <f t="shared" ca="1" si="1408"/>
        <v>Unidade</v>
      </c>
      <c r="Q1106" s="134">
        <v>3</v>
      </c>
      <c r="R1106" s="124">
        <f t="shared" ca="1" si="1409"/>
        <v>250</v>
      </c>
      <c r="S1106" s="136" t="s">
        <v>62</v>
      </c>
      <c r="T1106" s="123">
        <f t="shared" ca="1" si="1410"/>
        <v>312.5</v>
      </c>
      <c r="U1106" s="126">
        <f t="shared" ca="1" si="1411"/>
        <v>937.5</v>
      </c>
      <c r="V1106" s="1"/>
      <c r="W1106" s="39" t="str">
        <f ca="1">IF(OR($A1106=0,$A1106="S",$A1106&gt;CFF!$A$9),"",MAX(W$11:OFFSET(W1106,-1,0))+1)</f>
        <v/>
      </c>
      <c r="X1106" s="4" t="str">
        <f t="shared" si="1412"/>
        <v>Serv. Terc.-006</v>
      </c>
      <c r="Y1106" s="39">
        <f t="shared" ca="1" si="1413"/>
        <v>86</v>
      </c>
      <c r="Z1106" s="1"/>
      <c r="AA1106" s="133">
        <f>IF($J1106=$G$2,ROUND(IF(ISNUMBER(S1106),S1106,IF(LEFT(S1106,2)="DI",HLOOKUP(S1106,DADOS!$T$29:$X$30,2,FALSE),0)),4),"")</f>
        <v>0.25</v>
      </c>
      <c r="AB1106" s="2"/>
    </row>
    <row r="1107" spans="1:28">
      <c r="A1107" t="str">
        <f t="shared" si="1398"/>
        <v>S</v>
      </c>
      <c r="B1107">
        <f t="shared" si="1399"/>
        <v>0</v>
      </c>
      <c r="C1107">
        <f t="shared" ca="1" si="1400"/>
        <v>12</v>
      </c>
      <c r="D1107">
        <f t="shared" ca="1" si="1401"/>
        <v>6</v>
      </c>
      <c r="E1107">
        <f t="shared" ca="1" si="1402"/>
        <v>0</v>
      </c>
      <c r="F1107">
        <f t="shared" ca="1" si="1403"/>
        <v>0</v>
      </c>
      <c r="G1107">
        <f t="shared" ca="1" si="1404"/>
        <v>12</v>
      </c>
      <c r="H1107">
        <f ca="1">IF(OR($A1107="S",$A1107=0),0,MATCH(0,OFFSET($B1107,1,$A1107,ROW($A$1504)-ROW($A1107)),0))</f>
        <v>0</v>
      </c>
      <c r="I1107">
        <f ca="1">IF(OR($A1107="S",$A1107=0),0,MATCH(OFFSET($B1107,0,$A1107)+1,OFFSET($B1107,1,$A1107,ROW($A$1504)-ROW($A1107)),0))</f>
        <v>0</v>
      </c>
      <c r="J1107" s="132" t="s">
        <v>29</v>
      </c>
      <c r="K1107" s="121" t="str">
        <f t="shared" ca="1" si="1405"/>
        <v>12.6.12.</v>
      </c>
      <c r="L1107" s="137" t="str">
        <f t="shared" ca="1" si="1406"/>
        <v>Cotação</v>
      </c>
      <c r="M1107" s="122" t="s">
        <v>80</v>
      </c>
      <c r="N1107" s="139" t="s">
        <v>157</v>
      </c>
      <c r="O1107" s="137" t="str">
        <f t="shared" ca="1" si="1407"/>
        <v>Locação de pula-pula com monitor</v>
      </c>
      <c r="P1107" s="138" t="str">
        <f t="shared" ca="1" si="1408"/>
        <v>Unidade</v>
      </c>
      <c r="Q1107" s="134">
        <v>2</v>
      </c>
      <c r="R1107" s="124">
        <f t="shared" ca="1" si="1409"/>
        <v>220</v>
      </c>
      <c r="S1107" s="136" t="s">
        <v>62</v>
      </c>
      <c r="T1107" s="123">
        <f t="shared" ca="1" si="1410"/>
        <v>275</v>
      </c>
      <c r="U1107" s="126">
        <f t="shared" ca="1" si="1411"/>
        <v>550</v>
      </c>
      <c r="V1107" s="1"/>
      <c r="W1107" s="39" t="str">
        <f ca="1">IF(OR($A1107=0,$A1107="S",$A1107&gt;CFF!$A$9),"",MAX(W$11:OFFSET(W1107,-1,0))+1)</f>
        <v/>
      </c>
      <c r="X1107" s="4" t="str">
        <f t="shared" si="1412"/>
        <v>Serv. Terc.-008</v>
      </c>
      <c r="Y1107" s="39">
        <f t="shared" ca="1" si="1413"/>
        <v>88</v>
      </c>
      <c r="Z1107" s="1"/>
      <c r="AA1107" s="133">
        <f>IF($J1107=$G$2,ROUND(IF(ISNUMBER(S1107),S1107,IF(LEFT(S1107,2)="DI",HLOOKUP(S1107,DADOS!$T$29:$X$30,2,FALSE),0)),4),"")</f>
        <v>0.25</v>
      </c>
      <c r="AB1107" s="2"/>
    </row>
    <row r="1108" spans="1:28">
      <c r="A1108" t="str">
        <f t="shared" si="1398"/>
        <v>S</v>
      </c>
      <c r="B1108">
        <f t="shared" si="1399"/>
        <v>0</v>
      </c>
      <c r="C1108">
        <f t="shared" ca="1" si="1400"/>
        <v>12</v>
      </c>
      <c r="D1108">
        <f t="shared" ca="1" si="1401"/>
        <v>6</v>
      </c>
      <c r="E1108">
        <f t="shared" ca="1" si="1402"/>
        <v>0</v>
      </c>
      <c r="F1108">
        <f t="shared" ca="1" si="1403"/>
        <v>0</v>
      </c>
      <c r="G1108">
        <f t="shared" ca="1" si="1404"/>
        <v>13</v>
      </c>
      <c r="H1108">
        <f ca="1">IF(OR($A1108="S",$A1108=0),0,MATCH(0,OFFSET($B1108,1,$A1108,ROW($A$1504)-ROW($A1108)),0))</f>
        <v>0</v>
      </c>
      <c r="I1108">
        <f ca="1">IF(OR($A1108="S",$A1108=0),0,MATCH(OFFSET($B1108,0,$A1108)+1,OFFSET($B1108,1,$A1108,ROW($A$1504)-ROW($A1108)),0))</f>
        <v>0</v>
      </c>
      <c r="J1108" s="132" t="s">
        <v>29</v>
      </c>
      <c r="K1108" s="121" t="str">
        <f t="shared" ca="1" si="1405"/>
        <v>12.6.13.</v>
      </c>
      <c r="L1108" s="137" t="str">
        <f t="shared" ca="1" si="1406"/>
        <v>Cotação</v>
      </c>
      <c r="M1108" s="122" t="s">
        <v>80</v>
      </c>
      <c r="N1108" s="139" t="s">
        <v>161</v>
      </c>
      <c r="O1108" s="137" t="str">
        <f t="shared" ca="1" si="1407"/>
        <v>Água (garrafão de 20 litros)</v>
      </c>
      <c r="P1108" s="138" t="str">
        <f t="shared" ca="1" si="1408"/>
        <v>Unidade</v>
      </c>
      <c r="Q1108" s="134">
        <v>2</v>
      </c>
      <c r="R1108" s="124">
        <f t="shared" ca="1" si="1409"/>
        <v>10</v>
      </c>
      <c r="S1108" s="136" t="s">
        <v>62</v>
      </c>
      <c r="T1108" s="123">
        <f t="shared" ca="1" si="1410"/>
        <v>12.5</v>
      </c>
      <c r="U1108" s="126">
        <f t="shared" ca="1" si="1411"/>
        <v>25</v>
      </c>
      <c r="V1108" s="1"/>
      <c r="W1108" s="39" t="str">
        <f ca="1">IF(OR($A1108=0,$A1108="S",$A1108&gt;CFF!$A$9),"",MAX(W$11:OFFSET(W1108,-1,0))+1)</f>
        <v/>
      </c>
      <c r="X1108" s="4" t="str">
        <f t="shared" si="1412"/>
        <v>Serv. Terc.-012</v>
      </c>
      <c r="Y1108" s="39">
        <f t="shared" ca="1" si="1413"/>
        <v>92</v>
      </c>
      <c r="Z1108" s="1"/>
      <c r="AA1108" s="133">
        <f>IF($J1108=$G$2,ROUND(IF(ISNUMBER(S1108),S1108,IF(LEFT(S1108,2)="DI",HLOOKUP(S1108,DADOS!$T$29:$X$30,2,FALSE),0)),4),"")</f>
        <v>0.25</v>
      </c>
      <c r="AB1108" s="2"/>
    </row>
    <row r="1109" spans="1:28">
      <c r="A1109" t="str">
        <f t="shared" si="1398"/>
        <v>S</v>
      </c>
      <c r="B1109">
        <f t="shared" si="1399"/>
        <v>0</v>
      </c>
      <c r="C1109">
        <f t="shared" ca="1" si="1400"/>
        <v>12</v>
      </c>
      <c r="D1109">
        <f t="shared" ca="1" si="1401"/>
        <v>6</v>
      </c>
      <c r="E1109">
        <f t="shared" ca="1" si="1402"/>
        <v>0</v>
      </c>
      <c r="F1109">
        <f t="shared" ca="1" si="1403"/>
        <v>0</v>
      </c>
      <c r="G1109">
        <f t="shared" ca="1" si="1404"/>
        <v>14</v>
      </c>
      <c r="H1109">
        <f ca="1">IF(OR($A1109="S",$A1109=0),0,MATCH(0,OFFSET($B1109,1,$A1109,ROW($A$1504)-ROW($A1109)),0))</f>
        <v>0</v>
      </c>
      <c r="I1109">
        <f ca="1">IF(OR($A1109="S",$A1109=0),0,MATCH(OFFSET($B1109,0,$A1109)+1,OFFSET($B1109,1,$A1109,ROW($A$1504)-ROW($A1109)),0))</f>
        <v>0</v>
      </c>
      <c r="J1109" s="132" t="s">
        <v>29</v>
      </c>
      <c r="K1109" s="121" t="str">
        <f t="shared" ca="1" si="1405"/>
        <v>12.6.14.</v>
      </c>
      <c r="L1109" s="137" t="str">
        <f t="shared" ca="1" si="1406"/>
        <v xml:space="preserve">Cotação </v>
      </c>
      <c r="M1109" s="122" t="s">
        <v>80</v>
      </c>
      <c r="N1109" s="139" t="s">
        <v>160</v>
      </c>
      <c r="O1109" s="137" t="str">
        <f t="shared" ca="1" si="1407"/>
        <v>Barra de gelo</v>
      </c>
      <c r="P1109" s="138" t="str">
        <f t="shared" ca="1" si="1408"/>
        <v>Unidade</v>
      </c>
      <c r="Q1109" s="134">
        <v>4</v>
      </c>
      <c r="R1109" s="124">
        <f t="shared" ca="1" si="1409"/>
        <v>12</v>
      </c>
      <c r="S1109" s="136" t="s">
        <v>62</v>
      </c>
      <c r="T1109" s="123">
        <f t="shared" ca="1" si="1410"/>
        <v>15</v>
      </c>
      <c r="U1109" s="126">
        <f t="shared" ca="1" si="1411"/>
        <v>60</v>
      </c>
      <c r="V1109" s="1"/>
      <c r="W1109" s="39" t="str">
        <f ca="1">IF(OR($A1109=0,$A1109="S",$A1109&gt;CFF!$A$9),"",MAX(W$11:OFFSET(W1109,-1,0))+1)</f>
        <v/>
      </c>
      <c r="X1109" s="4" t="str">
        <f t="shared" si="1412"/>
        <v>Serv. Terc.-011</v>
      </c>
      <c r="Y1109" s="39">
        <f t="shared" ca="1" si="1413"/>
        <v>91</v>
      </c>
      <c r="Z1109" s="1"/>
      <c r="AA1109" s="133">
        <f>IF($J1109=$G$2,ROUND(IF(ISNUMBER(S1109),S1109,IF(LEFT(S1109,2)="DI",HLOOKUP(S1109,DADOS!$T$29:$X$30,2,FALSE),0)),4),"")</f>
        <v>0.25</v>
      </c>
      <c r="AB1109" s="2"/>
    </row>
    <row r="1110" spans="1:28">
      <c r="A1110" t="str">
        <f t="shared" si="1398"/>
        <v>S</v>
      </c>
      <c r="B1110">
        <f t="shared" si="1399"/>
        <v>0</v>
      </c>
      <c r="C1110">
        <f t="shared" ca="1" si="1400"/>
        <v>12</v>
      </c>
      <c r="D1110">
        <f t="shared" ca="1" si="1401"/>
        <v>6</v>
      </c>
      <c r="E1110">
        <f t="shared" ca="1" si="1402"/>
        <v>0</v>
      </c>
      <c r="F1110">
        <f t="shared" ca="1" si="1403"/>
        <v>0</v>
      </c>
      <c r="G1110">
        <f t="shared" ca="1" si="1404"/>
        <v>15</v>
      </c>
      <c r="H1110">
        <f ca="1">IF(OR($A1110="S",$A1110=0),0,MATCH(0,OFFSET($B1110,1,$A1110,ROW($A$1504)-ROW($A1110)),0))</f>
        <v>0</v>
      </c>
      <c r="I1110">
        <f ca="1">IF(OR($A1110="S",$A1110=0),0,MATCH(OFFSET($B1110,0,$A1110)+1,OFFSET($B1110,1,$A1110,ROW($A$1504)-ROW($A1110)),0))</f>
        <v>0</v>
      </c>
      <c r="J1110" s="132" t="s">
        <v>29</v>
      </c>
      <c r="K1110" s="121" t="str">
        <f t="shared" ca="1" si="1405"/>
        <v>12.6.15.</v>
      </c>
      <c r="L1110" s="137" t="str">
        <f t="shared" ca="1" si="1406"/>
        <v>Cotação</v>
      </c>
      <c r="M1110" s="122" t="s">
        <v>80</v>
      </c>
      <c r="N1110" s="139" t="s">
        <v>150</v>
      </c>
      <c r="O1110" s="137" t="str">
        <f t="shared" ca="1" si="1407"/>
        <v>Sucos</v>
      </c>
      <c r="P1110" s="138" t="str">
        <f t="shared" ca="1" si="1408"/>
        <v>Unidade</v>
      </c>
      <c r="Q1110" s="134">
        <v>12</v>
      </c>
      <c r="R1110" s="124">
        <f t="shared" ca="1" si="1409"/>
        <v>6.4</v>
      </c>
      <c r="S1110" s="136" t="s">
        <v>62</v>
      </c>
      <c r="T1110" s="123">
        <f t="shared" ca="1" si="1410"/>
        <v>8</v>
      </c>
      <c r="U1110" s="126">
        <f t="shared" ca="1" si="1411"/>
        <v>96</v>
      </c>
      <c r="V1110" s="1"/>
      <c r="W1110" s="39" t="str">
        <f ca="1">IF(OR($A1110=0,$A1110="S",$A1110&gt;CFF!$A$9),"",MAX(W$11:OFFSET(W1110,-1,0))+1)</f>
        <v/>
      </c>
      <c r="X1110" s="4" t="str">
        <f t="shared" si="1412"/>
        <v>Serv. Terc.-013</v>
      </c>
      <c r="Y1110" s="39">
        <f t="shared" ca="1" si="1413"/>
        <v>93</v>
      </c>
      <c r="Z1110" s="1"/>
      <c r="AA1110" s="133">
        <f>IF($J1110=$G$2,ROUND(IF(ISNUMBER(S1110),S1110,IF(LEFT(S1110,2)="DI",HLOOKUP(S1110,DADOS!$T$29:$X$30,2,FALSE),0)),4),"")</f>
        <v>0.25</v>
      </c>
      <c r="AB1110" s="2"/>
    </row>
    <row r="1111" spans="1:28">
      <c r="A1111" t="str">
        <f>CHOOSE(1+LOG(1+2*(J1111=$C$2)+4*(J1111=$D$2)+8*(J1111=$E$2)+16*(J1111=$F$2)+32*(J1111=$G$2),2),0,1,2,3,4,"S")</f>
        <v>S</v>
      </c>
      <c r="B1111">
        <f>IF(OR(A1111="S",A1111=0),0,IF(ISERROR(I1111),H1111,SMALL(H1111:I1111,1)))</f>
        <v>0</v>
      </c>
      <c r="C1111">
        <f ca="1">IF($A1111=1,OFFSET(C1111,-1,0)+1,OFFSET(C1111,-1,0))</f>
        <v>12</v>
      </c>
      <c r="D1111">
        <f ca="1">IF($A1111=1,0,IF($A1111=2,OFFSET(D1111,-1,0)+1,OFFSET(D1111,-1,0)))</f>
        <v>6</v>
      </c>
      <c r="E1111">
        <f ca="1">IF(AND($A1111&lt;=2,$A1111&lt;&gt;0),0,IF($A1111=3,OFFSET(E1111,-1,0)+1,OFFSET(E1111,-1,0)))</f>
        <v>0</v>
      </c>
      <c r="F1111">
        <f ca="1">IF(AND($A1111&lt;=3,$A1111&lt;&gt;0),0,IF($A1111=4,OFFSET(F1111,-1,0)+1,OFFSET(F1111,-1,0)))</f>
        <v>0</v>
      </c>
      <c r="G1111">
        <f ca="1">IF(AND($A1111&lt;=4,$A1111&lt;&gt;0),0,IF($A1111="S",OFFSET(G1111,-1,0)+1,OFFSET(G1111,-1,0)))</f>
        <v>16</v>
      </c>
      <c r="H1111">
        <f ca="1">IF(OR($A1111="S",$A1111=0),0,MATCH(0,OFFSET($B1111,1,$A1111,ROW($A$1504)-ROW($A1111)),0))</f>
        <v>0</v>
      </c>
      <c r="I1111">
        <f ca="1">IF(OR($A1111="S",$A1111=0),0,MATCH(OFFSET($B1111,0,$A1111)+1,OFFSET($B1111,1,$A1111,ROW($A$1504)-ROW($A1111)),0))</f>
        <v>0</v>
      </c>
      <c r="J1111" s="132" t="s">
        <v>29</v>
      </c>
      <c r="K1111" s="121" t="str">
        <f ca="1">IF($A1111=0,"-",CONCATENATE(C1111&amp;".",IF(AND($A$5&gt;=2,$A1111&gt;=2),D1111&amp;".",""),IF(AND($A$5&gt;=3,$A1111&gt;=3),E1111&amp;".",""),IF(AND($A$5&gt;=4,$A1111&gt;=4),F1111&amp;".",""),IF($A1111="S",G1111&amp;".","")))</f>
        <v>12.6.16.</v>
      </c>
      <c r="L1111" s="137" t="str">
        <f ca="1">IF(NOT(ISERROR($Y1111)),IF($Y1111&lt;&gt;FALSE,INDEX(Banco,$Y1111,4),""),"")</f>
        <v>Cotação</v>
      </c>
      <c r="M1111" s="122" t="s">
        <v>80</v>
      </c>
      <c r="N1111" s="139" t="s">
        <v>171</v>
      </c>
      <c r="O1111" s="137" t="str">
        <f ca="1">IF(NOT(ISERROR($Y1111)),IF($Y1111&lt;&gt;FALSE,INDEX(Banco,$Y1111,5),""),"")</f>
        <v xml:space="preserve">Refrigerantes (02 litros) </v>
      </c>
      <c r="P1111" s="138" t="str">
        <f ca="1">IF(NOT(ISERROR($Y1111)),IF($Y1111&lt;&gt;FALSE,INDEX(Banco,$Y1111,6),""),"")</f>
        <v>Unidade</v>
      </c>
      <c r="Q1111" s="134">
        <v>20</v>
      </c>
      <c r="R1111" s="124">
        <f ca="1">IF(NOT(ISERROR($Y1111)),IF($Y1111&lt;&gt;FALSE,INDEX(Banco,$Y1111,7),0),0)</f>
        <v>6</v>
      </c>
      <c r="S1111" s="136" t="s">
        <v>62</v>
      </c>
      <c r="T1111" s="123">
        <f ca="1">IF($J1111=$G$2,ROUND(ROUND($R1111,2)*IF($R$9="Preço Unitário (R$)",1,1+$AA1111),2),0)</f>
        <v>7.5</v>
      </c>
      <c r="U1111" s="126">
        <f ca="1">IF($A1111="S",VTOTAL1,IF($A1111=0,0,ROUND(SomaAgrup,2)))</f>
        <v>150</v>
      </c>
      <c r="V1111" s="1"/>
      <c r="W1111" s="39" t="str">
        <f ca="1">IF(OR($A1111=0,$A1111="S",$A1111&gt;CFF!$A$9),"",MAX(W$11:OFFSET(W1111,-1,0))+1)</f>
        <v/>
      </c>
      <c r="X1111" s="4" t="str">
        <f>IF(AND($J1111=$G$2,$N1111&lt;&gt;"",$M1111&lt;&gt;""),CONCATENATE($M1111,"-",$N1111))</f>
        <v>Serv. Terc.-027</v>
      </c>
      <c r="Y1111" s="39">
        <f ca="1">IF(X1111&lt;&gt;FALSE,MATCH(X1111,OFFSET(Banco,0,0,,1),0))</f>
        <v>107</v>
      </c>
      <c r="Z1111" s="1"/>
      <c r="AA1111" s="133">
        <f>IF($J1111=$G$2,ROUND(IF(ISNUMBER(S1111),S1111,IF(LEFT(S1111,2)="DI",HLOOKUP(S1111,DADOS!$T$29:$X$30,2,FALSE),0)),4),"")</f>
        <v>0.25</v>
      </c>
      <c r="AB1111" s="2"/>
    </row>
    <row r="1112" spans="1:28">
      <c r="A1112" t="str">
        <f>CHOOSE(1+LOG(1+2*(J1112=$C$2)+4*(J1112=$D$2)+8*(J1112=$E$2)+16*(J1112=$F$2)+32*(J1112=$G$2),2),0,1,2,3,4,"S")</f>
        <v>S</v>
      </c>
      <c r="B1112">
        <f>IF(OR(A1112="S",A1112=0),0,IF(ISERROR(I1112),H1112,SMALL(H1112:I1112,1)))</f>
        <v>0</v>
      </c>
      <c r="C1112">
        <f ca="1">IF($A1112=1,OFFSET(C1112,-1,0)+1,OFFSET(C1112,-1,0))</f>
        <v>12</v>
      </c>
      <c r="D1112">
        <f ca="1">IF($A1112=1,0,IF($A1112=2,OFFSET(D1112,-1,0)+1,OFFSET(D1112,-1,0)))</f>
        <v>6</v>
      </c>
      <c r="E1112">
        <f ca="1">IF(AND($A1112&lt;=2,$A1112&lt;&gt;0),0,IF($A1112=3,OFFSET(E1112,-1,0)+1,OFFSET(E1112,-1,0)))</f>
        <v>0</v>
      </c>
      <c r="F1112">
        <f ca="1">IF(AND($A1112&lt;=3,$A1112&lt;&gt;0),0,IF($A1112=4,OFFSET(F1112,-1,0)+1,OFFSET(F1112,-1,0)))</f>
        <v>0</v>
      </c>
      <c r="G1112">
        <f ca="1">IF(AND($A1112&lt;=4,$A1112&lt;&gt;0),0,IF($A1112="S",OFFSET(G1112,-1,0)+1,OFFSET(G1112,-1,0)))</f>
        <v>17</v>
      </c>
      <c r="H1112">
        <f ca="1">IF(OR($A1112="S",$A1112=0),0,MATCH(0,OFFSET($B1112,1,$A1112,ROW($A$1504)-ROW($A1112)),0))</f>
        <v>0</v>
      </c>
      <c r="I1112">
        <f ca="1">IF(OR($A1112="S",$A1112=0),0,MATCH(OFFSET($B1112,0,$A1112)+1,OFFSET($B1112,1,$A1112,ROW($A$1504)-ROW($A1112)),0))</f>
        <v>0</v>
      </c>
      <c r="J1112" s="132" t="s">
        <v>29</v>
      </c>
      <c r="K1112" s="121" t="str">
        <f ca="1">IF($A1112=0,"-",CONCATENATE(C1112&amp;".",IF(AND($A$5&gt;=2,$A1112&gt;=2),D1112&amp;".",""),IF(AND($A$5&gt;=3,$A1112&gt;=3),E1112&amp;".",""),IF(AND($A$5&gt;=4,$A1112&gt;=4),F1112&amp;".",""),IF($A1112="S",G1112&amp;".","")))</f>
        <v>12.6.17.</v>
      </c>
      <c r="L1112" s="137" t="str">
        <f ca="1">IF(NOT(ISERROR($Y1112)),IF($Y1112&lt;&gt;FALSE,INDEX(Banco,$Y1112,4),""),"")</f>
        <v>Cotação</v>
      </c>
      <c r="M1112" s="122" t="s">
        <v>79</v>
      </c>
      <c r="N1112" s="139" t="s">
        <v>164</v>
      </c>
      <c r="O1112" s="137" t="str">
        <f ca="1">IF(NOT(ISERROR($Y1112)),IF($Y1112&lt;&gt;FALSE,INDEX(Banco,$Y1112,5),""),"")</f>
        <v>Copos descartáveis (2500 unidades)</v>
      </c>
      <c r="P1112" s="138" t="str">
        <f ca="1">IF(NOT(ISERROR($Y1112)),IF($Y1112&lt;&gt;FALSE,INDEX(Banco,$Y1112,6),""),"")</f>
        <v>Caixa</v>
      </c>
      <c r="Q1112" s="134">
        <v>1</v>
      </c>
      <c r="R1112" s="124">
        <f ca="1">IF(NOT(ISERROR($Y1112)),IF($Y1112&lt;&gt;FALSE,INDEX(Banco,$Y1112,7),0),0)</f>
        <v>77.400000000000006</v>
      </c>
      <c r="S1112" s="136" t="s">
        <v>62</v>
      </c>
      <c r="T1112" s="123">
        <f ca="1">IF($J1112=$G$2,ROUND(ROUND($R1112,2)*IF($R$9="Preço Unitário (R$)",1,1+$AA1112),2),0)</f>
        <v>96.75</v>
      </c>
      <c r="U1112" s="126">
        <f ca="1">IF($A1112="S",VTOTAL1,IF($A1112=0,0,ROUND(SomaAgrup,2)))</f>
        <v>96.75</v>
      </c>
      <c r="V1112" s="1"/>
      <c r="W1112" s="39" t="str">
        <f ca="1">IF(OR($A1112=0,$A1112="S",$A1112&gt;CFF!$A$9),"",MAX(W$11:OFFSET(W1112,-1,0))+1)</f>
        <v/>
      </c>
      <c r="X1112" s="4" t="str">
        <f>IF(AND($J1112=$G$2,$N1112&lt;&gt;"",$M1112&lt;&gt;""),CONCATENATE($M1112,"-",$N1112))</f>
        <v>Rec. Materiais-019</v>
      </c>
      <c r="Y1112" s="39">
        <f ca="1">IF(X1112&lt;&gt;FALSE,MATCH(X1112,OFFSET(Banco,0,0,,1),0))</f>
        <v>28</v>
      </c>
      <c r="Z1112" s="1"/>
      <c r="AA1112" s="133">
        <f>IF($J1112=$G$2,ROUND(IF(ISNUMBER(S1112),S1112,IF(LEFT(S1112,2)="DI",HLOOKUP(S1112,DADOS!$T$29:$X$30,2,FALSE),0)),4),"")</f>
        <v>0.25</v>
      </c>
      <c r="AB1112" s="2"/>
    </row>
    <row r="1113" spans="1:28">
      <c r="A1113" t="str">
        <f t="shared" ref="A1113:A1119" si="1414">CHOOSE(1+LOG(1+2*(J1113=$C$2)+4*(J1113=$D$2)+8*(J1113=$E$2)+16*(J1113=$F$2)+32*(J1113=$G$2),2),0,1,2,3,4,"S")</f>
        <v>S</v>
      </c>
      <c r="B1113">
        <f t="shared" ref="B1113:B1119" si="1415">IF(OR(A1113="S",A1113=0),0,IF(ISERROR(I1113),H1113,SMALL(H1113:I1113,1)))</f>
        <v>0</v>
      </c>
      <c r="C1113">
        <f t="shared" ref="C1113:C1119" ca="1" si="1416">IF($A1113=1,OFFSET(C1113,-1,0)+1,OFFSET(C1113,-1,0))</f>
        <v>12</v>
      </c>
      <c r="D1113">
        <f t="shared" ref="D1113:D1119" ca="1" si="1417">IF($A1113=1,0,IF($A1113=2,OFFSET(D1113,-1,0)+1,OFFSET(D1113,-1,0)))</f>
        <v>6</v>
      </c>
      <c r="E1113">
        <f t="shared" ref="E1113:E1119" ca="1" si="1418">IF(AND($A1113&lt;=2,$A1113&lt;&gt;0),0,IF($A1113=3,OFFSET(E1113,-1,0)+1,OFFSET(E1113,-1,0)))</f>
        <v>0</v>
      </c>
      <c r="F1113">
        <f t="shared" ref="F1113:F1119" ca="1" si="1419">IF(AND($A1113&lt;=3,$A1113&lt;&gt;0),0,IF($A1113=4,OFFSET(F1113,-1,0)+1,OFFSET(F1113,-1,0)))</f>
        <v>0</v>
      </c>
      <c r="G1113">
        <f t="shared" ref="G1113:G1119" ca="1" si="1420">IF(AND($A1113&lt;=4,$A1113&lt;&gt;0),0,IF($A1113="S",OFFSET(G1113,-1,0)+1,OFFSET(G1113,-1,0)))</f>
        <v>18</v>
      </c>
      <c r="H1113">
        <f ca="1">IF(OR($A1113="S",$A1113=0),0,MATCH(0,OFFSET($B1113,1,$A1113,ROW($A$1504)-ROW($A1113)),0))</f>
        <v>0</v>
      </c>
      <c r="I1113">
        <f ca="1">IF(OR($A1113="S",$A1113=0),0,MATCH(OFFSET($B1113,0,$A1113)+1,OFFSET($B1113,1,$A1113,ROW($A$1504)-ROW($A1113)),0))</f>
        <v>0</v>
      </c>
      <c r="J1113" s="132" t="s">
        <v>29</v>
      </c>
      <c r="K1113" s="121" t="str">
        <f t="shared" ref="K1113:K1119" ca="1" si="1421">IF($A1113=0,"-",CONCATENATE(C1113&amp;".",IF(AND($A$5&gt;=2,$A1113&gt;=2),D1113&amp;".",""),IF(AND($A$5&gt;=3,$A1113&gt;=3),E1113&amp;".",""),IF(AND($A$5&gt;=4,$A1113&gt;=4),F1113&amp;".",""),IF($A1113="S",G1113&amp;".","")))</f>
        <v>12.6.18.</v>
      </c>
      <c r="L1113" s="137" t="str">
        <f t="shared" ref="L1113:L1119" ca="1" si="1422">IF(NOT(ISERROR($Y1113)),IF($Y1113&lt;&gt;FALSE,INDEX(Banco,$Y1113,4),""),"")</f>
        <v xml:space="preserve">Cotação </v>
      </c>
      <c r="M1113" s="122" t="s">
        <v>80</v>
      </c>
      <c r="N1113" s="139" t="s">
        <v>159</v>
      </c>
      <c r="O1113" s="137" t="str">
        <f t="shared" ref="O1113:O1118" ca="1" si="1423">IF(NOT(ISERROR($Y1113)),IF($Y1113&lt;&gt;FALSE,INDEX(Banco,$Y1113,5),""),"")</f>
        <v>Brindes ( descrição nos orçamentos e PTS)</v>
      </c>
      <c r="P1113" s="138" t="str">
        <f t="shared" ref="P1113:P1119" ca="1" si="1424">IF(NOT(ISERROR($Y1113)),IF($Y1113&lt;&gt;FALSE,INDEX(Banco,$Y1113,6),""),"")</f>
        <v>Unidade</v>
      </c>
      <c r="Q1113" s="134">
        <v>8</v>
      </c>
      <c r="R1113" s="124">
        <f t="shared" ref="R1113:R1119" ca="1" si="1425">IF(NOT(ISERROR($Y1113)),IF($Y1113&lt;&gt;FALSE,INDEX(Banco,$Y1113,7),0),0)</f>
        <v>120</v>
      </c>
      <c r="S1113" s="136" t="s">
        <v>62</v>
      </c>
      <c r="T1113" s="123">
        <f t="shared" ref="T1113:T1119" ca="1" si="1426">IF($J1113=$G$2,ROUND(ROUND($R1113,2)*IF($R$9="Preço Unitário (R$)",1,1+$AA1113),2),0)</f>
        <v>150</v>
      </c>
      <c r="U1113" s="126">
        <f t="shared" ref="U1113:U1119" ca="1" si="1427">IF($A1113="S",VTOTAL1,IF($A1113=0,0,ROUND(SomaAgrup,2)))</f>
        <v>1200</v>
      </c>
      <c r="V1113" s="1"/>
      <c r="W1113" s="39" t="str">
        <f ca="1">IF(OR($A1113=0,$A1113="S",$A1113&gt;CFF!$A$9),"",MAX(W$11:OFFSET(W1113,-1,0))+1)</f>
        <v/>
      </c>
      <c r="X1113" s="4" t="str">
        <f t="shared" ref="X1113:X1119" si="1428">IF(AND($J1113=$G$2,$N1113&lt;&gt;"",$M1113&lt;&gt;""),CONCATENATE($M1113,"-",$N1113))</f>
        <v>Serv. Terc.-010</v>
      </c>
      <c r="Y1113" s="39">
        <f t="shared" ref="Y1113:Y1119" ca="1" si="1429">IF(X1113&lt;&gt;FALSE,MATCH(X1113,OFFSET(Banco,0,0,,1),0))</f>
        <v>90</v>
      </c>
      <c r="Z1113" s="1"/>
      <c r="AA1113" s="133">
        <f>IF($J1113=$G$2,ROUND(IF(ISNUMBER(S1113),S1113,IF(LEFT(S1113,2)="DI",HLOOKUP(S1113,DADOS!$T$29:$X$30,2,FALSE),0)),4),"")</f>
        <v>0.25</v>
      </c>
      <c r="AB1113" s="2"/>
    </row>
    <row r="1114" spans="1:28">
      <c r="A1114" t="str">
        <f t="shared" si="1414"/>
        <v>S</v>
      </c>
      <c r="B1114">
        <f t="shared" si="1415"/>
        <v>0</v>
      </c>
      <c r="C1114">
        <f t="shared" ca="1" si="1416"/>
        <v>12</v>
      </c>
      <c r="D1114">
        <f t="shared" ca="1" si="1417"/>
        <v>6</v>
      </c>
      <c r="E1114">
        <f t="shared" ca="1" si="1418"/>
        <v>0</v>
      </c>
      <c r="F1114">
        <f t="shared" ca="1" si="1419"/>
        <v>0</v>
      </c>
      <c r="G1114">
        <f t="shared" ca="1" si="1420"/>
        <v>19</v>
      </c>
      <c r="H1114">
        <f ca="1">IF(OR($A1114="S",$A1114=0),0,MATCH(0,OFFSET($B1114,1,$A1114,ROW($A$1504)-ROW($A1114)),0))</f>
        <v>0</v>
      </c>
      <c r="I1114">
        <f ca="1">IF(OR($A1114="S",$A1114=0),0,MATCH(OFFSET($B1114,0,$A1114)+1,OFFSET($B1114,1,$A1114,ROW($A$1504)-ROW($A1114)),0))</f>
        <v>0</v>
      </c>
      <c r="J1114" s="132" t="s">
        <v>29</v>
      </c>
      <c r="K1114" s="121" t="str">
        <f t="shared" ca="1" si="1421"/>
        <v>12.6.19.</v>
      </c>
      <c r="L1114" s="137" t="str">
        <f t="shared" ca="1" si="1422"/>
        <v>Cotação</v>
      </c>
      <c r="M1114" s="122" t="s">
        <v>80</v>
      </c>
      <c r="N1114" s="139" t="s">
        <v>162</v>
      </c>
      <c r="O1114" s="137" t="str">
        <f t="shared" ca="1" si="1423"/>
        <v>Coffee break (salgados)</v>
      </c>
      <c r="P1114" s="138" t="str">
        <f t="shared" ca="1" si="1424"/>
        <v>Centro</v>
      </c>
      <c r="Q1114" s="134">
        <v>15</v>
      </c>
      <c r="R1114" s="124">
        <f t="shared" ca="1" si="1425"/>
        <v>65</v>
      </c>
      <c r="S1114" s="136" t="s">
        <v>62</v>
      </c>
      <c r="T1114" s="123">
        <f t="shared" ca="1" si="1426"/>
        <v>81.25</v>
      </c>
      <c r="U1114" s="126">
        <f t="shared" ca="1" si="1427"/>
        <v>1218.75</v>
      </c>
      <c r="V1114" s="1"/>
      <c r="W1114" s="39" t="str">
        <f ca="1">IF(OR($A1114=0,$A1114="S",$A1114&gt;CFF!$A$9),"",MAX(W$11:OFFSET(W1114,-1,0))+1)</f>
        <v/>
      </c>
      <c r="X1114" s="4" t="str">
        <f t="shared" si="1428"/>
        <v>Serv. Terc.-015</v>
      </c>
      <c r="Y1114" s="39">
        <f t="shared" ca="1" si="1429"/>
        <v>95</v>
      </c>
      <c r="Z1114" s="1"/>
      <c r="AA1114" s="133">
        <f>IF($J1114=$G$2,ROUND(IF(ISNUMBER(S1114),S1114,IF(LEFT(S1114,2)="DI",HLOOKUP(S1114,DADOS!$T$29:$X$30,2,FALSE),0)),4),"")</f>
        <v>0.25</v>
      </c>
      <c r="AB1114" s="2"/>
    </row>
    <row r="1115" spans="1:28">
      <c r="A1115" t="str">
        <f>CHOOSE(1+LOG(1+2*(J1115=$C$2)+4*(J1115=$D$2)+8*(J1115=$E$2)+16*(J1115=$F$2)+32*(J1115=$G$2),2),0,1,2,3,4,"S")</f>
        <v>S</v>
      </c>
      <c r="B1115">
        <f>IF(OR(A1115="S",A1115=0),0,IF(ISERROR(I1115),H1115,SMALL(H1115:I1115,1)))</f>
        <v>0</v>
      </c>
      <c r="C1115">
        <f ca="1">IF($A1115=1,OFFSET(C1115,-1,0)+1,OFFSET(C1115,-1,0))</f>
        <v>12</v>
      </c>
      <c r="D1115">
        <f ca="1">IF($A1115=1,0,IF($A1115=2,OFFSET(D1115,-1,0)+1,OFFSET(D1115,-1,0)))</f>
        <v>6</v>
      </c>
      <c r="E1115">
        <f ca="1">IF(AND($A1115&lt;=2,$A1115&lt;&gt;0),0,IF($A1115=3,OFFSET(E1115,-1,0)+1,OFFSET(E1115,-1,0)))</f>
        <v>0</v>
      </c>
      <c r="F1115">
        <f ca="1">IF(AND($A1115&lt;=3,$A1115&lt;&gt;0),0,IF($A1115=4,OFFSET(F1115,-1,0)+1,OFFSET(F1115,-1,0)))</f>
        <v>0</v>
      </c>
      <c r="G1115">
        <f ca="1">IF(AND($A1115&lt;=4,$A1115&lt;&gt;0),0,IF($A1115="S",OFFSET(G1115,-1,0)+1,OFFSET(G1115,-1,0)))</f>
        <v>20</v>
      </c>
      <c r="H1115">
        <f ca="1">IF(OR($A1115="S",$A1115=0),0,MATCH(0,OFFSET($B1115,1,$A1115,ROW($A$1504)-ROW($A1115)),0))</f>
        <v>0</v>
      </c>
      <c r="I1115">
        <f ca="1">IF(OR($A1115="S",$A1115=0),0,MATCH(OFFSET($B1115,0,$A1115)+1,OFFSET($B1115,1,$A1115,ROW($A$1504)-ROW($A1115)),0))</f>
        <v>0</v>
      </c>
      <c r="J1115" s="132" t="s">
        <v>29</v>
      </c>
      <c r="K1115" s="121" t="str">
        <f ca="1">IF($A1115=0,"-",CONCATENATE(C1115&amp;".",IF(AND($A$5&gt;=2,$A1115&gt;=2),D1115&amp;".",""),IF(AND($A$5&gt;=3,$A1115&gt;=3),E1115&amp;".",""),IF(AND($A$5&gt;=4,$A1115&gt;=4),F1115&amp;".",""),IF($A1115="S",G1115&amp;".","")))</f>
        <v>12.6.20.</v>
      </c>
      <c r="L1115" s="137" t="str">
        <f ca="1">IF(NOT(ISERROR($Y1115)),IF($Y1115&lt;&gt;FALSE,INDEX(Banco,$Y1115,4),""),"")</f>
        <v>COREN</v>
      </c>
      <c r="M1115" s="122" t="s">
        <v>80</v>
      </c>
      <c r="N1115" s="139" t="s">
        <v>246</v>
      </c>
      <c r="O1115" s="137" t="str">
        <f ca="1">IF(NOT(ISERROR($Y1115)),IF($Y1115&lt;&gt;FALSE,INDEX(Banco,$Y1115,5),""),"")</f>
        <v>Enfermeiro padrão</v>
      </c>
      <c r="P1115" s="138" t="str">
        <f ca="1">IF(NOT(ISERROR($Y1115)),IF($Y1115&lt;&gt;FALSE,INDEX(Banco,$Y1115,6),""),"")</f>
        <v>Unidade</v>
      </c>
      <c r="Q1115" s="134">
        <v>6</v>
      </c>
      <c r="R1115" s="124">
        <f ca="1">IF(NOT(ISERROR($Y1115)),IF($Y1115&lt;&gt;FALSE,INDEX(Banco,$Y1115,7),0),0)</f>
        <v>123.02</v>
      </c>
      <c r="S1115" s="136" t="s">
        <v>62</v>
      </c>
      <c r="T1115" s="123">
        <f ca="1">IF($J1115=$G$2,ROUND(ROUND($R1115,2)*IF($R$9="Preço Unitário (R$)",1,1+$AA1115),2),0)</f>
        <v>153.78</v>
      </c>
      <c r="U1115" s="126">
        <f ca="1">IF($A1115="S",VTOTAL1,IF($A1115=0,0,ROUND(SomaAgrup,2)))</f>
        <v>922.68</v>
      </c>
      <c r="V1115" s="1"/>
      <c r="W1115" s="39" t="str">
        <f ca="1">IF(OR($A1115=0,$A1115="S",$A1115&gt;CFF!$A$9),"",MAX(W$11:OFFSET(W1115,-1,0))+1)</f>
        <v/>
      </c>
      <c r="X1115" s="4" t="str">
        <f>IF(AND($J1115=$G$2,$N1115&lt;&gt;"",$M1115&lt;&gt;""),CONCATENATE($M1115,"-",$N1115))</f>
        <v>Serv. Terc.-080</v>
      </c>
      <c r="Y1115" s="39">
        <f ca="1">IF(X1115&lt;&gt;FALSE,MATCH(X1115,OFFSET(Banco,0,0,,1),0))</f>
        <v>160</v>
      </c>
      <c r="Z1115" s="1"/>
      <c r="AA1115" s="133">
        <f>IF($J1115=$G$2,ROUND(IF(ISNUMBER(S1115),S1115,IF(LEFT(S1115,2)="DI",HLOOKUP(S1115,DADOS!$T$29:$X$30,2,FALSE),0)),4),"")</f>
        <v>0.25</v>
      </c>
      <c r="AB1115" s="2"/>
    </row>
    <row r="1116" spans="1:28">
      <c r="A1116" t="str">
        <f t="shared" si="1414"/>
        <v>S</v>
      </c>
      <c r="B1116">
        <f t="shared" si="1415"/>
        <v>0</v>
      </c>
      <c r="C1116">
        <f t="shared" ca="1" si="1416"/>
        <v>12</v>
      </c>
      <c r="D1116">
        <f t="shared" ca="1" si="1417"/>
        <v>6</v>
      </c>
      <c r="E1116">
        <f t="shared" ca="1" si="1418"/>
        <v>0</v>
      </c>
      <c r="F1116">
        <f t="shared" ca="1" si="1419"/>
        <v>0</v>
      </c>
      <c r="G1116">
        <f t="shared" ca="1" si="1420"/>
        <v>21</v>
      </c>
      <c r="H1116">
        <f ca="1">IF(OR($A1116="S",$A1116=0),0,MATCH(0,OFFSET($B1116,1,$A1116,ROW($A$1504)-ROW($A1116)),0))</f>
        <v>0</v>
      </c>
      <c r="I1116">
        <f ca="1">IF(OR($A1116="S",$A1116=0),0,MATCH(OFFSET($B1116,0,$A1116)+1,OFFSET($B1116,1,$A1116,ROW($A$1504)-ROW($A1116)),0))</f>
        <v>0</v>
      </c>
      <c r="J1116" s="132" t="s">
        <v>29</v>
      </c>
      <c r="K1116" s="121" t="str">
        <f t="shared" ca="1" si="1421"/>
        <v>12.6.21.</v>
      </c>
      <c r="L1116" s="137" t="str">
        <f t="shared" ca="1" si="1422"/>
        <v>Cotação</v>
      </c>
      <c r="M1116" s="122" t="s">
        <v>79</v>
      </c>
      <c r="N1116" s="139" t="s">
        <v>163</v>
      </c>
      <c r="O1116" s="137" t="str">
        <f t="shared" ca="1" si="1423"/>
        <v>Guloseimas (balas e pirulito)</v>
      </c>
      <c r="P1116" s="138" t="str">
        <f t="shared" ca="1" si="1424"/>
        <v>Pacote</v>
      </c>
      <c r="Q1116" s="134">
        <v>8</v>
      </c>
      <c r="R1116" s="124">
        <f t="shared" ca="1" si="1425"/>
        <v>12</v>
      </c>
      <c r="S1116" s="136" t="s">
        <v>62</v>
      </c>
      <c r="T1116" s="123">
        <f t="shared" ca="1" si="1426"/>
        <v>15</v>
      </c>
      <c r="U1116" s="126">
        <f t="shared" ca="1" si="1427"/>
        <v>120</v>
      </c>
      <c r="V1116" s="1"/>
      <c r="W1116" s="39" t="str">
        <f ca="1">IF(OR($A1116=0,$A1116="S",$A1116&gt;CFF!$A$9),"",MAX(W$11:OFFSET(W1116,-1,0))+1)</f>
        <v/>
      </c>
      <c r="X1116" s="4" t="str">
        <f t="shared" si="1428"/>
        <v>Rec. Materiais-020</v>
      </c>
      <c r="Y1116" s="39">
        <f t="shared" ca="1" si="1429"/>
        <v>29</v>
      </c>
      <c r="Z1116" s="1"/>
      <c r="AA1116" s="133">
        <f>IF($J1116=$G$2,ROUND(IF(ISNUMBER(S1116),S1116,IF(LEFT(S1116,2)="DI",HLOOKUP(S1116,DADOS!$T$29:$X$30,2,FALSE),0)),4),"")</f>
        <v>0.25</v>
      </c>
      <c r="AB1116" s="2"/>
    </row>
    <row r="1117" spans="1:28">
      <c r="A1117" t="str">
        <f t="shared" si="1414"/>
        <v>S</v>
      </c>
      <c r="B1117">
        <f t="shared" si="1415"/>
        <v>0</v>
      </c>
      <c r="C1117">
        <f t="shared" ca="1" si="1416"/>
        <v>12</v>
      </c>
      <c r="D1117">
        <f t="shared" ca="1" si="1417"/>
        <v>6</v>
      </c>
      <c r="E1117">
        <f t="shared" ca="1" si="1418"/>
        <v>0</v>
      </c>
      <c r="F1117">
        <f t="shared" ca="1" si="1419"/>
        <v>0</v>
      </c>
      <c r="G1117">
        <f t="shared" ca="1" si="1420"/>
        <v>22</v>
      </c>
      <c r="H1117">
        <f ca="1">IF(OR($A1117="S",$A1117=0),0,MATCH(0,OFFSET($B1117,1,$A1117,ROW($A$1504)-ROW($A1117)),0))</f>
        <v>0</v>
      </c>
      <c r="I1117">
        <f ca="1">IF(OR($A1117="S",$A1117=0),0,MATCH(OFFSET($B1117,0,$A1117)+1,OFFSET($B1117,1,$A1117,ROW($A$1504)-ROW($A1117)),0))</f>
        <v>0</v>
      </c>
      <c r="J1117" s="132" t="s">
        <v>29</v>
      </c>
      <c r="K1117" s="121" t="str">
        <f t="shared" ca="1" si="1421"/>
        <v>12.6.22.</v>
      </c>
      <c r="L1117" s="137" t="str">
        <f t="shared" ca="1" si="1422"/>
        <v>Cotação</v>
      </c>
      <c r="M1117" s="122" t="s">
        <v>79</v>
      </c>
      <c r="N1117" s="139" t="s">
        <v>165</v>
      </c>
      <c r="O1117" s="137" t="str">
        <f t="shared" ca="1" si="1423"/>
        <v>Papel de presente</v>
      </c>
      <c r="P1117" s="138" t="str">
        <f t="shared" ca="1" si="1424"/>
        <v>Folhas</v>
      </c>
      <c r="Q1117" s="134">
        <v>16</v>
      </c>
      <c r="R1117" s="124">
        <f t="shared" ca="1" si="1425"/>
        <v>1.5</v>
      </c>
      <c r="S1117" s="136" t="s">
        <v>62</v>
      </c>
      <c r="T1117" s="123">
        <f t="shared" ca="1" si="1426"/>
        <v>1.88</v>
      </c>
      <c r="U1117" s="126">
        <f t="shared" ca="1" si="1427"/>
        <v>30.08</v>
      </c>
      <c r="V1117" s="1"/>
      <c r="W1117" s="39" t="str">
        <f ca="1">IF(OR($A1117=0,$A1117="S",$A1117&gt;CFF!$A$9),"",MAX(W$11:OFFSET(W1117,-1,0))+1)</f>
        <v/>
      </c>
      <c r="X1117" s="4" t="str">
        <f t="shared" si="1428"/>
        <v>Rec. Materiais-021</v>
      </c>
      <c r="Y1117" s="39">
        <f t="shared" ca="1" si="1429"/>
        <v>30</v>
      </c>
      <c r="Z1117" s="1"/>
      <c r="AA1117" s="133">
        <f>IF($J1117=$G$2,ROUND(IF(ISNUMBER(S1117),S1117,IF(LEFT(S1117,2)="DI",HLOOKUP(S1117,DADOS!$T$29:$X$30,2,FALSE),0)),4),"")</f>
        <v>0.25</v>
      </c>
      <c r="AB1117" s="2"/>
    </row>
    <row r="1118" spans="1:28">
      <c r="A1118" t="str">
        <f t="shared" si="1414"/>
        <v>S</v>
      </c>
      <c r="B1118">
        <f t="shared" si="1415"/>
        <v>0</v>
      </c>
      <c r="C1118">
        <f t="shared" ca="1" si="1416"/>
        <v>12</v>
      </c>
      <c r="D1118">
        <f t="shared" ca="1" si="1417"/>
        <v>6</v>
      </c>
      <c r="E1118">
        <f t="shared" ca="1" si="1418"/>
        <v>0</v>
      </c>
      <c r="F1118">
        <f t="shared" ca="1" si="1419"/>
        <v>0</v>
      </c>
      <c r="G1118">
        <f t="shared" ca="1" si="1420"/>
        <v>23</v>
      </c>
      <c r="H1118">
        <f ca="1">IF(OR($A1118="S",$A1118=0),0,MATCH(0,OFFSET($B1118,1,$A1118,ROW($A$1504)-ROW($A1118)),0))</f>
        <v>0</v>
      </c>
      <c r="I1118">
        <f ca="1">IF(OR($A1118="S",$A1118=0),0,MATCH(OFFSET($B1118,0,$A1118)+1,OFFSET($B1118,1,$A1118,ROW($A$1504)-ROW($A1118)),0))</f>
        <v>0</v>
      </c>
      <c r="J1118" s="132" t="s">
        <v>29</v>
      </c>
      <c r="K1118" s="121" t="str">
        <f t="shared" ca="1" si="1421"/>
        <v>12.6.23.</v>
      </c>
      <c r="L1118" s="137" t="str">
        <f t="shared" ca="1" si="1422"/>
        <v>Cotação</v>
      </c>
      <c r="M1118" s="122" t="s">
        <v>79</v>
      </c>
      <c r="N1118" s="139" t="s">
        <v>170</v>
      </c>
      <c r="O1118" s="137" t="str">
        <f t="shared" ca="1" si="1423"/>
        <v>Saco de lixo (100 litros)</v>
      </c>
      <c r="P1118" s="138" t="str">
        <f t="shared" ca="1" si="1424"/>
        <v>Pacote</v>
      </c>
      <c r="Q1118" s="134">
        <v>2</v>
      </c>
      <c r="R1118" s="124">
        <f t="shared" ca="1" si="1425"/>
        <v>15</v>
      </c>
      <c r="S1118" s="136" t="s">
        <v>62</v>
      </c>
      <c r="T1118" s="123">
        <f t="shared" ca="1" si="1426"/>
        <v>18.75</v>
      </c>
      <c r="U1118" s="126">
        <f t="shared" ca="1" si="1427"/>
        <v>37.5</v>
      </c>
      <c r="V1118" s="1"/>
      <c r="W1118" s="39" t="str">
        <f ca="1">IF(OR($A1118=0,$A1118="S",$A1118&gt;CFF!$A$9),"",MAX(W$11:OFFSET(W1118,-1,0))+1)</f>
        <v/>
      </c>
      <c r="X1118" s="4" t="str">
        <f t="shared" si="1428"/>
        <v>Rec. Materiais-026</v>
      </c>
      <c r="Y1118" s="39">
        <f t="shared" ca="1" si="1429"/>
        <v>35</v>
      </c>
      <c r="Z1118" s="1"/>
      <c r="AA1118" s="133">
        <f>IF($J1118=$G$2,ROUND(IF(ISNUMBER(S1118),S1118,IF(LEFT(S1118,2)="DI",HLOOKUP(S1118,DADOS!$T$29:$X$30,2,FALSE),0)),4),"")</f>
        <v>0.25</v>
      </c>
      <c r="AB1118" s="2"/>
    </row>
    <row r="1119" spans="1:28">
      <c r="A1119" t="str">
        <f t="shared" si="1414"/>
        <v>S</v>
      </c>
      <c r="B1119">
        <f t="shared" si="1415"/>
        <v>0</v>
      </c>
      <c r="C1119">
        <f t="shared" ca="1" si="1416"/>
        <v>12</v>
      </c>
      <c r="D1119">
        <f t="shared" ca="1" si="1417"/>
        <v>6</v>
      </c>
      <c r="E1119">
        <f t="shared" ca="1" si="1418"/>
        <v>0</v>
      </c>
      <c r="F1119">
        <f t="shared" ca="1" si="1419"/>
        <v>0</v>
      </c>
      <c r="G1119">
        <f t="shared" ca="1" si="1420"/>
        <v>24</v>
      </c>
      <c r="H1119">
        <f ca="1">IF(OR($A1119="S",$A1119=0),0,MATCH(0,OFFSET($B1119,1,$A1119,ROW($A$1504)-ROW($A1119)),0))</f>
        <v>0</v>
      </c>
      <c r="I1119">
        <f ca="1">IF(OR($A1119="S",$A1119=0),0,MATCH(OFFSET($B1119,0,$A1119)+1,OFFSET($B1119,1,$A1119,ROW($A$1504)-ROW($A1119)),0))</f>
        <v>0</v>
      </c>
      <c r="J1119" s="132" t="s">
        <v>29</v>
      </c>
      <c r="K1119" s="121" t="str">
        <f t="shared" ca="1" si="1421"/>
        <v>12.6.24.</v>
      </c>
      <c r="L1119" s="137" t="str">
        <f t="shared" ca="1" si="1422"/>
        <v>Cotação</v>
      </c>
      <c r="M1119" s="122" t="s">
        <v>80</v>
      </c>
      <c r="N1119" s="139" t="s">
        <v>255</v>
      </c>
      <c r="O1119" s="137" t="str">
        <f ca="1">IF(NOT(ISERROR($Y1119)),IF($Y1119&lt;&gt;FALSE,INDEX(Banco,$Y1119,5),""),"")</f>
        <v>Informativos 04 pgs, 15x21 cm, 4 cores, tinta escala em couche</v>
      </c>
      <c r="P1119" s="138" t="str">
        <f t="shared" ca="1" si="1424"/>
        <v>Unidade</v>
      </c>
      <c r="Q1119" s="134">
        <v>656</v>
      </c>
      <c r="R1119" s="124">
        <f t="shared" ca="1" si="1425"/>
        <v>6</v>
      </c>
      <c r="S1119" s="136" t="s">
        <v>62</v>
      </c>
      <c r="T1119" s="123">
        <f t="shared" ca="1" si="1426"/>
        <v>7.5</v>
      </c>
      <c r="U1119" s="126">
        <f t="shared" ca="1" si="1427"/>
        <v>4920</v>
      </c>
      <c r="V1119" s="1"/>
      <c r="W1119" s="39" t="str">
        <f ca="1">IF(OR($A1119=0,$A1119="S",$A1119&gt;CFF!$A$9),"",MAX(W$11:OFFSET(W1119,-1,0))+1)</f>
        <v/>
      </c>
      <c r="X1119" s="4" t="str">
        <f t="shared" si="1428"/>
        <v>Serv. Terc.-069</v>
      </c>
      <c r="Y1119" s="39">
        <f t="shared" ca="1" si="1429"/>
        <v>149</v>
      </c>
      <c r="Z1119" s="1"/>
      <c r="AA1119" s="133">
        <f>IF($J1119=$G$2,ROUND(IF(ISNUMBER(S1119),S1119,IF(LEFT(S1119,2)="DI",HLOOKUP(S1119,DADOS!$T$29:$X$30,2,FALSE),0)),4),"")</f>
        <v>0.25</v>
      </c>
      <c r="AB1119" s="2"/>
    </row>
    <row r="1120" spans="1:28" ht="25.5">
      <c r="A1120">
        <f t="shared" ref="A1120:A1129" si="1430">CHOOSE(1+LOG(1+2*(J1120=$C$2)+4*(J1120=$D$2)+8*(J1120=$E$2)+16*(J1120=$F$2)+32*(J1120=$G$2),2),0,1,2,3,4,"S")</f>
        <v>2</v>
      </c>
      <c r="B1120">
        <f t="shared" ref="B1120:B1129" ca="1" si="1431">IF(OR(A1120="S",A1120=0),0,IF(ISERROR(I1120),H1120,SMALL(H1120:I1120,1)))</f>
        <v>4</v>
      </c>
      <c r="C1120">
        <f t="shared" ref="C1120:C1129" ca="1" si="1432">IF($A1120=1,OFFSET(C1120,-1,0)+1,OFFSET(C1120,-1,0))</f>
        <v>12</v>
      </c>
      <c r="D1120">
        <f t="shared" ref="D1120:D1129" ca="1" si="1433">IF($A1120=1,0,IF($A1120=2,OFFSET(D1120,-1,0)+1,OFFSET(D1120,-1,0)))</f>
        <v>7</v>
      </c>
      <c r="E1120">
        <f t="shared" ref="E1120:E1129" ca="1" si="1434">IF(AND($A1120&lt;=2,$A1120&lt;&gt;0),0,IF($A1120=3,OFFSET(E1120,-1,0)+1,OFFSET(E1120,-1,0)))</f>
        <v>0</v>
      </c>
      <c r="F1120">
        <f t="shared" ref="F1120:F1129" ca="1" si="1435">IF(AND($A1120&lt;=3,$A1120&lt;&gt;0),0,IF($A1120=4,OFFSET(F1120,-1,0)+1,OFFSET(F1120,-1,0)))</f>
        <v>0</v>
      </c>
      <c r="G1120">
        <f t="shared" ref="G1120:G1129" ca="1" si="1436">IF(AND($A1120&lt;=4,$A1120&lt;&gt;0),0,IF($A1120="S",OFFSET(G1120,-1,0)+1,OFFSET(G1120,-1,0)))</f>
        <v>0</v>
      </c>
      <c r="H1120">
        <f ca="1">IF(OR($A1120="S",$A1120=0),0,MATCH(0,OFFSET($B1120,1,$A1120,ROW($A$1504)-ROW($A1120)),0))</f>
        <v>8</v>
      </c>
      <c r="I1120">
        <f ca="1">IF(OR($A1120="S",$A1120=0),0,MATCH(OFFSET($B1120,0,$A1120)+1,OFFSET($B1120,1,$A1120,ROW($A$1504)-ROW($A1120)),0))</f>
        <v>4</v>
      </c>
      <c r="J1120" s="132" t="s">
        <v>68</v>
      </c>
      <c r="K1120" s="121" t="str">
        <f t="shared" ref="K1120:K1129" ca="1" si="1437">IF($A1120=0,"-",CONCATENATE(C1120&amp;".",IF(AND($A$5&gt;=2,$A1120&gt;=2),D1120&amp;".",""),IF(AND($A$5&gt;=3,$A1120&gt;=3),E1120&amp;".",""),IF(AND($A$5&gt;=4,$A1120&gt;=4),F1120&amp;".",""),IF($A1120="S",G1120&amp;".","")))</f>
        <v>12.7.</v>
      </c>
      <c r="L1120" s="137" t="str">
        <f t="shared" ref="L1120:L1129" ca="1" si="1438">IF(NOT(ISERROR($Y1120)),IF($Y1120&lt;&gt;FALSE,INDEX(Banco,$Y1120,4),""),"")</f>
        <v/>
      </c>
      <c r="M1120" s="122"/>
      <c r="N1120" s="139"/>
      <c r="O1120" s="137" t="s">
        <v>449</v>
      </c>
      <c r="P1120" s="138" t="str">
        <f t="shared" ref="P1120:P1129" ca="1" si="1439">IF(NOT(ISERROR($Y1120)),IF($Y1120&lt;&gt;FALSE,INDEX(Banco,$Y1120,6),""),"")</f>
        <v/>
      </c>
      <c r="Q1120" s="134"/>
      <c r="R1120" s="124">
        <f t="shared" ref="R1120:R1129" ca="1" si="1440">IF(NOT(ISERROR($Y1120)),IF($Y1120&lt;&gt;FALSE,INDEX(Banco,$Y1120,7),0),0)</f>
        <v>0</v>
      </c>
      <c r="S1120" s="136" t="s">
        <v>62</v>
      </c>
      <c r="T1120" s="123">
        <f t="shared" ref="T1120:T1129" si="1441">IF($J1120=$G$2,ROUND(ROUND($R1120,2)*IF($R$9="Preço Unitário (R$)",1,1+$AA1120),2),0)</f>
        <v>0</v>
      </c>
      <c r="U1120" s="126">
        <f t="shared" ref="U1120:U1129" ca="1" si="1442">IF($A1120="S",VTOTAL1,IF($A1120=0,0,ROUND(SomaAgrup,2)))</f>
        <v>1085.33</v>
      </c>
      <c r="V1120" s="1"/>
      <c r="W1120" s="39">
        <f ca="1">IF(OR($A1120=0,$A1120="S",$A1120&gt;CFF!$A$9),"",MAX(W$11:OFFSET(W1120,-1,0))+1)</f>
        <v>97</v>
      </c>
      <c r="X1120" s="4" t="b">
        <f t="shared" ref="X1120:X1129" si="1443">IF(AND($J1120=$G$2,$N1120&lt;&gt;"",$M1120&lt;&gt;""),CONCATENATE($M1120,"-",$N1120))</f>
        <v>0</v>
      </c>
      <c r="Y1120" s="39" t="b">
        <f t="shared" ref="Y1120:Y1129" ca="1" si="1444">IF(X1120&lt;&gt;FALSE,MATCH(X1120,OFFSET(Banco,0,0,,1),0))</f>
        <v>0</v>
      </c>
      <c r="Z1120" s="1"/>
      <c r="AA1120" s="133" t="str">
        <f>IF($J1120=$G$2,ROUND(IF(ISNUMBER(S1120),S1120,IF(LEFT(S1120,2)="DI",HLOOKUP(S1120,DADOS!$T$29:$X$30,2,FALSE),0)),4),"")</f>
        <v/>
      </c>
      <c r="AB1120" s="2"/>
    </row>
    <row r="1121" spans="1:28">
      <c r="A1121" t="str">
        <f t="shared" si="1430"/>
        <v>S</v>
      </c>
      <c r="B1121">
        <f t="shared" si="1431"/>
        <v>0</v>
      </c>
      <c r="C1121">
        <f t="shared" ca="1" si="1432"/>
        <v>12</v>
      </c>
      <c r="D1121">
        <f t="shared" ca="1" si="1433"/>
        <v>7</v>
      </c>
      <c r="E1121">
        <f t="shared" ca="1" si="1434"/>
        <v>0</v>
      </c>
      <c r="F1121">
        <f t="shared" ca="1" si="1435"/>
        <v>0</v>
      </c>
      <c r="G1121">
        <f t="shared" ca="1" si="1436"/>
        <v>1</v>
      </c>
      <c r="H1121">
        <f ca="1">IF(OR($A1121="S",$A1121=0),0,MATCH(0,OFFSET($B1121,1,$A1121,ROW($A$1504)-ROW($A1121)),0))</f>
        <v>0</v>
      </c>
      <c r="I1121">
        <f ca="1">IF(OR($A1121="S",$A1121=0),0,MATCH(OFFSET($B1121,0,$A1121)+1,OFFSET($B1121,1,$A1121,ROW($A$1504)-ROW($A1121)),0))</f>
        <v>0</v>
      </c>
      <c r="J1121" s="132" t="s">
        <v>29</v>
      </c>
      <c r="K1121" s="121" t="str">
        <f t="shared" ca="1" si="1437"/>
        <v>12.7.1.</v>
      </c>
      <c r="L1121" s="137" t="str">
        <f t="shared" ca="1" si="1438"/>
        <v>CRESS</v>
      </c>
      <c r="M1121" s="122" t="s">
        <v>78</v>
      </c>
      <c r="N1121" s="139" t="s">
        <v>149</v>
      </c>
      <c r="O1121" s="137" t="str">
        <f ca="1">IF(NOT(ISERROR($Y1121)),IF($Y1121&lt;&gt;FALSE,INDEX(Banco,$Y1121,5),""),"")</f>
        <v>Responsável Técnica</v>
      </c>
      <c r="P1121" s="138" t="str">
        <f t="shared" ca="1" si="1439"/>
        <v>Horas</v>
      </c>
      <c r="Q1121" s="134">
        <v>3</v>
      </c>
      <c r="R1121" s="124">
        <f t="shared" ca="1" si="1440"/>
        <v>150.28</v>
      </c>
      <c r="S1121" s="136" t="s">
        <v>62</v>
      </c>
      <c r="T1121" s="123">
        <f t="shared" ca="1" si="1441"/>
        <v>187.85</v>
      </c>
      <c r="U1121" s="126">
        <f t="shared" ca="1" si="1442"/>
        <v>563.54999999999995</v>
      </c>
      <c r="V1121" s="1"/>
      <c r="W1121" s="39" t="str">
        <f ca="1">IF(OR($A1121=0,$A1121="S",$A1121&gt;CFF!$A$9),"",MAX(W$11:OFFSET(W1121,-1,0))+1)</f>
        <v/>
      </c>
      <c r="X1121" s="4" t="str">
        <f t="shared" si="1443"/>
        <v>Rec. Humanos-001</v>
      </c>
      <c r="Y1121" s="39">
        <f t="shared" ca="1" si="1444"/>
        <v>3</v>
      </c>
      <c r="Z1121" s="1"/>
      <c r="AA1121" s="133">
        <f>IF($J1121=$G$2,ROUND(IF(ISNUMBER(S1121),S1121,IF(LEFT(S1121,2)="DI",HLOOKUP(S1121,DADOS!$T$29:$X$30,2,FALSE),0)),4),"")</f>
        <v>0.25</v>
      </c>
      <c r="AB1121" s="2"/>
    </row>
    <row r="1122" spans="1:28">
      <c r="A1122" t="str">
        <f t="shared" si="1430"/>
        <v>S</v>
      </c>
      <c r="B1122">
        <f t="shared" si="1431"/>
        <v>0</v>
      </c>
      <c r="C1122">
        <f t="shared" ca="1" si="1432"/>
        <v>12</v>
      </c>
      <c r="D1122">
        <f t="shared" ca="1" si="1433"/>
        <v>7</v>
      </c>
      <c r="E1122">
        <f t="shared" ca="1" si="1434"/>
        <v>0</v>
      </c>
      <c r="F1122">
        <f t="shared" ca="1" si="1435"/>
        <v>0</v>
      </c>
      <c r="G1122">
        <f t="shared" ca="1" si="1436"/>
        <v>2</v>
      </c>
      <c r="H1122">
        <f ca="1">IF(OR($A1122="S",$A1122=0),0,MATCH(0,OFFSET($B1122,1,$A1122,ROW($A$1504)-ROW($A1122)),0))</f>
        <v>0</v>
      </c>
      <c r="I1122">
        <f ca="1">IF(OR($A1122="S",$A1122=0),0,MATCH(OFFSET($B1122,0,$A1122)+1,OFFSET($B1122,1,$A1122,ROW($A$1504)-ROW($A1122)),0))</f>
        <v>0</v>
      </c>
      <c r="J1122" s="132" t="s">
        <v>29</v>
      </c>
      <c r="K1122" s="121" t="str">
        <f t="shared" ca="1" si="1437"/>
        <v>12.7.2.</v>
      </c>
      <c r="L1122" s="137" t="str">
        <f t="shared" ca="1" si="1438"/>
        <v>CRESS</v>
      </c>
      <c r="M1122" s="122" t="s">
        <v>78</v>
      </c>
      <c r="N1122" s="139" t="s">
        <v>152</v>
      </c>
      <c r="O1122" s="137" t="str">
        <f ca="1">IF(NOT(ISERROR($Y1122)),IF($Y1122&lt;&gt;FALSE,INDEX(Banco,$Y1122,5),""),"")</f>
        <v>Assistente Social</v>
      </c>
      <c r="P1122" s="138" t="str">
        <f t="shared" ca="1" si="1439"/>
        <v>Horas</v>
      </c>
      <c r="Q1122" s="134">
        <v>3</v>
      </c>
      <c r="R1122" s="124">
        <f t="shared" ca="1" si="1440"/>
        <v>133.81</v>
      </c>
      <c r="S1122" s="136" t="s">
        <v>62</v>
      </c>
      <c r="T1122" s="123">
        <f t="shared" ca="1" si="1441"/>
        <v>167.26</v>
      </c>
      <c r="U1122" s="126">
        <f t="shared" ca="1" si="1442"/>
        <v>501.78</v>
      </c>
      <c r="V1122" s="1"/>
      <c r="W1122" s="39" t="str">
        <f ca="1">IF(OR($A1122=0,$A1122="S",$A1122&gt;CFF!$A$9),"",MAX(W$11:OFFSET(W1122,-1,0))+1)</f>
        <v/>
      </c>
      <c r="X1122" s="4" t="str">
        <f t="shared" si="1443"/>
        <v>Rec. Humanos-002</v>
      </c>
      <c r="Y1122" s="39">
        <f t="shared" ca="1" si="1444"/>
        <v>4</v>
      </c>
      <c r="Z1122" s="1"/>
      <c r="AA1122" s="133">
        <f>IF($J1122=$G$2,ROUND(IF(ISNUMBER(S1122),S1122,IF(LEFT(S1122,2)="DI",HLOOKUP(S1122,DADOS!$T$29:$X$30,2,FALSE),0)),4),"")</f>
        <v>0.25</v>
      </c>
      <c r="AB1122" s="2"/>
    </row>
    <row r="1123" spans="1:28">
      <c r="A1123" t="str">
        <f t="shared" si="1430"/>
        <v>S</v>
      </c>
      <c r="B1123">
        <f t="shared" si="1431"/>
        <v>0</v>
      </c>
      <c r="C1123">
        <f t="shared" ca="1" si="1432"/>
        <v>12</v>
      </c>
      <c r="D1123">
        <f t="shared" ca="1" si="1433"/>
        <v>7</v>
      </c>
      <c r="E1123">
        <f t="shared" ca="1" si="1434"/>
        <v>0</v>
      </c>
      <c r="F1123">
        <f t="shared" ca="1" si="1435"/>
        <v>0</v>
      </c>
      <c r="G1123">
        <f t="shared" ca="1" si="1436"/>
        <v>3</v>
      </c>
      <c r="H1123">
        <f ca="1">IF(OR($A1123="S",$A1123=0),0,MATCH(0,OFFSET($B1123,1,$A1123,ROW($A$1504)-ROW($A1123)),0))</f>
        <v>0</v>
      </c>
      <c r="I1123">
        <f ca="1">IF(OR($A1123="S",$A1123=0),0,MATCH(OFFSET($B1123,0,$A1123)+1,OFFSET($B1123,1,$A1123,ROW($A$1504)-ROW($A1123)),0))</f>
        <v>0</v>
      </c>
      <c r="J1123" s="132" t="s">
        <v>29</v>
      </c>
      <c r="K1123" s="121" t="str">
        <f t="shared" ca="1" si="1437"/>
        <v>12.7.3.</v>
      </c>
      <c r="L1123" s="137" t="str">
        <f t="shared" ca="1" si="1438"/>
        <v>Cotação</v>
      </c>
      <c r="M1123" s="122" t="s">
        <v>80</v>
      </c>
      <c r="N1123" s="139" t="s">
        <v>158</v>
      </c>
      <c r="O1123" s="137" t="str">
        <f ca="1">IF(NOT(ISERROR($Y1123)),IF($Y1123&lt;&gt;FALSE,INDEX(Banco,$Y1123,5),""),"")</f>
        <v>Água (garrafa de 1,5 litros)</v>
      </c>
      <c r="P1123" s="138" t="str">
        <f t="shared" ca="1" si="1439"/>
        <v>Unidade</v>
      </c>
      <c r="Q1123" s="134">
        <v>4</v>
      </c>
      <c r="R1123" s="124">
        <f t="shared" ca="1" si="1440"/>
        <v>4</v>
      </c>
      <c r="S1123" s="136" t="s">
        <v>62</v>
      </c>
      <c r="T1123" s="123">
        <f t="shared" ca="1" si="1441"/>
        <v>5</v>
      </c>
      <c r="U1123" s="126">
        <f t="shared" ca="1" si="1442"/>
        <v>20</v>
      </c>
      <c r="V1123" s="1"/>
      <c r="W1123" s="39" t="str">
        <f ca="1">IF(OR($A1123=0,$A1123="S",$A1123&gt;CFF!$A$9),"",MAX(W$11:OFFSET(W1123,-1,0))+1)</f>
        <v/>
      </c>
      <c r="X1123" s="4" t="str">
        <f t="shared" si="1443"/>
        <v>Serv. Terc.-009</v>
      </c>
      <c r="Y1123" s="39">
        <f t="shared" ca="1" si="1444"/>
        <v>89</v>
      </c>
      <c r="Z1123" s="1"/>
      <c r="AA1123" s="133">
        <f>IF($J1123=$G$2,ROUND(IF(ISNUMBER(S1123),S1123,IF(LEFT(S1123,2)="DI",HLOOKUP(S1123,DADOS!$T$29:$X$30,2,FALSE),0)),4),"")</f>
        <v>0.25</v>
      </c>
      <c r="AB1123" s="2"/>
    </row>
    <row r="1124" spans="1:28" ht="25.5">
      <c r="A1124">
        <f t="shared" si="1430"/>
        <v>2</v>
      </c>
      <c r="B1124">
        <f t="shared" ca="1" si="1431"/>
        <v>4</v>
      </c>
      <c r="C1124">
        <f t="shared" ca="1" si="1432"/>
        <v>12</v>
      </c>
      <c r="D1124">
        <f t="shared" ca="1" si="1433"/>
        <v>8</v>
      </c>
      <c r="E1124">
        <f t="shared" ca="1" si="1434"/>
        <v>0</v>
      </c>
      <c r="F1124">
        <f t="shared" ca="1" si="1435"/>
        <v>0</v>
      </c>
      <c r="G1124">
        <f t="shared" ca="1" si="1436"/>
        <v>0</v>
      </c>
      <c r="H1124">
        <f ca="1">IF(OR($A1124="S",$A1124=0),0,MATCH(0,OFFSET($B1124,1,$A1124,ROW($A$1504)-ROW($A1124)),0))</f>
        <v>4</v>
      </c>
      <c r="I1124" t="e">
        <f ca="1">IF(OR($A1124="S",$A1124=0),0,MATCH(OFFSET($B1124,0,$A1124)+1,OFFSET($B1124,1,$A1124,ROW($A$1504)-ROW($A1124)),0))</f>
        <v>#N/A</v>
      </c>
      <c r="J1124" s="132" t="s">
        <v>68</v>
      </c>
      <c r="K1124" s="121" t="str">
        <f t="shared" ca="1" si="1437"/>
        <v>12.8.</v>
      </c>
      <c r="L1124" s="137" t="str">
        <f t="shared" ca="1" si="1438"/>
        <v/>
      </c>
      <c r="M1124" s="122"/>
      <c r="N1124" s="139"/>
      <c r="O1124" s="137" t="s">
        <v>451</v>
      </c>
      <c r="P1124" s="138" t="str">
        <f t="shared" ca="1" si="1439"/>
        <v/>
      </c>
      <c r="Q1124" s="134"/>
      <c r="R1124" s="124">
        <f t="shared" ca="1" si="1440"/>
        <v>0</v>
      </c>
      <c r="S1124" s="136" t="s">
        <v>62</v>
      </c>
      <c r="T1124" s="123">
        <f t="shared" si="1441"/>
        <v>0</v>
      </c>
      <c r="U1124" s="126">
        <f t="shared" ca="1" si="1442"/>
        <v>1085.33</v>
      </c>
      <c r="V1124" s="1"/>
      <c r="W1124" s="39">
        <f ca="1">IF(OR($A1124=0,$A1124="S",$A1124&gt;CFF!$A$9),"",MAX(W$11:OFFSET(W1124,-1,0))+1)</f>
        <v>98</v>
      </c>
      <c r="X1124" s="4" t="b">
        <f t="shared" si="1443"/>
        <v>0</v>
      </c>
      <c r="Y1124" s="39" t="b">
        <f t="shared" ca="1" si="1444"/>
        <v>0</v>
      </c>
      <c r="Z1124" s="1"/>
      <c r="AA1124" s="133" t="str">
        <f>IF($J1124=$G$2,ROUND(IF(ISNUMBER(S1124),S1124,IF(LEFT(S1124,2)="DI",HLOOKUP(S1124,DADOS!$T$29:$X$30,2,FALSE),0)),4),"")</f>
        <v/>
      </c>
      <c r="AB1124" s="2"/>
    </row>
    <row r="1125" spans="1:28">
      <c r="A1125" t="str">
        <f t="shared" si="1430"/>
        <v>S</v>
      </c>
      <c r="B1125">
        <f t="shared" si="1431"/>
        <v>0</v>
      </c>
      <c r="C1125">
        <f t="shared" ca="1" si="1432"/>
        <v>12</v>
      </c>
      <c r="D1125">
        <f t="shared" ca="1" si="1433"/>
        <v>8</v>
      </c>
      <c r="E1125">
        <f t="shared" ca="1" si="1434"/>
        <v>0</v>
      </c>
      <c r="F1125">
        <f t="shared" ca="1" si="1435"/>
        <v>0</v>
      </c>
      <c r="G1125">
        <f t="shared" ca="1" si="1436"/>
        <v>1</v>
      </c>
      <c r="H1125">
        <f ca="1">IF(OR($A1125="S",$A1125=0),0,MATCH(0,OFFSET($B1125,1,$A1125,ROW($A$1504)-ROW($A1125)),0))</f>
        <v>0</v>
      </c>
      <c r="I1125">
        <f ca="1">IF(OR($A1125="S",$A1125=0),0,MATCH(OFFSET($B1125,0,$A1125)+1,OFFSET($B1125,1,$A1125,ROW($A$1504)-ROW($A1125)),0))</f>
        <v>0</v>
      </c>
      <c r="J1125" s="132" t="s">
        <v>29</v>
      </c>
      <c r="K1125" s="121" t="str">
        <f t="shared" ca="1" si="1437"/>
        <v>12.8.1.</v>
      </c>
      <c r="L1125" s="137" t="str">
        <f t="shared" ca="1" si="1438"/>
        <v>CRESS</v>
      </c>
      <c r="M1125" s="122" t="s">
        <v>78</v>
      </c>
      <c r="N1125" s="139" t="s">
        <v>149</v>
      </c>
      <c r="O1125" s="137" t="str">
        <f ca="1">IF(NOT(ISERROR($Y1125)),IF($Y1125&lt;&gt;FALSE,INDEX(Banco,$Y1125,5),""),"")</f>
        <v>Responsável Técnica</v>
      </c>
      <c r="P1125" s="138" t="str">
        <f t="shared" ca="1" si="1439"/>
        <v>Horas</v>
      </c>
      <c r="Q1125" s="134">
        <v>3</v>
      </c>
      <c r="R1125" s="124">
        <f t="shared" ca="1" si="1440"/>
        <v>150.28</v>
      </c>
      <c r="S1125" s="136" t="s">
        <v>62</v>
      </c>
      <c r="T1125" s="123">
        <f t="shared" ca="1" si="1441"/>
        <v>187.85</v>
      </c>
      <c r="U1125" s="126">
        <f t="shared" ca="1" si="1442"/>
        <v>563.54999999999995</v>
      </c>
      <c r="V1125" s="1"/>
      <c r="W1125" s="39" t="str">
        <f ca="1">IF(OR($A1125=0,$A1125="S",$A1125&gt;CFF!$A$9),"",MAX(W$11:OFFSET(W1125,-1,0))+1)</f>
        <v/>
      </c>
      <c r="X1125" s="4" t="str">
        <f t="shared" si="1443"/>
        <v>Rec. Humanos-001</v>
      </c>
      <c r="Y1125" s="39">
        <f t="shared" ca="1" si="1444"/>
        <v>3</v>
      </c>
      <c r="Z1125" s="1"/>
      <c r="AA1125" s="133">
        <f>IF($J1125=$G$2,ROUND(IF(ISNUMBER(S1125),S1125,IF(LEFT(S1125,2)="DI",HLOOKUP(S1125,DADOS!$T$29:$X$30,2,FALSE),0)),4),"")</f>
        <v>0.25</v>
      </c>
      <c r="AB1125" s="2"/>
    </row>
    <row r="1126" spans="1:28">
      <c r="A1126" t="str">
        <f t="shared" si="1430"/>
        <v>S</v>
      </c>
      <c r="B1126">
        <f t="shared" si="1431"/>
        <v>0</v>
      </c>
      <c r="C1126">
        <f t="shared" ca="1" si="1432"/>
        <v>12</v>
      </c>
      <c r="D1126">
        <f t="shared" ca="1" si="1433"/>
        <v>8</v>
      </c>
      <c r="E1126">
        <f t="shared" ca="1" si="1434"/>
        <v>0</v>
      </c>
      <c r="F1126">
        <f t="shared" ca="1" si="1435"/>
        <v>0</v>
      </c>
      <c r="G1126">
        <f t="shared" ca="1" si="1436"/>
        <v>2</v>
      </c>
      <c r="H1126">
        <f ca="1">IF(OR($A1126="S",$A1126=0),0,MATCH(0,OFFSET($B1126,1,$A1126,ROW($A$1504)-ROW($A1126)),0))</f>
        <v>0</v>
      </c>
      <c r="I1126">
        <f ca="1">IF(OR($A1126="S",$A1126=0),0,MATCH(OFFSET($B1126,0,$A1126)+1,OFFSET($B1126,1,$A1126,ROW($A$1504)-ROW($A1126)),0))</f>
        <v>0</v>
      </c>
      <c r="J1126" s="132" t="s">
        <v>29</v>
      </c>
      <c r="K1126" s="121" t="str">
        <f t="shared" ca="1" si="1437"/>
        <v>12.8.2.</v>
      </c>
      <c r="L1126" s="137" t="str">
        <f t="shared" ca="1" si="1438"/>
        <v>CRESS</v>
      </c>
      <c r="M1126" s="122" t="s">
        <v>78</v>
      </c>
      <c r="N1126" s="139" t="s">
        <v>152</v>
      </c>
      <c r="O1126" s="137" t="str">
        <f ca="1">IF(NOT(ISERROR($Y1126)),IF($Y1126&lt;&gt;FALSE,INDEX(Banco,$Y1126,5),""),"")</f>
        <v>Assistente Social</v>
      </c>
      <c r="P1126" s="138" t="str">
        <f t="shared" ca="1" si="1439"/>
        <v>Horas</v>
      </c>
      <c r="Q1126" s="134">
        <v>3</v>
      </c>
      <c r="R1126" s="124">
        <f t="shared" ca="1" si="1440"/>
        <v>133.81</v>
      </c>
      <c r="S1126" s="136" t="s">
        <v>62</v>
      </c>
      <c r="T1126" s="123">
        <f t="shared" ca="1" si="1441"/>
        <v>167.26</v>
      </c>
      <c r="U1126" s="126">
        <f t="shared" ca="1" si="1442"/>
        <v>501.78</v>
      </c>
      <c r="V1126" s="1"/>
      <c r="W1126" s="39" t="str">
        <f ca="1">IF(OR($A1126=0,$A1126="S",$A1126&gt;CFF!$A$9),"",MAX(W$11:OFFSET(W1126,-1,0))+1)</f>
        <v/>
      </c>
      <c r="X1126" s="4" t="str">
        <f t="shared" si="1443"/>
        <v>Rec. Humanos-002</v>
      </c>
      <c r="Y1126" s="39">
        <f t="shared" ca="1" si="1444"/>
        <v>4</v>
      </c>
      <c r="Z1126" s="1"/>
      <c r="AA1126" s="133">
        <f>IF($J1126=$G$2,ROUND(IF(ISNUMBER(S1126),S1126,IF(LEFT(S1126,2)="DI",HLOOKUP(S1126,DADOS!$T$29:$X$30,2,FALSE),0)),4),"")</f>
        <v>0.25</v>
      </c>
      <c r="AB1126" s="2"/>
    </row>
    <row r="1127" spans="1:28">
      <c r="A1127" t="str">
        <f t="shared" si="1430"/>
        <v>S</v>
      </c>
      <c r="B1127">
        <f t="shared" si="1431"/>
        <v>0</v>
      </c>
      <c r="C1127">
        <f t="shared" ca="1" si="1432"/>
        <v>12</v>
      </c>
      <c r="D1127">
        <f t="shared" ca="1" si="1433"/>
        <v>8</v>
      </c>
      <c r="E1127">
        <f t="shared" ca="1" si="1434"/>
        <v>0</v>
      </c>
      <c r="F1127">
        <f t="shared" ca="1" si="1435"/>
        <v>0</v>
      </c>
      <c r="G1127">
        <f t="shared" ca="1" si="1436"/>
        <v>3</v>
      </c>
      <c r="H1127">
        <f ca="1">IF(OR($A1127="S",$A1127=0),0,MATCH(0,OFFSET($B1127,1,$A1127,ROW($A$1504)-ROW($A1127)),0))</f>
        <v>0</v>
      </c>
      <c r="I1127">
        <f ca="1">IF(OR($A1127="S",$A1127=0),0,MATCH(OFFSET($B1127,0,$A1127)+1,OFFSET($B1127,1,$A1127,ROW($A$1504)-ROW($A1127)),0))</f>
        <v>0</v>
      </c>
      <c r="J1127" s="132" t="s">
        <v>29</v>
      </c>
      <c r="K1127" s="121" t="str">
        <f t="shared" ca="1" si="1437"/>
        <v>12.8.3.</v>
      </c>
      <c r="L1127" s="137" t="str">
        <f t="shared" ca="1" si="1438"/>
        <v>Cotação</v>
      </c>
      <c r="M1127" s="122" t="s">
        <v>80</v>
      </c>
      <c r="N1127" s="139" t="s">
        <v>158</v>
      </c>
      <c r="O1127" s="137" t="str">
        <f ca="1">IF(NOT(ISERROR($Y1127)),IF($Y1127&lt;&gt;FALSE,INDEX(Banco,$Y1127,5),""),"")</f>
        <v>Água (garrafa de 1,5 litros)</v>
      </c>
      <c r="P1127" s="138" t="str">
        <f t="shared" ca="1" si="1439"/>
        <v>Unidade</v>
      </c>
      <c r="Q1127" s="134">
        <v>4</v>
      </c>
      <c r="R1127" s="124">
        <f t="shared" ca="1" si="1440"/>
        <v>4</v>
      </c>
      <c r="S1127" s="136" t="s">
        <v>62</v>
      </c>
      <c r="T1127" s="123">
        <f t="shared" ca="1" si="1441"/>
        <v>5</v>
      </c>
      <c r="U1127" s="126">
        <f t="shared" ca="1" si="1442"/>
        <v>20</v>
      </c>
      <c r="V1127" s="1"/>
      <c r="W1127" s="39" t="str">
        <f ca="1">IF(OR($A1127=0,$A1127="S",$A1127&gt;CFF!$A$9),"",MAX(W$11:OFFSET(W1127,-1,0))+1)</f>
        <v/>
      </c>
      <c r="X1127" s="4" t="str">
        <f t="shared" si="1443"/>
        <v>Serv. Terc.-009</v>
      </c>
      <c r="Y1127" s="39">
        <f t="shared" ca="1" si="1444"/>
        <v>89</v>
      </c>
      <c r="Z1127" s="1"/>
      <c r="AA1127" s="133">
        <f>IF($J1127=$G$2,ROUND(IF(ISNUMBER(S1127),S1127,IF(LEFT(S1127,2)="DI",HLOOKUP(S1127,DADOS!$T$29:$X$30,2,FALSE),0)),4),"")</f>
        <v>0.25</v>
      </c>
      <c r="AB1127" s="2"/>
    </row>
    <row r="1128" spans="1:28">
      <c r="A1128">
        <f>CHOOSE(1+LOG(1+2*(J1128=$C$2)+4*(J1128=$D$2)+8*(J1128=$E$2)+16*(J1128=$F$2)+32*(J1128=$G$2),2),0,1,2,3,4,"S")</f>
        <v>1</v>
      </c>
      <c r="B1128">
        <f ca="1">IF(OR(A1128="S",A1128=0),0,IF(ISERROR(I1128),H1128,SMALL(H1128:I1128,1)))</f>
        <v>78</v>
      </c>
      <c r="C1128">
        <f ca="1">IF($A1128=1,OFFSET(C1128,-1,0)+1,OFFSET(C1128,-1,0))</f>
        <v>13</v>
      </c>
      <c r="D1128">
        <f ca="1">IF($A1128=1,0,IF($A1128=2,OFFSET(D1128,-1,0)+1,OFFSET(D1128,-1,0)))</f>
        <v>0</v>
      </c>
      <c r="E1128">
        <f ca="1">IF(AND($A1128&lt;=2,$A1128&lt;&gt;0),0,IF($A1128=3,OFFSET(E1128,-1,0)+1,OFFSET(E1128,-1,0)))</f>
        <v>0</v>
      </c>
      <c r="F1128">
        <f ca="1">IF(AND($A1128&lt;=3,$A1128&lt;&gt;0),0,IF($A1128=4,OFFSET(F1128,-1,0)+1,OFFSET(F1128,-1,0)))</f>
        <v>0</v>
      </c>
      <c r="G1128">
        <f ca="1">IF(AND($A1128&lt;=4,$A1128&lt;&gt;0),0,IF($A1128="S",OFFSET(G1128,-1,0)+1,OFFSET(G1128,-1,0)))</f>
        <v>0</v>
      </c>
      <c r="H1128">
        <f ca="1">IF(OR($A1128="S",$A1128=0),0,MATCH(0,OFFSET($B1128,1,$A1128,ROW($A$1504)-ROW($A1128)),0))</f>
        <v>376</v>
      </c>
      <c r="I1128">
        <f ca="1">IF(OR($A1128="S",$A1128=0),0,MATCH(OFFSET($B1128,0,$A1128)+1,OFFSET($B1128,1,$A1128,ROW($A$1504)-ROW($A1128)),0))</f>
        <v>78</v>
      </c>
      <c r="J1128" s="132" t="s">
        <v>67</v>
      </c>
      <c r="K1128" s="121" t="str">
        <f ca="1">IF($A1128=0,"-",CONCATENATE(C1128&amp;".",IF(AND($A$5&gt;=2,$A1128&gt;=2),D1128&amp;".",""),IF(AND($A$5&gt;=3,$A1128&gt;=3),E1128&amp;".",""),IF(AND($A$5&gt;=4,$A1128&gt;=4),F1128&amp;".",""),IF($A1128="S",G1128&amp;".","")))</f>
        <v>13.</v>
      </c>
      <c r="L1128" s="137" t="str">
        <f ca="1">IF(NOT(ISERROR($Y1128)),IF($Y1128&lt;&gt;FALSE,INDEX(Banco,$Y1128,4),""),"")</f>
        <v/>
      </c>
      <c r="M1128" s="122"/>
      <c r="N1128" s="139"/>
      <c r="O1128" s="137" t="s">
        <v>452</v>
      </c>
      <c r="P1128" s="138" t="str">
        <f ca="1">IF(NOT(ISERROR($Y1128)),IF($Y1128&lt;&gt;FALSE,INDEX(Banco,$Y1128,6),""),"")</f>
        <v/>
      </c>
      <c r="Q1128" s="134"/>
      <c r="R1128" s="124">
        <f ca="1">IF(NOT(ISERROR($Y1128)),IF($Y1128&lt;&gt;FALSE,INDEX(Banco,$Y1128,7),0),0)</f>
        <v>0</v>
      </c>
      <c r="S1128" s="136" t="s">
        <v>62</v>
      </c>
      <c r="T1128" s="123">
        <f>IF($J1128=$G$2,ROUND(ROUND($R1128,2)*IF($R$9="Preço Unitário (R$)",1,1+$AA1128),2),0)</f>
        <v>0</v>
      </c>
      <c r="U1128" s="126">
        <f ca="1">IF($A1128="S",VTOTAL1,IF($A1128=0,0,ROUND(SomaAgrup,2)))</f>
        <v>101707.25</v>
      </c>
      <c r="V1128" s="1"/>
      <c r="W1128" s="39">
        <f ca="1">IF(OR($A1128=0,$A1128="S",$A1128&gt;CFF!$A$9),"",MAX(W$11:OFFSET(W1128,-1,0))+1)</f>
        <v>99</v>
      </c>
      <c r="X1128" s="4" t="b">
        <f>IF(AND($J1128=$G$2,$N1128&lt;&gt;"",$M1128&lt;&gt;""),CONCATENATE($M1128,"-",$N1128))</f>
        <v>0</v>
      </c>
      <c r="Y1128" s="39" t="b">
        <f ca="1">IF(X1128&lt;&gt;FALSE,MATCH(X1128,OFFSET(Banco,0,0,,1),0))</f>
        <v>0</v>
      </c>
      <c r="Z1128" s="1"/>
      <c r="AA1128" s="133" t="str">
        <f>IF($J1128=$G$2,ROUND(IF(ISNUMBER(S1128),S1128,IF(LEFT(S1128,2)="DI",HLOOKUP(S1128,DADOS!$T$29:$X$30,2,FALSE),0)),4),"")</f>
        <v/>
      </c>
      <c r="AB1128" s="2"/>
    </row>
    <row r="1129" spans="1:28">
      <c r="A1129">
        <f t="shared" si="1430"/>
        <v>2</v>
      </c>
      <c r="B1129">
        <f t="shared" ca="1" si="1431"/>
        <v>13</v>
      </c>
      <c r="C1129">
        <f t="shared" ca="1" si="1432"/>
        <v>13</v>
      </c>
      <c r="D1129">
        <f t="shared" ca="1" si="1433"/>
        <v>1</v>
      </c>
      <c r="E1129">
        <f t="shared" ca="1" si="1434"/>
        <v>0</v>
      </c>
      <c r="F1129">
        <f t="shared" ca="1" si="1435"/>
        <v>0</v>
      </c>
      <c r="G1129">
        <f t="shared" ca="1" si="1436"/>
        <v>0</v>
      </c>
      <c r="H1129">
        <f ca="1">IF(OR($A1129="S",$A1129=0),0,MATCH(0,OFFSET($B1129,1,$A1129,ROW($A$1504)-ROW($A1129)),0))</f>
        <v>77</v>
      </c>
      <c r="I1129">
        <f ca="1">IF(OR($A1129="S",$A1129=0),0,MATCH(OFFSET($B1129,0,$A1129)+1,OFFSET($B1129,1,$A1129,ROW($A$1504)-ROW($A1129)),0))</f>
        <v>13</v>
      </c>
      <c r="J1129" s="132" t="s">
        <v>68</v>
      </c>
      <c r="K1129" s="121" t="str">
        <f t="shared" ca="1" si="1437"/>
        <v>13.1.</v>
      </c>
      <c r="L1129" s="137" t="str">
        <f t="shared" ca="1" si="1438"/>
        <v/>
      </c>
      <c r="M1129" s="122"/>
      <c r="N1129" s="139"/>
      <c r="O1129" s="137" t="s">
        <v>453</v>
      </c>
      <c r="P1129" s="138" t="str">
        <f t="shared" ca="1" si="1439"/>
        <v/>
      </c>
      <c r="Q1129" s="134"/>
      <c r="R1129" s="124">
        <f t="shared" ca="1" si="1440"/>
        <v>0</v>
      </c>
      <c r="S1129" s="136" t="s">
        <v>62</v>
      </c>
      <c r="T1129" s="123">
        <f t="shared" si="1441"/>
        <v>0</v>
      </c>
      <c r="U1129" s="126">
        <f t="shared" ca="1" si="1442"/>
        <v>11126.94</v>
      </c>
      <c r="V1129" s="1"/>
      <c r="W1129" s="39">
        <f ca="1">IF(OR($A1129=0,$A1129="S",$A1129&gt;CFF!$A$9),"",MAX(W$11:OFFSET(W1129,-1,0))+1)</f>
        <v>100</v>
      </c>
      <c r="X1129" s="4" t="b">
        <f t="shared" si="1443"/>
        <v>0</v>
      </c>
      <c r="Y1129" s="39" t="b">
        <f t="shared" ca="1" si="1444"/>
        <v>0</v>
      </c>
      <c r="Z1129" s="1"/>
      <c r="AA1129" s="133" t="str">
        <f>IF($J1129=$G$2,ROUND(IF(ISNUMBER(S1129),S1129,IF(LEFT(S1129,2)="DI",HLOOKUP(S1129,DADOS!$T$29:$X$30,2,FALSE),0)),4),"")</f>
        <v/>
      </c>
      <c r="AB1129" s="2"/>
    </row>
    <row r="1130" spans="1:28">
      <c r="A1130" t="str">
        <f t="shared" ref="A1130:A1141" si="1445">CHOOSE(1+LOG(1+2*(J1130=$C$2)+4*(J1130=$D$2)+8*(J1130=$E$2)+16*(J1130=$F$2)+32*(J1130=$G$2),2),0,1,2,3,4,"S")</f>
        <v>S</v>
      </c>
      <c r="B1130">
        <f t="shared" ref="B1130:B1141" si="1446">IF(OR(A1130="S",A1130=0),0,IF(ISERROR(I1130),H1130,SMALL(H1130:I1130,1)))</f>
        <v>0</v>
      </c>
      <c r="C1130">
        <f t="shared" ref="C1130:C1141" ca="1" si="1447">IF($A1130=1,OFFSET(C1130,-1,0)+1,OFFSET(C1130,-1,0))</f>
        <v>13</v>
      </c>
      <c r="D1130">
        <f t="shared" ref="D1130:D1141" ca="1" si="1448">IF($A1130=1,0,IF($A1130=2,OFFSET(D1130,-1,0)+1,OFFSET(D1130,-1,0)))</f>
        <v>1</v>
      </c>
      <c r="E1130">
        <f t="shared" ref="E1130:E1141" ca="1" si="1449">IF(AND($A1130&lt;=2,$A1130&lt;&gt;0),0,IF($A1130=3,OFFSET(E1130,-1,0)+1,OFFSET(E1130,-1,0)))</f>
        <v>0</v>
      </c>
      <c r="F1130">
        <f t="shared" ref="F1130:F1141" ca="1" si="1450">IF(AND($A1130&lt;=3,$A1130&lt;&gt;0),0,IF($A1130=4,OFFSET(F1130,-1,0)+1,OFFSET(F1130,-1,0)))</f>
        <v>0</v>
      </c>
      <c r="G1130">
        <f t="shared" ref="G1130:G1141" ca="1" si="1451">IF(AND($A1130&lt;=4,$A1130&lt;&gt;0),0,IF($A1130="S",OFFSET(G1130,-1,0)+1,OFFSET(G1130,-1,0)))</f>
        <v>1</v>
      </c>
      <c r="H1130">
        <f ca="1">IF(OR($A1130="S",$A1130=0),0,MATCH(0,OFFSET($B1130,1,$A1130,ROW($A$1504)-ROW($A1130)),0))</f>
        <v>0</v>
      </c>
      <c r="I1130">
        <f ca="1">IF(OR($A1130="S",$A1130=0),0,MATCH(OFFSET($B1130,0,$A1130)+1,OFFSET($B1130,1,$A1130,ROW($A$1504)-ROW($A1130)),0))</f>
        <v>0</v>
      </c>
      <c r="J1130" s="132" t="s">
        <v>29</v>
      </c>
      <c r="K1130" s="121" t="str">
        <f t="shared" ref="K1130:K1141" ca="1" si="1452">IF($A1130=0,"-",CONCATENATE(C1130&amp;".",IF(AND($A$5&gt;=2,$A1130&gt;=2),D1130&amp;".",""),IF(AND($A$5&gt;=3,$A1130&gt;=3),E1130&amp;".",""),IF(AND($A$5&gt;=4,$A1130&gt;=4),F1130&amp;".",""),IF($A1130="S",G1130&amp;".","")))</f>
        <v>13.1.1.</v>
      </c>
      <c r="L1130" s="137" t="str">
        <f t="shared" ref="L1130:L1141" ca="1" si="1453">IF(NOT(ISERROR($Y1130)),IF($Y1130&lt;&gt;FALSE,INDEX(Banco,$Y1130,4),""),"")</f>
        <v>CRESS</v>
      </c>
      <c r="M1130" s="122" t="s">
        <v>78</v>
      </c>
      <c r="N1130" s="139" t="s">
        <v>152</v>
      </c>
      <c r="O1130" s="137" t="str">
        <f t="shared" ref="O1130:O1141" ca="1" si="1454">IF(NOT(ISERROR($Y1130)),IF($Y1130&lt;&gt;FALSE,INDEX(Banco,$Y1130,5),""),"")</f>
        <v>Assistente Social</v>
      </c>
      <c r="P1130" s="138" t="str">
        <f t="shared" ref="P1130:P1141" ca="1" si="1455">IF(NOT(ISERROR($Y1130)),IF($Y1130&lt;&gt;FALSE,INDEX(Banco,$Y1130,6),""),"")</f>
        <v>Horas</v>
      </c>
      <c r="Q1130" s="134">
        <v>8</v>
      </c>
      <c r="R1130" s="124">
        <f t="shared" ref="R1130:R1141" ca="1" si="1456">IF(NOT(ISERROR($Y1130)),IF($Y1130&lt;&gt;FALSE,INDEX(Banco,$Y1130,7),0),0)</f>
        <v>133.81</v>
      </c>
      <c r="S1130" s="136" t="s">
        <v>62</v>
      </c>
      <c r="T1130" s="123">
        <f t="shared" ref="T1130:T1141" ca="1" si="1457">IF($J1130=$G$2,ROUND(ROUND($R1130,2)*IF($R$9="Preço Unitário (R$)",1,1+$AA1130),2),0)</f>
        <v>167.26</v>
      </c>
      <c r="U1130" s="126">
        <f t="shared" ref="U1130:U1141" ca="1" si="1458">IF($A1130="S",VTOTAL1,IF($A1130=0,0,ROUND(SomaAgrup,2)))</f>
        <v>1338.08</v>
      </c>
      <c r="V1130" s="1"/>
      <c r="W1130" s="39" t="str">
        <f ca="1">IF(OR($A1130=0,$A1130="S",$A1130&gt;CFF!$A$9),"",MAX(W$11:OFFSET(W1130,-1,0))+1)</f>
        <v/>
      </c>
      <c r="X1130" s="4" t="str">
        <f t="shared" ref="X1130:X1141" si="1459">IF(AND($J1130=$G$2,$N1130&lt;&gt;"",$M1130&lt;&gt;""),CONCATENATE($M1130,"-",$N1130))</f>
        <v>Rec. Humanos-002</v>
      </c>
      <c r="Y1130" s="39">
        <f t="shared" ref="Y1130:Y1141" ca="1" si="1460">IF(X1130&lt;&gt;FALSE,MATCH(X1130,OFFSET(Banco,0,0,,1),0))</f>
        <v>4</v>
      </c>
      <c r="Z1130" s="1"/>
      <c r="AA1130" s="133">
        <f>IF($J1130=$G$2,ROUND(IF(ISNUMBER(S1130),S1130,IF(LEFT(S1130,2)="DI",HLOOKUP(S1130,DADOS!$T$29:$X$30,2,FALSE),0)),4),"")</f>
        <v>0.25</v>
      </c>
      <c r="AB1130" s="2"/>
    </row>
    <row r="1131" spans="1:28">
      <c r="A1131" t="str">
        <f t="shared" si="1445"/>
        <v>S</v>
      </c>
      <c r="B1131">
        <f t="shared" si="1446"/>
        <v>0</v>
      </c>
      <c r="C1131">
        <f t="shared" ca="1" si="1447"/>
        <v>13</v>
      </c>
      <c r="D1131">
        <f t="shared" ca="1" si="1448"/>
        <v>1</v>
      </c>
      <c r="E1131">
        <f t="shared" ca="1" si="1449"/>
        <v>0</v>
      </c>
      <c r="F1131">
        <f t="shared" ca="1" si="1450"/>
        <v>0</v>
      </c>
      <c r="G1131">
        <f t="shared" ca="1" si="1451"/>
        <v>2</v>
      </c>
      <c r="H1131">
        <f ca="1">IF(OR($A1131="S",$A1131=0),0,MATCH(0,OFFSET($B1131,1,$A1131,ROW($A$1504)-ROW($A1131)),0))</f>
        <v>0</v>
      </c>
      <c r="I1131">
        <f ca="1">IF(OR($A1131="S",$A1131=0),0,MATCH(OFFSET($B1131,0,$A1131)+1,OFFSET($B1131,1,$A1131,ROW($A$1504)-ROW($A1131)),0))</f>
        <v>0</v>
      </c>
      <c r="J1131" s="132" t="s">
        <v>29</v>
      </c>
      <c r="K1131" s="121" t="str">
        <f t="shared" ca="1" si="1452"/>
        <v>13.1.2.</v>
      </c>
      <c r="L1131" s="137" t="str">
        <f t="shared" ca="1" si="1453"/>
        <v>Cotação</v>
      </c>
      <c r="M1131" s="122" t="s">
        <v>78</v>
      </c>
      <c r="N1131" s="139" t="s">
        <v>151</v>
      </c>
      <c r="O1131" s="137" t="str">
        <f t="shared" ca="1" si="1454"/>
        <v xml:space="preserve">Administrador (Técnico de Apoio) </v>
      </c>
      <c r="P1131" s="138" t="str">
        <f t="shared" ca="1" si="1455"/>
        <v>Horas</v>
      </c>
      <c r="Q1131" s="134">
        <v>8</v>
      </c>
      <c r="R1131" s="124">
        <f t="shared" ca="1" si="1456"/>
        <v>103.65</v>
      </c>
      <c r="S1131" s="136" t="s">
        <v>62</v>
      </c>
      <c r="T1131" s="123">
        <f t="shared" ca="1" si="1457"/>
        <v>129.56</v>
      </c>
      <c r="U1131" s="126">
        <f t="shared" ca="1" si="1458"/>
        <v>1036.48</v>
      </c>
      <c r="V1131" s="1"/>
      <c r="W1131" s="39" t="str">
        <f ca="1">IF(OR($A1131=0,$A1131="S",$A1131&gt;CFF!$A$9),"",MAX(W$11:OFFSET(W1131,-1,0))+1)</f>
        <v/>
      </c>
      <c r="X1131" s="4" t="str">
        <f t="shared" si="1459"/>
        <v>Rec. Humanos-003</v>
      </c>
      <c r="Y1131" s="39">
        <f t="shared" ca="1" si="1460"/>
        <v>5</v>
      </c>
      <c r="Z1131" s="1"/>
      <c r="AA1131" s="133">
        <f>IF($J1131=$G$2,ROUND(IF(ISNUMBER(S1131),S1131,IF(LEFT(S1131,2)="DI",HLOOKUP(S1131,DADOS!$T$29:$X$30,2,FALSE),0)),4),"")</f>
        <v>0.25</v>
      </c>
      <c r="AB1131" s="2"/>
    </row>
    <row r="1132" spans="1:28">
      <c r="A1132" t="str">
        <f t="shared" si="1445"/>
        <v>S</v>
      </c>
      <c r="B1132">
        <f t="shared" si="1446"/>
        <v>0</v>
      </c>
      <c r="C1132">
        <f t="shared" ca="1" si="1447"/>
        <v>13</v>
      </c>
      <c r="D1132">
        <f t="shared" ca="1" si="1448"/>
        <v>1</v>
      </c>
      <c r="E1132">
        <f t="shared" ca="1" si="1449"/>
        <v>0</v>
      </c>
      <c r="F1132">
        <f t="shared" ca="1" si="1450"/>
        <v>0</v>
      </c>
      <c r="G1132">
        <f t="shared" ca="1" si="1451"/>
        <v>3</v>
      </c>
      <c r="H1132">
        <f ca="1">IF(OR($A1132="S",$A1132=0),0,MATCH(0,OFFSET($B1132,1,$A1132,ROW($A$1504)-ROW($A1132)),0))</f>
        <v>0</v>
      </c>
      <c r="I1132">
        <f ca="1">IF(OR($A1132="S",$A1132=0),0,MATCH(OFFSET($B1132,0,$A1132)+1,OFFSET($B1132,1,$A1132,ROW($A$1504)-ROW($A1132)),0))</f>
        <v>0</v>
      </c>
      <c r="J1132" s="132" t="s">
        <v>29</v>
      </c>
      <c r="K1132" s="121" t="str">
        <f t="shared" ca="1" si="1452"/>
        <v>13.1.3.</v>
      </c>
      <c r="L1132" s="137" t="str">
        <f t="shared" ca="1" si="1453"/>
        <v>Cotação</v>
      </c>
      <c r="M1132" s="122" t="s">
        <v>80</v>
      </c>
      <c r="N1132" s="139" t="s">
        <v>162</v>
      </c>
      <c r="O1132" s="137" t="str">
        <f t="shared" ca="1" si="1454"/>
        <v>Coffee break (salgados)</v>
      </c>
      <c r="P1132" s="138" t="str">
        <f t="shared" ca="1" si="1455"/>
        <v>Centro</v>
      </c>
      <c r="Q1132" s="134">
        <v>3</v>
      </c>
      <c r="R1132" s="124">
        <f t="shared" ca="1" si="1456"/>
        <v>65</v>
      </c>
      <c r="S1132" s="136" t="s">
        <v>62</v>
      </c>
      <c r="T1132" s="123">
        <f t="shared" ca="1" si="1457"/>
        <v>81.25</v>
      </c>
      <c r="U1132" s="126">
        <f t="shared" ca="1" si="1458"/>
        <v>243.75</v>
      </c>
      <c r="V1132" s="1"/>
      <c r="W1132" s="39" t="str">
        <f ca="1">IF(OR($A1132=0,$A1132="S",$A1132&gt;CFF!$A$9),"",MAX(W$11:OFFSET(W1132,-1,0))+1)</f>
        <v/>
      </c>
      <c r="X1132" s="4" t="str">
        <f t="shared" si="1459"/>
        <v>Serv. Terc.-015</v>
      </c>
      <c r="Y1132" s="39">
        <f t="shared" ca="1" si="1460"/>
        <v>95</v>
      </c>
      <c r="Z1132" s="1"/>
      <c r="AA1132" s="133">
        <f>IF($J1132=$G$2,ROUND(IF(ISNUMBER(S1132),S1132,IF(LEFT(S1132,2)="DI",HLOOKUP(S1132,DADOS!$T$29:$X$30,2,FALSE),0)),4),"")</f>
        <v>0.25</v>
      </c>
      <c r="AB1132" s="2"/>
    </row>
    <row r="1133" spans="1:28">
      <c r="A1133" t="str">
        <f t="shared" si="1445"/>
        <v>S</v>
      </c>
      <c r="B1133">
        <f t="shared" si="1446"/>
        <v>0</v>
      </c>
      <c r="C1133">
        <f t="shared" ca="1" si="1447"/>
        <v>13</v>
      </c>
      <c r="D1133">
        <f t="shared" ca="1" si="1448"/>
        <v>1</v>
      </c>
      <c r="E1133">
        <f t="shared" ca="1" si="1449"/>
        <v>0</v>
      </c>
      <c r="F1133">
        <f t="shared" ca="1" si="1450"/>
        <v>0</v>
      </c>
      <c r="G1133">
        <f t="shared" ca="1" si="1451"/>
        <v>4</v>
      </c>
      <c r="H1133">
        <f ca="1">IF(OR($A1133="S",$A1133=0),0,MATCH(0,OFFSET($B1133,1,$A1133,ROW($A$1504)-ROW($A1133)),0))</f>
        <v>0</v>
      </c>
      <c r="I1133">
        <f ca="1">IF(OR($A1133="S",$A1133=0),0,MATCH(OFFSET($B1133,0,$A1133)+1,OFFSET($B1133,1,$A1133,ROW($A$1504)-ROW($A1133)),0))</f>
        <v>0</v>
      </c>
      <c r="J1133" s="132" t="s">
        <v>29</v>
      </c>
      <c r="K1133" s="121" t="str">
        <f t="shared" ca="1" si="1452"/>
        <v>13.1.4.</v>
      </c>
      <c r="L1133" s="137" t="str">
        <f t="shared" ca="1" si="1453"/>
        <v>Cotação</v>
      </c>
      <c r="M1133" s="122" t="s">
        <v>80</v>
      </c>
      <c r="N1133" s="139" t="s">
        <v>171</v>
      </c>
      <c r="O1133" s="137" t="str">
        <f ca="1">IF(NOT(ISERROR($Y1133)),IF($Y1133&lt;&gt;FALSE,INDEX(Banco,$Y1133,5),""),"")</f>
        <v xml:space="preserve">Refrigerantes (02 litros) </v>
      </c>
      <c r="P1133" s="138" t="str">
        <f t="shared" ca="1" si="1455"/>
        <v>Unidade</v>
      </c>
      <c r="Q1133" s="134">
        <v>4</v>
      </c>
      <c r="R1133" s="124">
        <f t="shared" ca="1" si="1456"/>
        <v>6</v>
      </c>
      <c r="S1133" s="136" t="s">
        <v>62</v>
      </c>
      <c r="T1133" s="123">
        <f t="shared" ca="1" si="1457"/>
        <v>7.5</v>
      </c>
      <c r="U1133" s="126">
        <f t="shared" ca="1" si="1458"/>
        <v>30</v>
      </c>
      <c r="V1133" s="1"/>
      <c r="W1133" s="39" t="str">
        <f ca="1">IF(OR($A1133=0,$A1133="S",$A1133&gt;CFF!$A$9),"",MAX(W$11:OFFSET(W1133,-1,0))+1)</f>
        <v/>
      </c>
      <c r="X1133" s="4" t="str">
        <f t="shared" si="1459"/>
        <v>Serv. Terc.-027</v>
      </c>
      <c r="Y1133" s="39">
        <f t="shared" ca="1" si="1460"/>
        <v>107</v>
      </c>
      <c r="Z1133" s="1"/>
      <c r="AA1133" s="133">
        <f>IF($J1133=$G$2,ROUND(IF(ISNUMBER(S1133),S1133,IF(LEFT(S1133,2)="DI",HLOOKUP(S1133,DADOS!$T$29:$X$30,2,FALSE),0)),4),"")</f>
        <v>0.25</v>
      </c>
      <c r="AB1133" s="2"/>
    </row>
    <row r="1134" spans="1:28" ht="25.5">
      <c r="A1134" t="str">
        <f t="shared" si="1445"/>
        <v>S</v>
      </c>
      <c r="B1134">
        <f t="shared" si="1446"/>
        <v>0</v>
      </c>
      <c r="C1134">
        <f t="shared" ca="1" si="1447"/>
        <v>13</v>
      </c>
      <c r="D1134">
        <f t="shared" ca="1" si="1448"/>
        <v>1</v>
      </c>
      <c r="E1134">
        <f t="shared" ca="1" si="1449"/>
        <v>0</v>
      </c>
      <c r="F1134">
        <f t="shared" ca="1" si="1450"/>
        <v>0</v>
      </c>
      <c r="G1134">
        <f t="shared" ca="1" si="1451"/>
        <v>5</v>
      </c>
      <c r="H1134">
        <f ca="1">IF(OR($A1134="S",$A1134=0),0,MATCH(0,OFFSET($B1134,1,$A1134,ROW($A$1504)-ROW($A1134)),0))</f>
        <v>0</v>
      </c>
      <c r="I1134">
        <f ca="1">IF(OR($A1134="S",$A1134=0),0,MATCH(OFFSET($B1134,0,$A1134)+1,OFFSET($B1134,1,$A1134,ROW($A$1504)-ROW($A1134)),0))</f>
        <v>0</v>
      </c>
      <c r="J1134" s="132" t="s">
        <v>29</v>
      </c>
      <c r="K1134" s="121" t="str">
        <f t="shared" ca="1" si="1452"/>
        <v>13.1.5.</v>
      </c>
      <c r="L1134" s="137" t="str">
        <f t="shared" ca="1" si="1453"/>
        <v>Cotação</v>
      </c>
      <c r="M1134" s="122" t="s">
        <v>80</v>
      </c>
      <c r="N1134" s="139" t="s">
        <v>163</v>
      </c>
      <c r="O1134" s="137" t="str">
        <f t="shared" ca="1" si="1454"/>
        <v>KIT 01 - Material de uso coletivo para o curso de bordado em chinelos ( descrição nos orçamentos e PTS)</v>
      </c>
      <c r="P1134" s="138" t="str">
        <f t="shared" ca="1" si="1455"/>
        <v>Kit</v>
      </c>
      <c r="Q1134" s="134">
        <v>1</v>
      </c>
      <c r="R1134" s="124">
        <f t="shared" ca="1" si="1456"/>
        <v>300</v>
      </c>
      <c r="S1134" s="136" t="s">
        <v>62</v>
      </c>
      <c r="T1134" s="123">
        <f t="shared" ca="1" si="1457"/>
        <v>375</v>
      </c>
      <c r="U1134" s="126">
        <f t="shared" ca="1" si="1458"/>
        <v>375</v>
      </c>
      <c r="V1134" s="1"/>
      <c r="W1134" s="39" t="str">
        <f ca="1">IF(OR($A1134=0,$A1134="S",$A1134&gt;CFF!$A$9),"",MAX(W$11:OFFSET(W1134,-1,0))+1)</f>
        <v/>
      </c>
      <c r="X1134" s="4" t="str">
        <f t="shared" si="1459"/>
        <v>Serv. Terc.-020</v>
      </c>
      <c r="Y1134" s="39">
        <f t="shared" ca="1" si="1460"/>
        <v>100</v>
      </c>
      <c r="Z1134" s="1"/>
      <c r="AA1134" s="133">
        <f>IF($J1134=$G$2,ROUND(IF(ISNUMBER(S1134),S1134,IF(LEFT(S1134,2)="DI",HLOOKUP(S1134,DADOS!$T$29:$X$30,2,FALSE),0)),4),"")</f>
        <v>0.25</v>
      </c>
      <c r="AB1134" s="2"/>
    </row>
    <row r="1135" spans="1:28">
      <c r="A1135" t="str">
        <f t="shared" si="1445"/>
        <v>S</v>
      </c>
      <c r="B1135">
        <f t="shared" si="1446"/>
        <v>0</v>
      </c>
      <c r="C1135">
        <f t="shared" ca="1" si="1447"/>
        <v>13</v>
      </c>
      <c r="D1135">
        <f t="shared" ca="1" si="1448"/>
        <v>1</v>
      </c>
      <c r="E1135">
        <f t="shared" ca="1" si="1449"/>
        <v>0</v>
      </c>
      <c r="F1135">
        <f t="shared" ca="1" si="1450"/>
        <v>0</v>
      </c>
      <c r="G1135">
        <f t="shared" ca="1" si="1451"/>
        <v>6</v>
      </c>
      <c r="H1135">
        <f ca="1">IF(OR($A1135="S",$A1135=0),0,MATCH(0,OFFSET($B1135,1,$A1135,ROW($A$1504)-ROW($A1135)),0))</f>
        <v>0</v>
      </c>
      <c r="I1135">
        <f ca="1">IF(OR($A1135="S",$A1135=0),0,MATCH(OFFSET($B1135,0,$A1135)+1,OFFSET($B1135,1,$A1135,ROW($A$1504)-ROW($A1135)),0))</f>
        <v>0</v>
      </c>
      <c r="J1135" s="132" t="s">
        <v>29</v>
      </c>
      <c r="K1135" s="121" t="str">
        <f t="shared" ca="1" si="1452"/>
        <v>13.1.6.</v>
      </c>
      <c r="L1135" s="137" t="str">
        <f t="shared" ca="1" si="1453"/>
        <v>Cotação</v>
      </c>
      <c r="M1135" s="122" t="s">
        <v>80</v>
      </c>
      <c r="N1135" s="139" t="s">
        <v>168</v>
      </c>
      <c r="O1135" s="137" t="str">
        <f t="shared" ca="1" si="1454"/>
        <v>KIT 02 - Material para os alunos curso de chinelos (descrição nos orçamentos e PTS)</v>
      </c>
      <c r="P1135" s="138" t="str">
        <f t="shared" ca="1" si="1455"/>
        <v>Unidade</v>
      </c>
      <c r="Q1135" s="134">
        <v>26</v>
      </c>
      <c r="R1135" s="124">
        <f t="shared" ca="1" si="1456"/>
        <v>90.9</v>
      </c>
      <c r="S1135" s="136" t="s">
        <v>62</v>
      </c>
      <c r="T1135" s="123">
        <f t="shared" ca="1" si="1457"/>
        <v>113.63</v>
      </c>
      <c r="U1135" s="126">
        <f t="shared" ca="1" si="1458"/>
        <v>2954.38</v>
      </c>
      <c r="V1135" s="1"/>
      <c r="W1135" s="39" t="str">
        <f ca="1">IF(OR($A1135=0,$A1135="S",$A1135&gt;CFF!$A$9),"",MAX(W$11:OFFSET(W1135,-1,0))+1)</f>
        <v/>
      </c>
      <c r="X1135" s="4" t="str">
        <f t="shared" si="1459"/>
        <v>Serv. Terc.-018</v>
      </c>
      <c r="Y1135" s="39">
        <f t="shared" ca="1" si="1460"/>
        <v>98</v>
      </c>
      <c r="Z1135" s="1"/>
      <c r="AA1135" s="133">
        <f>IF($J1135=$G$2,ROUND(IF(ISNUMBER(S1135),S1135,IF(LEFT(S1135,2)="DI",HLOOKUP(S1135,DADOS!$T$29:$X$30,2,FALSE),0)),4),"")</f>
        <v>0.25</v>
      </c>
      <c r="AB1135" s="2"/>
    </row>
    <row r="1136" spans="1:28">
      <c r="A1136" t="str">
        <f t="shared" si="1445"/>
        <v>S</v>
      </c>
      <c r="B1136">
        <f t="shared" si="1446"/>
        <v>0</v>
      </c>
      <c r="C1136">
        <f t="shared" ca="1" si="1447"/>
        <v>13</v>
      </c>
      <c r="D1136">
        <f t="shared" ca="1" si="1448"/>
        <v>1</v>
      </c>
      <c r="E1136">
        <f t="shared" ca="1" si="1449"/>
        <v>0</v>
      </c>
      <c r="F1136">
        <f t="shared" ca="1" si="1450"/>
        <v>0</v>
      </c>
      <c r="G1136">
        <f t="shared" ca="1" si="1451"/>
        <v>7</v>
      </c>
      <c r="H1136">
        <f ca="1">IF(OR($A1136="S",$A1136=0),0,MATCH(0,OFFSET($B1136,1,$A1136,ROW($A$1504)-ROW($A1136)),0))</f>
        <v>0</v>
      </c>
      <c r="I1136">
        <f ca="1">IF(OR($A1136="S",$A1136=0),0,MATCH(OFFSET($B1136,0,$A1136)+1,OFFSET($B1136,1,$A1136,ROW($A$1504)-ROW($A1136)),0))</f>
        <v>0</v>
      </c>
      <c r="J1136" s="132" t="s">
        <v>29</v>
      </c>
      <c r="K1136" s="121" t="str">
        <f t="shared" ca="1" si="1452"/>
        <v>13.1.7.</v>
      </c>
      <c r="L1136" s="137" t="str">
        <f t="shared" ca="1" si="1453"/>
        <v xml:space="preserve">Cotação </v>
      </c>
      <c r="M1136" s="122" t="s">
        <v>79</v>
      </c>
      <c r="N1136" s="139" t="s">
        <v>155</v>
      </c>
      <c r="O1136" s="137" t="str">
        <f t="shared" ca="1" si="1454"/>
        <v>Instrutor curso de bordado de chinelos</v>
      </c>
      <c r="P1136" s="138" t="str">
        <f t="shared" ca="1" si="1455"/>
        <v>Horas</v>
      </c>
      <c r="Q1136" s="134">
        <v>40</v>
      </c>
      <c r="R1136" s="124">
        <f t="shared" ca="1" si="1456"/>
        <v>70</v>
      </c>
      <c r="S1136" s="136" t="s">
        <v>62</v>
      </c>
      <c r="T1136" s="123">
        <f t="shared" ca="1" si="1457"/>
        <v>87.5</v>
      </c>
      <c r="U1136" s="126">
        <f t="shared" ca="1" si="1458"/>
        <v>3500</v>
      </c>
      <c r="V1136" s="1"/>
      <c r="W1136" s="39" t="str">
        <f ca="1">IF(OR($A1136=0,$A1136="S",$A1136&gt;CFF!$A$9),"",MAX(W$11:OFFSET(W1136,-1,0))+1)</f>
        <v/>
      </c>
      <c r="X1136" s="4" t="str">
        <f t="shared" si="1459"/>
        <v>Rec. Materiais-006</v>
      </c>
      <c r="Y1136" s="39">
        <f t="shared" ca="1" si="1460"/>
        <v>15</v>
      </c>
      <c r="Z1136" s="1"/>
      <c r="AA1136" s="133">
        <f>IF($J1136=$G$2,ROUND(IF(ISNUMBER(S1136),S1136,IF(LEFT(S1136,2)="DI",HLOOKUP(S1136,DADOS!$T$29:$X$30,2,FALSE),0)),4),"")</f>
        <v>0.25</v>
      </c>
      <c r="AB1136" s="2"/>
    </row>
    <row r="1137" spans="1:28">
      <c r="A1137" t="str">
        <f t="shared" si="1445"/>
        <v>S</v>
      </c>
      <c r="B1137">
        <f t="shared" si="1446"/>
        <v>0</v>
      </c>
      <c r="C1137">
        <f t="shared" ca="1" si="1447"/>
        <v>13</v>
      </c>
      <c r="D1137">
        <f t="shared" ca="1" si="1448"/>
        <v>1</v>
      </c>
      <c r="E1137">
        <f t="shared" ca="1" si="1449"/>
        <v>0</v>
      </c>
      <c r="F1137">
        <f t="shared" ca="1" si="1450"/>
        <v>0</v>
      </c>
      <c r="G1137">
        <f t="shared" ca="1" si="1451"/>
        <v>8</v>
      </c>
      <c r="H1137">
        <f ca="1">IF(OR($A1137="S",$A1137=0),0,MATCH(0,OFFSET($B1137,1,$A1137,ROW($A$1504)-ROW($A1137)),0))</f>
        <v>0</v>
      </c>
      <c r="I1137">
        <f ca="1">IF(OR($A1137="S",$A1137=0),0,MATCH(OFFSET($B1137,0,$A1137)+1,OFFSET($B1137,1,$A1137,ROW($A$1504)-ROW($A1137)),0))</f>
        <v>0</v>
      </c>
      <c r="J1137" s="132" t="s">
        <v>29</v>
      </c>
      <c r="K1137" s="121" t="str">
        <f t="shared" ca="1" si="1452"/>
        <v>13.1.8.</v>
      </c>
      <c r="L1137" s="137" t="str">
        <f t="shared" ca="1" si="1453"/>
        <v>Cotação</v>
      </c>
      <c r="M1137" s="122" t="s">
        <v>80</v>
      </c>
      <c r="N1137" s="139" t="s">
        <v>321</v>
      </c>
      <c r="O1137" s="137" t="str">
        <f ca="1">IF(NOT(ISERROR($Y1137)),IF($Y1137&lt;&gt;FALSE,INDEX(Banco,$Y1137,5),""),"")</f>
        <v>Apostilas com figuras ilustrativas (08 páginas)</v>
      </c>
      <c r="P1137" s="138" t="str">
        <f t="shared" ca="1" si="1455"/>
        <v>Unidade</v>
      </c>
      <c r="Q1137" s="134">
        <v>26</v>
      </c>
      <c r="R1137" s="124">
        <f t="shared" ca="1" si="1456"/>
        <v>15</v>
      </c>
      <c r="S1137" s="136" t="s">
        <v>62</v>
      </c>
      <c r="T1137" s="123">
        <f t="shared" ca="1" si="1457"/>
        <v>18.75</v>
      </c>
      <c r="U1137" s="126">
        <f t="shared" ca="1" si="1458"/>
        <v>487.5</v>
      </c>
      <c r="V1137" s="1"/>
      <c r="W1137" s="39" t="str">
        <f ca="1">IF(OR($A1137=0,$A1137="S",$A1137&gt;CFF!$A$9),"",MAX(W$11:OFFSET(W1137,-1,0))+1)</f>
        <v/>
      </c>
      <c r="X1137" s="4" t="str">
        <f t="shared" si="1459"/>
        <v>Serv. Terc.-031</v>
      </c>
      <c r="Y1137" s="39">
        <f t="shared" ca="1" si="1460"/>
        <v>111</v>
      </c>
      <c r="Z1137" s="1"/>
      <c r="AA1137" s="133">
        <f>IF($J1137=$G$2,ROUND(IF(ISNUMBER(S1137),S1137,IF(LEFT(S1137,2)="DI",HLOOKUP(S1137,DADOS!$T$29:$X$30,2,FALSE),0)),4),"")</f>
        <v>0.25</v>
      </c>
      <c r="AB1137" s="2"/>
    </row>
    <row r="1138" spans="1:28">
      <c r="A1138" t="str">
        <f t="shared" si="1445"/>
        <v>S</v>
      </c>
      <c r="B1138">
        <f t="shared" si="1446"/>
        <v>0</v>
      </c>
      <c r="C1138">
        <f t="shared" ca="1" si="1447"/>
        <v>13</v>
      </c>
      <c r="D1138">
        <f t="shared" ca="1" si="1448"/>
        <v>1</v>
      </c>
      <c r="E1138">
        <f t="shared" ca="1" si="1449"/>
        <v>0</v>
      </c>
      <c r="F1138">
        <f t="shared" ca="1" si="1450"/>
        <v>0</v>
      </c>
      <c r="G1138">
        <f t="shared" ca="1" si="1451"/>
        <v>9</v>
      </c>
      <c r="H1138">
        <f ca="1">IF(OR($A1138="S",$A1138=0),0,MATCH(0,OFFSET($B1138,1,$A1138,ROW($A$1504)-ROW($A1138)),0))</f>
        <v>0</v>
      </c>
      <c r="I1138">
        <f ca="1">IF(OR($A1138="S",$A1138=0),0,MATCH(OFFSET($B1138,0,$A1138)+1,OFFSET($B1138,1,$A1138,ROW($A$1504)-ROW($A1138)),0))</f>
        <v>0</v>
      </c>
      <c r="J1138" s="132" t="s">
        <v>29</v>
      </c>
      <c r="K1138" s="121" t="str">
        <f t="shared" ca="1" si="1452"/>
        <v>13.1.9.</v>
      </c>
      <c r="L1138" s="137" t="str">
        <f t="shared" ca="1" si="1453"/>
        <v>Cotação</v>
      </c>
      <c r="M1138" s="122" t="s">
        <v>80</v>
      </c>
      <c r="N1138" s="139" t="s">
        <v>322</v>
      </c>
      <c r="O1138" s="137" t="str">
        <f ca="1">IF(NOT(ISERROR($Y1138)),IF($Y1138&lt;&gt;FALSE,INDEX(Banco,$Y1138,5),""),"")</f>
        <v>Certificados para cursos</v>
      </c>
      <c r="P1138" s="138" t="str">
        <f t="shared" ca="1" si="1455"/>
        <v>Unidade</v>
      </c>
      <c r="Q1138" s="134">
        <v>26</v>
      </c>
      <c r="R1138" s="124">
        <f t="shared" ca="1" si="1456"/>
        <v>4</v>
      </c>
      <c r="S1138" s="136" t="s">
        <v>62</v>
      </c>
      <c r="T1138" s="123">
        <f t="shared" ca="1" si="1457"/>
        <v>5</v>
      </c>
      <c r="U1138" s="126">
        <f t="shared" ca="1" si="1458"/>
        <v>130</v>
      </c>
      <c r="V1138" s="1"/>
      <c r="W1138" s="39" t="str">
        <f ca="1">IF(OR($A1138=0,$A1138="S",$A1138&gt;CFF!$A$9),"",MAX(W$11:OFFSET(W1138,-1,0))+1)</f>
        <v/>
      </c>
      <c r="X1138" s="4" t="str">
        <f t="shared" si="1459"/>
        <v>Serv. Terc.-032</v>
      </c>
      <c r="Y1138" s="39">
        <f t="shared" ca="1" si="1460"/>
        <v>112</v>
      </c>
      <c r="Z1138" s="1"/>
      <c r="AA1138" s="133">
        <f>IF($J1138=$G$2,ROUND(IF(ISNUMBER(S1138),S1138,IF(LEFT(S1138,2)="DI",HLOOKUP(S1138,DADOS!$T$29:$X$30,2,FALSE),0)),4),"")</f>
        <v>0.25</v>
      </c>
      <c r="AB1138" s="2"/>
    </row>
    <row r="1139" spans="1:28">
      <c r="A1139" t="str">
        <f t="shared" si="1445"/>
        <v>S</v>
      </c>
      <c r="B1139">
        <f t="shared" si="1446"/>
        <v>0</v>
      </c>
      <c r="C1139">
        <f t="shared" ca="1" si="1447"/>
        <v>13</v>
      </c>
      <c r="D1139">
        <f t="shared" ca="1" si="1448"/>
        <v>1</v>
      </c>
      <c r="E1139">
        <f t="shared" ca="1" si="1449"/>
        <v>0</v>
      </c>
      <c r="F1139">
        <f t="shared" ca="1" si="1450"/>
        <v>0</v>
      </c>
      <c r="G1139">
        <f t="shared" ca="1" si="1451"/>
        <v>10</v>
      </c>
      <c r="H1139">
        <f ca="1">IF(OR($A1139="S",$A1139=0),0,MATCH(0,OFFSET($B1139,1,$A1139,ROW($A$1504)-ROW($A1139)),0))</f>
        <v>0</v>
      </c>
      <c r="I1139">
        <f ca="1">IF(OR($A1139="S",$A1139=0),0,MATCH(OFFSET($B1139,0,$A1139)+1,OFFSET($B1139,1,$A1139,ROW($A$1504)-ROW($A1139)),0))</f>
        <v>0</v>
      </c>
      <c r="J1139" s="132" t="s">
        <v>29</v>
      </c>
      <c r="K1139" s="121" t="str">
        <f t="shared" ca="1" si="1452"/>
        <v>13.1.10.</v>
      </c>
      <c r="L1139" s="137" t="str">
        <f t="shared" ca="1" si="1453"/>
        <v>Cotação</v>
      </c>
      <c r="M1139" s="122" t="s">
        <v>79</v>
      </c>
      <c r="N1139" s="139" t="s">
        <v>149</v>
      </c>
      <c r="O1139" s="137" t="str">
        <f t="shared" ca="1" si="1454"/>
        <v>Papel A4</v>
      </c>
      <c r="P1139" s="138" t="str">
        <f t="shared" ca="1" si="1455"/>
        <v>Resma</v>
      </c>
      <c r="Q1139" s="134">
        <v>1</v>
      </c>
      <c r="R1139" s="124">
        <f t="shared" ca="1" si="1456"/>
        <v>28</v>
      </c>
      <c r="S1139" s="136" t="s">
        <v>62</v>
      </c>
      <c r="T1139" s="123">
        <f t="shared" ca="1" si="1457"/>
        <v>35</v>
      </c>
      <c r="U1139" s="126">
        <f t="shared" ca="1" si="1458"/>
        <v>35</v>
      </c>
      <c r="V1139" s="1"/>
      <c r="W1139" s="39" t="str">
        <f ca="1">IF(OR($A1139=0,$A1139="S",$A1139&gt;CFF!$A$9),"",MAX(W$11:OFFSET(W1139,-1,0))+1)</f>
        <v/>
      </c>
      <c r="X1139" s="4" t="str">
        <f t="shared" si="1459"/>
        <v>Rec. Materiais-001</v>
      </c>
      <c r="Y1139" s="39">
        <f t="shared" ca="1" si="1460"/>
        <v>10</v>
      </c>
      <c r="Z1139" s="1"/>
      <c r="AA1139" s="133">
        <f>IF($J1139=$G$2,ROUND(IF(ISNUMBER(S1139),S1139,IF(LEFT(S1139,2)="DI",HLOOKUP(S1139,DADOS!$T$29:$X$30,2,FALSE),0)),4),"")</f>
        <v>0.25</v>
      </c>
      <c r="AB1139" s="2"/>
    </row>
    <row r="1140" spans="1:28">
      <c r="A1140" t="str">
        <f t="shared" si="1445"/>
        <v>S</v>
      </c>
      <c r="B1140">
        <f t="shared" si="1446"/>
        <v>0</v>
      </c>
      <c r="C1140">
        <f t="shared" ca="1" si="1447"/>
        <v>13</v>
      </c>
      <c r="D1140">
        <f t="shared" ca="1" si="1448"/>
        <v>1</v>
      </c>
      <c r="E1140">
        <f t="shared" ca="1" si="1449"/>
        <v>0</v>
      </c>
      <c r="F1140">
        <f t="shared" ca="1" si="1450"/>
        <v>0</v>
      </c>
      <c r="G1140">
        <f t="shared" ca="1" si="1451"/>
        <v>11</v>
      </c>
      <c r="H1140">
        <f ca="1">IF(OR($A1140="S",$A1140=0),0,MATCH(0,OFFSET($B1140,1,$A1140,ROW($A$1504)-ROW($A1140)),0))</f>
        <v>0</v>
      </c>
      <c r="I1140">
        <f ca="1">IF(OR($A1140="S",$A1140=0),0,MATCH(OFFSET($B1140,0,$A1140)+1,OFFSET($B1140,1,$A1140,ROW($A$1504)-ROW($A1140)),0))</f>
        <v>0</v>
      </c>
      <c r="J1140" s="132" t="s">
        <v>29</v>
      </c>
      <c r="K1140" s="121" t="str">
        <f t="shared" ca="1" si="1452"/>
        <v>13.1.11.</v>
      </c>
      <c r="L1140" s="137" t="str">
        <f t="shared" ca="1" si="1453"/>
        <v>Cotação</v>
      </c>
      <c r="M1140" s="122" t="s">
        <v>79</v>
      </c>
      <c r="N1140" s="139" t="s">
        <v>152</v>
      </c>
      <c r="O1140" s="137" t="str">
        <f t="shared" ca="1" si="1454"/>
        <v>Toner para impressora</v>
      </c>
      <c r="P1140" s="138" t="str">
        <f t="shared" ca="1" si="1455"/>
        <v>Unidade</v>
      </c>
      <c r="Q1140" s="134">
        <v>4</v>
      </c>
      <c r="R1140" s="124">
        <f t="shared" ca="1" si="1456"/>
        <v>180</v>
      </c>
      <c r="S1140" s="136" t="s">
        <v>62</v>
      </c>
      <c r="T1140" s="123">
        <f t="shared" ca="1" si="1457"/>
        <v>225</v>
      </c>
      <c r="U1140" s="126">
        <f t="shared" ca="1" si="1458"/>
        <v>900</v>
      </c>
      <c r="V1140" s="1"/>
      <c r="W1140" s="39" t="str">
        <f ca="1">IF(OR($A1140=0,$A1140="S",$A1140&gt;CFF!$A$9),"",MAX(W$11:OFFSET(W1140,-1,0))+1)</f>
        <v/>
      </c>
      <c r="X1140" s="4" t="str">
        <f t="shared" si="1459"/>
        <v>Rec. Materiais-002</v>
      </c>
      <c r="Y1140" s="39">
        <f t="shared" ca="1" si="1460"/>
        <v>11</v>
      </c>
      <c r="Z1140" s="1"/>
      <c r="AA1140" s="133">
        <f>IF($J1140=$G$2,ROUND(IF(ISNUMBER(S1140),S1140,IF(LEFT(S1140,2)="DI",HLOOKUP(S1140,DADOS!$T$29:$X$30,2,FALSE),0)),4),"")</f>
        <v>0.25</v>
      </c>
      <c r="AB1140" s="2"/>
    </row>
    <row r="1141" spans="1:28">
      <c r="A1141" t="str">
        <f t="shared" si="1445"/>
        <v>S</v>
      </c>
      <c r="B1141">
        <f t="shared" si="1446"/>
        <v>0</v>
      </c>
      <c r="C1141">
        <f t="shared" ca="1" si="1447"/>
        <v>13</v>
      </c>
      <c r="D1141">
        <f t="shared" ca="1" si="1448"/>
        <v>1</v>
      </c>
      <c r="E1141">
        <f t="shared" ca="1" si="1449"/>
        <v>0</v>
      </c>
      <c r="F1141">
        <f t="shared" ca="1" si="1450"/>
        <v>0</v>
      </c>
      <c r="G1141">
        <f t="shared" ca="1" si="1451"/>
        <v>12</v>
      </c>
      <c r="H1141">
        <f ca="1">IF(OR($A1141="S",$A1141=0),0,MATCH(0,OFFSET($B1141,1,$A1141,ROW($A$1504)-ROW($A1141)),0))</f>
        <v>0</v>
      </c>
      <c r="I1141">
        <f ca="1">IF(OR($A1141="S",$A1141=0),0,MATCH(OFFSET($B1141,0,$A1141)+1,OFFSET($B1141,1,$A1141,ROW($A$1504)-ROW($A1141)),0))</f>
        <v>0</v>
      </c>
      <c r="J1141" s="132" t="s">
        <v>29</v>
      </c>
      <c r="K1141" s="121" t="str">
        <f t="shared" ca="1" si="1452"/>
        <v>13.1.12.</v>
      </c>
      <c r="L1141" s="137" t="str">
        <f t="shared" ca="1" si="1453"/>
        <v>Cotação</v>
      </c>
      <c r="M1141" s="122" t="s">
        <v>79</v>
      </c>
      <c r="N1141" s="139" t="s">
        <v>164</v>
      </c>
      <c r="O1141" s="137" t="str">
        <f t="shared" ca="1" si="1454"/>
        <v>Copos descartáveis (2500 unidades)</v>
      </c>
      <c r="P1141" s="138" t="str">
        <f t="shared" ca="1" si="1455"/>
        <v>Caixa</v>
      </c>
      <c r="Q1141" s="134">
        <v>1</v>
      </c>
      <c r="R1141" s="124">
        <f t="shared" ca="1" si="1456"/>
        <v>77.400000000000006</v>
      </c>
      <c r="S1141" s="136" t="s">
        <v>62</v>
      </c>
      <c r="T1141" s="123">
        <f t="shared" ca="1" si="1457"/>
        <v>96.75</v>
      </c>
      <c r="U1141" s="126">
        <f t="shared" ca="1" si="1458"/>
        <v>96.75</v>
      </c>
      <c r="V1141" s="1"/>
      <c r="W1141" s="39" t="str">
        <f ca="1">IF(OR($A1141=0,$A1141="S",$A1141&gt;CFF!$A$9),"",MAX(W$11:OFFSET(W1141,-1,0))+1)</f>
        <v/>
      </c>
      <c r="X1141" s="4" t="str">
        <f t="shared" si="1459"/>
        <v>Rec. Materiais-019</v>
      </c>
      <c r="Y1141" s="39">
        <f t="shared" ca="1" si="1460"/>
        <v>28</v>
      </c>
      <c r="Z1141" s="1"/>
      <c r="AA1141" s="133">
        <f>IF($J1141=$G$2,ROUND(IF(ISNUMBER(S1141),S1141,IF(LEFT(S1141,2)="DI",HLOOKUP(S1141,DADOS!$T$29:$X$30,2,FALSE),0)),4),"")</f>
        <v>0.25</v>
      </c>
      <c r="AB1141" s="2"/>
    </row>
    <row r="1142" spans="1:28">
      <c r="A1142">
        <f>CHOOSE(1+LOG(1+2*(J1142=$C$2)+4*(J1142=$D$2)+8*(J1142=$E$2)+16*(J1142=$F$2)+32*(J1142=$G$2),2),0,1,2,3,4,"S")</f>
        <v>2</v>
      </c>
      <c r="B1142">
        <f ca="1">IF(OR(A1142="S",A1142=0),0,IF(ISERROR(I1142),H1142,SMALL(H1142:I1142,1)))</f>
        <v>3</v>
      </c>
      <c r="C1142">
        <f ca="1">IF($A1142=1,OFFSET(C1142,-1,0)+1,OFFSET(C1142,-1,0))</f>
        <v>13</v>
      </c>
      <c r="D1142">
        <f ca="1">IF($A1142=1,0,IF($A1142=2,OFFSET(D1142,-1,0)+1,OFFSET(D1142,-1,0)))</f>
        <v>2</v>
      </c>
      <c r="E1142">
        <f ca="1">IF(AND($A1142&lt;=2,$A1142&lt;&gt;0),0,IF($A1142=3,OFFSET(E1142,-1,0)+1,OFFSET(E1142,-1,0)))</f>
        <v>0</v>
      </c>
      <c r="F1142">
        <f ca="1">IF(AND($A1142&lt;=3,$A1142&lt;&gt;0),0,IF($A1142=4,OFFSET(F1142,-1,0)+1,OFFSET(F1142,-1,0)))</f>
        <v>0</v>
      </c>
      <c r="G1142">
        <f ca="1">IF(AND($A1142&lt;=4,$A1142&lt;&gt;0),0,IF($A1142="S",OFFSET(G1142,-1,0)+1,OFFSET(G1142,-1,0)))</f>
        <v>0</v>
      </c>
      <c r="H1142">
        <f ca="1">IF(OR($A1142="S",$A1142=0),0,MATCH(0,OFFSET($B1142,1,$A1142,ROW($A$1504)-ROW($A1142)),0))</f>
        <v>64</v>
      </c>
      <c r="I1142">
        <f ca="1">IF(OR($A1142="S",$A1142=0),0,MATCH(OFFSET($B1142,0,$A1142)+1,OFFSET($B1142,1,$A1142,ROW($A$1504)-ROW($A1142)),0))</f>
        <v>3</v>
      </c>
      <c r="J1142" s="132" t="s">
        <v>68</v>
      </c>
      <c r="K1142" s="121" t="str">
        <f ca="1">IF($A1142=0,"-",CONCATENATE(C1142&amp;".",IF(AND($A$5&gt;=2,$A1142&gt;=2),D1142&amp;".",""),IF(AND($A$5&gt;=3,$A1142&gt;=3),E1142&amp;".",""),IF(AND($A$5&gt;=4,$A1142&gt;=4),F1142&amp;".",""),IF($A1142="S",G1142&amp;".","")))</f>
        <v>13.2.</v>
      </c>
      <c r="L1142" s="137" t="str">
        <f ca="1">IF(NOT(ISERROR($Y1142)),IF($Y1142&lt;&gt;FALSE,INDEX(Banco,$Y1142,4),""),"")</f>
        <v/>
      </c>
      <c r="M1142" s="122"/>
      <c r="N1142" s="139"/>
      <c r="O1142" s="137" t="s">
        <v>432</v>
      </c>
      <c r="P1142" s="138" t="str">
        <f ca="1">IF(NOT(ISERROR($Y1142)),IF($Y1142&lt;&gt;FALSE,INDEX(Banco,$Y1142,6),""),"")</f>
        <v/>
      </c>
      <c r="Q1142" s="134"/>
      <c r="R1142" s="124">
        <f ca="1">IF(NOT(ISERROR($Y1142)),IF($Y1142&lt;&gt;FALSE,INDEX(Banco,$Y1142,7),0),0)</f>
        <v>0</v>
      </c>
      <c r="S1142" s="136" t="s">
        <v>62</v>
      </c>
      <c r="T1142" s="123">
        <f>IF($J1142=$G$2,ROUND(ROUND($R1142,2)*IF($R$9="Preço Unitário (R$)",1,1+$AA1142),2),0)</f>
        <v>0</v>
      </c>
      <c r="U1142" s="126">
        <f ca="1">IF($A1142="S",VTOTAL1,IF($A1142=0,0,ROUND(SomaAgrup,2)))</f>
        <v>3468.74</v>
      </c>
      <c r="V1142" s="1"/>
      <c r="W1142" s="39">
        <f ca="1">IF(OR($A1142=0,$A1142="S",$A1142&gt;CFF!$A$9),"",MAX(W$11:OFFSET(W1142,-1,0))+1)</f>
        <v>101</v>
      </c>
      <c r="X1142" s="4" t="b">
        <f>IF(AND($J1142=$G$2,$N1142&lt;&gt;"",$M1142&lt;&gt;""),CONCATENATE($M1142,"-",$N1142))</f>
        <v>0</v>
      </c>
      <c r="Y1142" s="39" t="b">
        <f ca="1">IF(X1142&lt;&gt;FALSE,MATCH(X1142,OFFSET(Banco,0,0,,1),0))</f>
        <v>0</v>
      </c>
      <c r="Z1142" s="1"/>
      <c r="AA1142" s="133" t="str">
        <f>IF($J1142=$G$2,ROUND(IF(ISNUMBER(S1142),S1142,IF(LEFT(S1142,2)="DI",HLOOKUP(S1142,DADOS!$T$29:$X$30,2,FALSE),0)),4),"")</f>
        <v/>
      </c>
      <c r="AB1142" s="2"/>
    </row>
    <row r="1143" spans="1:28">
      <c r="A1143" t="str">
        <f t="shared" ref="A1143:A1144" si="1461">CHOOSE(1+LOG(1+2*(J1143=$C$2)+4*(J1143=$D$2)+8*(J1143=$E$2)+16*(J1143=$F$2)+32*(J1143=$G$2),2),0,1,2,3,4,"S")</f>
        <v>S</v>
      </c>
      <c r="B1143">
        <f t="shared" ref="B1143:B1144" si="1462">IF(OR(A1143="S",A1143=0),0,IF(ISERROR(I1143),H1143,SMALL(H1143:I1143,1)))</f>
        <v>0</v>
      </c>
      <c r="C1143">
        <f t="shared" ref="C1143:C1144" ca="1" si="1463">IF($A1143=1,OFFSET(C1143,-1,0)+1,OFFSET(C1143,-1,0))</f>
        <v>13</v>
      </c>
      <c r="D1143">
        <f t="shared" ref="D1143:D1144" ca="1" si="1464">IF($A1143=1,0,IF($A1143=2,OFFSET(D1143,-1,0)+1,OFFSET(D1143,-1,0)))</f>
        <v>2</v>
      </c>
      <c r="E1143">
        <f t="shared" ref="E1143:E1144" ca="1" si="1465">IF(AND($A1143&lt;=2,$A1143&lt;&gt;0),0,IF($A1143=3,OFFSET(E1143,-1,0)+1,OFFSET(E1143,-1,0)))</f>
        <v>0</v>
      </c>
      <c r="F1143">
        <f t="shared" ref="F1143:F1144" ca="1" si="1466">IF(AND($A1143&lt;=3,$A1143&lt;&gt;0),0,IF($A1143=4,OFFSET(F1143,-1,0)+1,OFFSET(F1143,-1,0)))</f>
        <v>0</v>
      </c>
      <c r="G1143">
        <f t="shared" ref="G1143:G1144" ca="1" si="1467">IF(AND($A1143&lt;=4,$A1143&lt;&gt;0),0,IF($A1143="S",OFFSET(G1143,-1,0)+1,OFFSET(G1143,-1,0)))</f>
        <v>1</v>
      </c>
      <c r="H1143">
        <f ca="1">IF(OR($A1143="S",$A1143=0),0,MATCH(0,OFFSET($B1143,1,$A1143,ROW($A$1504)-ROW($A1143)),0))</f>
        <v>0</v>
      </c>
      <c r="I1143">
        <f ca="1">IF(OR($A1143="S",$A1143=0),0,MATCH(OFFSET($B1143,0,$A1143)+1,OFFSET($B1143,1,$A1143,ROW($A$1504)-ROW($A1143)),0))</f>
        <v>0</v>
      </c>
      <c r="J1143" s="132" t="s">
        <v>29</v>
      </c>
      <c r="K1143" s="121" t="str">
        <f t="shared" ref="K1143:K1144" ca="1" si="1468">IF($A1143=0,"-",CONCATENATE(C1143&amp;".",IF(AND($A$5&gt;=2,$A1143&gt;=2),D1143&amp;".",""),IF(AND($A$5&gt;=3,$A1143&gt;=3),E1143&amp;".",""),IF(AND($A$5&gt;=4,$A1143&gt;=4),F1143&amp;".",""),IF($A1143="S",G1143&amp;".","")))</f>
        <v>13.2.1.</v>
      </c>
      <c r="L1143" s="137" t="str">
        <f t="shared" ref="L1143:L1144" ca="1" si="1469">IF(NOT(ISERROR($Y1143)),IF($Y1143&lt;&gt;FALSE,INDEX(Banco,$Y1143,4),""),"")</f>
        <v>CRESS</v>
      </c>
      <c r="M1143" s="122" t="s">
        <v>78</v>
      </c>
      <c r="N1143" s="139" t="s">
        <v>149</v>
      </c>
      <c r="O1143" s="137" t="str">
        <f ca="1">IF(NOT(ISERROR($Y1143)),IF($Y1143&lt;&gt;FALSE,INDEX(Banco,$Y1143,5),""),"")</f>
        <v>Responsável Técnica</v>
      </c>
      <c r="P1143" s="138" t="str">
        <f t="shared" ref="P1143:P1144" ca="1" si="1470">IF(NOT(ISERROR($Y1143)),IF($Y1143&lt;&gt;FALSE,INDEX(Banco,$Y1143,6),""),"")</f>
        <v>Horas</v>
      </c>
      <c r="Q1143" s="134">
        <v>6</v>
      </c>
      <c r="R1143" s="124">
        <f t="shared" ref="R1143:R1144" ca="1" si="1471">IF(NOT(ISERROR($Y1143)),IF($Y1143&lt;&gt;FALSE,INDEX(Banco,$Y1143,7),0),0)</f>
        <v>150.28</v>
      </c>
      <c r="S1143" s="136" t="s">
        <v>62</v>
      </c>
      <c r="T1143" s="123">
        <f t="shared" ref="T1143:T1144" ca="1" si="1472">IF($J1143=$G$2,ROUND(ROUND($R1143,2)*IF($R$9="Preço Unitário (R$)",1,1+$AA1143),2),0)</f>
        <v>187.85</v>
      </c>
      <c r="U1143" s="126">
        <f t="shared" ref="U1143:U1144" ca="1" si="1473">IF($A1143="S",VTOTAL1,IF($A1143=0,0,ROUND(SomaAgrup,2)))</f>
        <v>1127.0999999999999</v>
      </c>
      <c r="V1143" s="1"/>
      <c r="W1143" s="39" t="str">
        <f ca="1">IF(OR($A1143=0,$A1143="S",$A1143&gt;CFF!$A$9),"",MAX(W$11:OFFSET(W1143,-1,0))+1)</f>
        <v/>
      </c>
      <c r="X1143" s="4" t="str">
        <f t="shared" ref="X1143:X1144" si="1474">IF(AND($J1143=$G$2,$N1143&lt;&gt;"",$M1143&lt;&gt;""),CONCATENATE($M1143,"-",$N1143))</f>
        <v>Rec. Humanos-001</v>
      </c>
      <c r="Y1143" s="39">
        <f t="shared" ref="Y1143:Y1144" ca="1" si="1475">IF(X1143&lt;&gt;FALSE,MATCH(X1143,OFFSET(Banco,0,0,,1),0))</f>
        <v>3</v>
      </c>
      <c r="Z1143" s="1"/>
      <c r="AA1143" s="133">
        <f>IF($J1143=$G$2,ROUND(IF(ISNUMBER(S1143),S1143,IF(LEFT(S1143,2)="DI",HLOOKUP(S1143,DADOS!$T$29:$X$30,2,FALSE),0)),4),"")</f>
        <v>0.25</v>
      </c>
      <c r="AB1143" s="2"/>
    </row>
    <row r="1144" spans="1:28">
      <c r="A1144" t="str">
        <f t="shared" si="1461"/>
        <v>S</v>
      </c>
      <c r="B1144">
        <f t="shared" si="1462"/>
        <v>0</v>
      </c>
      <c r="C1144">
        <f t="shared" ca="1" si="1463"/>
        <v>13</v>
      </c>
      <c r="D1144">
        <f t="shared" ca="1" si="1464"/>
        <v>2</v>
      </c>
      <c r="E1144">
        <f t="shared" ca="1" si="1465"/>
        <v>0</v>
      </c>
      <c r="F1144">
        <f t="shared" ca="1" si="1466"/>
        <v>0</v>
      </c>
      <c r="G1144">
        <f t="shared" ca="1" si="1467"/>
        <v>2</v>
      </c>
      <c r="H1144">
        <f ca="1">IF(OR($A1144="S",$A1144=0),0,MATCH(0,OFFSET($B1144,1,$A1144,ROW($A$1504)-ROW($A1144)),0))</f>
        <v>0</v>
      </c>
      <c r="I1144">
        <f ca="1">IF(OR($A1144="S",$A1144=0),0,MATCH(OFFSET($B1144,0,$A1144)+1,OFFSET($B1144,1,$A1144,ROW($A$1504)-ROW($A1144)),0))</f>
        <v>0</v>
      </c>
      <c r="J1144" s="132" t="s">
        <v>29</v>
      </c>
      <c r="K1144" s="121" t="str">
        <f t="shared" ca="1" si="1468"/>
        <v>13.2.2.</v>
      </c>
      <c r="L1144" s="137" t="str">
        <f t="shared" ca="1" si="1469"/>
        <v>CRESS</v>
      </c>
      <c r="M1144" s="122" t="s">
        <v>78</v>
      </c>
      <c r="N1144" s="139" t="s">
        <v>152</v>
      </c>
      <c r="O1144" s="137" t="str">
        <f ca="1">IF(NOT(ISERROR($Y1144)),IF($Y1144&lt;&gt;FALSE,INDEX(Banco,$Y1144,5),""),"")</f>
        <v>Assistente Social</v>
      </c>
      <c r="P1144" s="138" t="str">
        <f t="shared" ca="1" si="1470"/>
        <v>Horas</v>
      </c>
      <c r="Q1144" s="134">
        <v>14</v>
      </c>
      <c r="R1144" s="124">
        <f t="shared" ca="1" si="1471"/>
        <v>133.81</v>
      </c>
      <c r="S1144" s="136" t="s">
        <v>62</v>
      </c>
      <c r="T1144" s="123">
        <f t="shared" ca="1" si="1472"/>
        <v>167.26</v>
      </c>
      <c r="U1144" s="126">
        <f t="shared" ca="1" si="1473"/>
        <v>2341.64</v>
      </c>
      <c r="V1144" s="1"/>
      <c r="W1144" s="39" t="str">
        <f ca="1">IF(OR($A1144=0,$A1144="S",$A1144&gt;CFF!$A$9),"",MAX(W$11:OFFSET(W1144,-1,0))+1)</f>
        <v/>
      </c>
      <c r="X1144" s="4" t="str">
        <f t="shared" si="1474"/>
        <v>Rec. Humanos-002</v>
      </c>
      <c r="Y1144" s="39">
        <f t="shared" ca="1" si="1475"/>
        <v>4</v>
      </c>
      <c r="Z1144" s="1"/>
      <c r="AA1144" s="133">
        <f>IF($J1144=$G$2,ROUND(IF(ISNUMBER(S1144),S1144,IF(LEFT(S1144,2)="DI",HLOOKUP(S1144,DADOS!$T$29:$X$30,2,FALSE),0)),4),"")</f>
        <v>0.25</v>
      </c>
      <c r="AB1144" s="2"/>
    </row>
    <row r="1145" spans="1:28">
      <c r="A1145">
        <f>CHOOSE(1+LOG(1+2*(J1145=$C$2)+4*(J1145=$D$2)+8*(J1145=$E$2)+16*(J1145=$F$2)+32*(J1145=$G$2),2),0,1,2,3,4,"S")</f>
        <v>2</v>
      </c>
      <c r="B1145">
        <f ca="1">IF(OR(A1145="S",A1145=0),0,IF(ISERROR(I1145),H1145,SMALL(H1145:I1145,1)))</f>
        <v>20</v>
      </c>
      <c r="C1145">
        <f t="shared" ref="C1145:C1185" ca="1" si="1476">IF($A1145=1,OFFSET(C1145,-1,0)+1,OFFSET(C1145,-1,0))</f>
        <v>13</v>
      </c>
      <c r="D1145">
        <f t="shared" ref="D1145:D1185" ca="1" si="1477">IF($A1145=1,0,IF($A1145=2,OFFSET(D1145,-1,0)+1,OFFSET(D1145,-1,0)))</f>
        <v>3</v>
      </c>
      <c r="E1145">
        <f t="shared" ref="E1145:E1185" ca="1" si="1478">IF(AND($A1145&lt;=2,$A1145&lt;&gt;0),0,IF($A1145=3,OFFSET(E1145,-1,0)+1,OFFSET(E1145,-1,0)))</f>
        <v>0</v>
      </c>
      <c r="F1145">
        <f t="shared" ref="F1145:F1185" ca="1" si="1479">IF(AND($A1145&lt;=3,$A1145&lt;&gt;0),0,IF($A1145=4,OFFSET(F1145,-1,0)+1,OFFSET(F1145,-1,0)))</f>
        <v>0</v>
      </c>
      <c r="G1145">
        <f t="shared" ref="G1145:G1185" ca="1" si="1480">IF(AND($A1145&lt;=4,$A1145&lt;&gt;0),0,IF($A1145="S",OFFSET(G1145,-1,0)+1,OFFSET(G1145,-1,0)))</f>
        <v>0</v>
      </c>
      <c r="H1145">
        <f ca="1">IF(OR($A1145="S",$A1145=0),0,MATCH(0,OFFSET($B1145,1,$A1145,ROW($A$1504)-ROW($A1145)),0))</f>
        <v>61</v>
      </c>
      <c r="I1145">
        <f ca="1">IF(OR($A1145="S",$A1145=0),0,MATCH(OFFSET($B1145,0,$A1145)+1,OFFSET($B1145,1,$A1145,ROW($A$1504)-ROW($A1145)),0))</f>
        <v>20</v>
      </c>
      <c r="J1145" s="132" t="s">
        <v>68</v>
      </c>
      <c r="K1145" s="121" t="str">
        <f t="shared" ref="K1145:K1185" ca="1" si="1481">IF($A1145=0,"-",CONCATENATE(C1145&amp;".",IF(AND($A$5&gt;=2,$A1145&gt;=2),D1145&amp;".",""),IF(AND($A$5&gt;=3,$A1145&gt;=3),E1145&amp;".",""),IF(AND($A$5&gt;=4,$A1145&gt;=4),F1145&amp;".",""),IF($A1145="S",G1145&amp;".","")))</f>
        <v>13.3.</v>
      </c>
      <c r="L1145" s="137" t="str">
        <f t="shared" ref="L1145:L1185" ca="1" si="1482">IF(NOT(ISERROR($Y1145)),IF($Y1145&lt;&gt;FALSE,INDEX(Banco,$Y1145,4),""),"")</f>
        <v/>
      </c>
      <c r="M1145" s="122"/>
      <c r="N1145" s="139"/>
      <c r="O1145" s="137" t="s">
        <v>454</v>
      </c>
      <c r="P1145" s="138" t="str">
        <f t="shared" ref="P1145:P1185" ca="1" si="1483">IF(NOT(ISERROR($Y1145)),IF($Y1145&lt;&gt;FALSE,INDEX(Banco,$Y1145,6),""),"")</f>
        <v/>
      </c>
      <c r="Q1145" s="134"/>
      <c r="R1145" s="124">
        <f t="shared" ref="R1145:R1185" ca="1" si="1484">IF(NOT(ISERROR($Y1145)),IF($Y1145&lt;&gt;FALSE,INDEX(Banco,$Y1145,7),0),0)</f>
        <v>0</v>
      </c>
      <c r="S1145" s="136" t="s">
        <v>62</v>
      </c>
      <c r="T1145" s="123">
        <f t="shared" ref="T1145:T1185" si="1485">IF($J1145=$G$2,ROUND(ROUND($R1145,2)*IF($R$9="Preço Unitário (R$)",1,1+$AA1145),2),0)</f>
        <v>0</v>
      </c>
      <c r="U1145" s="126">
        <f t="shared" ref="U1145:U1185" ca="1" si="1486">IF($A1145="S",VTOTAL1,IF($A1145=0,0,ROUND(SomaAgrup,2)))</f>
        <v>10813.77</v>
      </c>
      <c r="V1145" s="1"/>
      <c r="W1145" s="39">
        <f ca="1">IF(OR($A1145=0,$A1145="S",$A1145&gt;CFF!$A$9),"",MAX(W$11:OFFSET(W1145,-1,0))+1)</f>
        <v>102</v>
      </c>
      <c r="X1145" s="4" t="b">
        <f t="shared" ref="X1145:X1185" si="1487">IF(AND($J1145=$G$2,$N1145&lt;&gt;"",$M1145&lt;&gt;""),CONCATENATE($M1145,"-",$N1145))</f>
        <v>0</v>
      </c>
      <c r="Y1145" s="39" t="b">
        <f ca="1">IF(X1145&lt;&gt;FALSE,MATCH(X1145,OFFSET(Banco,0,0,,1),0))</f>
        <v>0</v>
      </c>
      <c r="Z1145" s="1"/>
      <c r="AA1145" s="133" t="str">
        <f>IF($J1145=$G$2,ROUND(IF(ISNUMBER(S1145),S1145,IF(LEFT(S1145,2)="DI",HLOOKUP(S1145,DADOS!$T$29:$X$30,2,FALSE),0)),4),"")</f>
        <v/>
      </c>
      <c r="AB1145" s="2"/>
    </row>
    <row r="1146" spans="1:28">
      <c r="A1146" t="str">
        <f>CHOOSE(1+LOG(1+2*(J1146=$C$2)+4*(J1146=$D$2)+8*(J1146=$E$2)+16*(J1146=$F$2)+32*(J1146=$G$2),2),0,1,2,3,4,"S")</f>
        <v>S</v>
      </c>
      <c r="B1146">
        <f>IF(OR(A1146="S",A1146=0),0,IF(ISERROR(I1146),H1146,SMALL(H1146:I1146,1)))</f>
        <v>0</v>
      </c>
      <c r="C1146">
        <f t="shared" ca="1" si="1476"/>
        <v>13</v>
      </c>
      <c r="D1146">
        <f t="shared" ca="1" si="1477"/>
        <v>3</v>
      </c>
      <c r="E1146">
        <f t="shared" ca="1" si="1478"/>
        <v>0</v>
      </c>
      <c r="F1146">
        <f t="shared" ca="1" si="1479"/>
        <v>0</v>
      </c>
      <c r="G1146">
        <f t="shared" ca="1" si="1480"/>
        <v>1</v>
      </c>
      <c r="H1146">
        <f ca="1">IF(OR($A1146="S",$A1146=0),0,MATCH(0,OFFSET($B1146,1,$A1146,ROW($A$1504)-ROW($A1146)),0))</f>
        <v>0</v>
      </c>
      <c r="I1146">
        <f ca="1">IF(OR($A1146="S",$A1146=0),0,MATCH(OFFSET($B1146,0,$A1146)+1,OFFSET($B1146,1,$A1146,ROW($A$1504)-ROW($A1146)),0))</f>
        <v>0</v>
      </c>
      <c r="J1146" s="132" t="s">
        <v>29</v>
      </c>
      <c r="K1146" s="121" t="str">
        <f t="shared" ca="1" si="1481"/>
        <v>13.3.1.</v>
      </c>
      <c r="L1146" s="137" t="str">
        <f t="shared" ca="1" si="1482"/>
        <v>CRESS</v>
      </c>
      <c r="M1146" s="122" t="s">
        <v>78</v>
      </c>
      <c r="N1146" s="139" t="s">
        <v>149</v>
      </c>
      <c r="O1146" s="137" t="str">
        <f t="shared" ref="O1146:O1164" ca="1" si="1488">IF(NOT(ISERROR($Y1146)),IF($Y1146&lt;&gt;FALSE,INDEX(Banco,$Y1146,5),""),"")</f>
        <v>Responsável Técnica</v>
      </c>
      <c r="P1146" s="138" t="str">
        <f t="shared" ca="1" si="1483"/>
        <v>Horas</v>
      </c>
      <c r="Q1146" s="134">
        <v>9</v>
      </c>
      <c r="R1146" s="124">
        <f t="shared" ca="1" si="1484"/>
        <v>150.28</v>
      </c>
      <c r="S1146" s="136" t="s">
        <v>62</v>
      </c>
      <c r="T1146" s="123">
        <f t="shared" ca="1" si="1485"/>
        <v>187.85</v>
      </c>
      <c r="U1146" s="126">
        <f t="shared" ca="1" si="1486"/>
        <v>1690.65</v>
      </c>
      <c r="V1146" s="1"/>
      <c r="W1146" s="39" t="str">
        <f ca="1">IF(OR($A1146=0,$A1146="S",$A1146&gt;CFF!$A$9),"",MAX(W$11:OFFSET(W1146,-1,0))+1)</f>
        <v/>
      </c>
      <c r="X1146" s="4" t="str">
        <f t="shared" si="1487"/>
        <v>Rec. Humanos-001</v>
      </c>
      <c r="Y1146" s="39">
        <f ca="1">IF(X1146&lt;&gt;FALSE,MATCH(X1146,OFFSET(Banco,0,0,,1),0))</f>
        <v>3</v>
      </c>
      <c r="Z1146" s="1"/>
      <c r="AA1146" s="133">
        <f>IF($J1146=$G$2,ROUND(IF(ISNUMBER(S1146),S1146,IF(LEFT(S1146,2)="DI",HLOOKUP(S1146,DADOS!$T$29:$X$30,2,FALSE),0)),4),"")</f>
        <v>0.25</v>
      </c>
      <c r="AB1146" s="2"/>
    </row>
    <row r="1147" spans="1:28">
      <c r="A1147" t="str">
        <f>CHOOSE(1+LOG(1+2*(J1147=$C$2)+4*(J1147=$D$2)+8*(J1147=$E$2)+16*(J1147=$F$2)+32*(J1147=$G$2),2),0,1,2,3,4,"S")</f>
        <v>S</v>
      </c>
      <c r="B1147">
        <f>IF(OR(A1147="S",A1147=0),0,IF(ISERROR(I1147),H1147,SMALL(H1147:I1147,1)))</f>
        <v>0</v>
      </c>
      <c r="C1147">
        <f t="shared" ca="1" si="1476"/>
        <v>13</v>
      </c>
      <c r="D1147">
        <f t="shared" ca="1" si="1477"/>
        <v>3</v>
      </c>
      <c r="E1147">
        <f t="shared" ca="1" si="1478"/>
        <v>0</v>
      </c>
      <c r="F1147">
        <f t="shared" ca="1" si="1479"/>
        <v>0</v>
      </c>
      <c r="G1147">
        <f t="shared" ca="1" si="1480"/>
        <v>2</v>
      </c>
      <c r="H1147">
        <f ca="1">IF(OR($A1147="S",$A1147=0),0,MATCH(0,OFFSET($B1147,1,$A1147,ROW($A$1504)-ROW($A1147)),0))</f>
        <v>0</v>
      </c>
      <c r="I1147">
        <f ca="1">IF(OR($A1147="S",$A1147=0),0,MATCH(OFFSET($B1147,0,$A1147)+1,OFFSET($B1147,1,$A1147,ROW($A$1504)-ROW($A1147)),0))</f>
        <v>0</v>
      </c>
      <c r="J1147" s="132" t="s">
        <v>29</v>
      </c>
      <c r="K1147" s="121" t="str">
        <f t="shared" ca="1" si="1481"/>
        <v>13.3.2.</v>
      </c>
      <c r="L1147" s="137" t="str">
        <f t="shared" ca="1" si="1482"/>
        <v>CRESS</v>
      </c>
      <c r="M1147" s="122" t="s">
        <v>78</v>
      </c>
      <c r="N1147" s="139" t="s">
        <v>152</v>
      </c>
      <c r="O1147" s="137" t="str">
        <f t="shared" ca="1" si="1488"/>
        <v>Assistente Social</v>
      </c>
      <c r="P1147" s="138" t="str">
        <f t="shared" ca="1" si="1483"/>
        <v>Horas</v>
      </c>
      <c r="Q1147" s="134">
        <v>7</v>
      </c>
      <c r="R1147" s="124">
        <f t="shared" ca="1" si="1484"/>
        <v>133.81</v>
      </c>
      <c r="S1147" s="136" t="s">
        <v>62</v>
      </c>
      <c r="T1147" s="123">
        <f t="shared" ca="1" si="1485"/>
        <v>167.26</v>
      </c>
      <c r="U1147" s="126">
        <f t="shared" ca="1" si="1486"/>
        <v>1170.82</v>
      </c>
      <c r="V1147" s="1"/>
      <c r="W1147" s="39" t="str">
        <f ca="1">IF(OR($A1147=0,$A1147="S",$A1147&gt;CFF!$A$9),"",MAX(W$11:OFFSET(W1147,-1,0))+1)</f>
        <v/>
      </c>
      <c r="X1147" s="4" t="str">
        <f t="shared" si="1487"/>
        <v>Rec. Humanos-002</v>
      </c>
      <c r="Y1147" s="39">
        <f ca="1">IF(X1147&lt;&gt;FALSE,MATCH(X1147,OFFSET(Banco,0,0,,1),0))</f>
        <v>4</v>
      </c>
      <c r="Z1147" s="1"/>
      <c r="AA1147" s="133">
        <f>IF($J1147=$G$2,ROUND(IF(ISNUMBER(S1147),S1147,IF(LEFT(S1147,2)="DI",HLOOKUP(S1147,DADOS!$T$29:$X$30,2,FALSE),0)),4),"")</f>
        <v>0.25</v>
      </c>
      <c r="AB1147" s="2"/>
    </row>
    <row r="1148" spans="1:28">
      <c r="A1148" t="str">
        <f t="shared" ref="A1148:A1163" si="1489">CHOOSE(1+LOG(1+2*(J1148=$C$2)+4*(J1148=$D$2)+8*(J1148=$E$2)+16*(J1148=$F$2)+32*(J1148=$G$2),2),0,1,2,3,4,"S")</f>
        <v>S</v>
      </c>
      <c r="B1148">
        <f t="shared" ref="B1148:B1163" si="1490">IF(OR(A1148="S",A1148=0),0,IF(ISERROR(I1148),H1148,SMALL(H1148:I1148,1)))</f>
        <v>0</v>
      </c>
      <c r="C1148">
        <f t="shared" ca="1" si="1476"/>
        <v>13</v>
      </c>
      <c r="D1148">
        <f t="shared" ca="1" si="1477"/>
        <v>3</v>
      </c>
      <c r="E1148">
        <f t="shared" ca="1" si="1478"/>
        <v>0</v>
      </c>
      <c r="F1148">
        <f t="shared" ca="1" si="1479"/>
        <v>0</v>
      </c>
      <c r="G1148">
        <f t="shared" ca="1" si="1480"/>
        <v>3</v>
      </c>
      <c r="H1148">
        <f ca="1">IF(OR($A1148="S",$A1148=0),0,MATCH(0,OFFSET($B1148,1,$A1148,ROW($A$1504)-ROW($A1148)),0))</f>
        <v>0</v>
      </c>
      <c r="I1148">
        <f ca="1">IF(OR($A1148="S",$A1148=0),0,MATCH(OFFSET($B1148,0,$A1148)+1,OFFSET($B1148,1,$A1148,ROW($A$1504)-ROW($A1148)),0))</f>
        <v>0</v>
      </c>
      <c r="J1148" s="132" t="s">
        <v>29</v>
      </c>
      <c r="K1148" s="121" t="str">
        <f t="shared" ca="1" si="1481"/>
        <v>13.3.3.</v>
      </c>
      <c r="L1148" s="137" t="str">
        <f t="shared" ca="1" si="1482"/>
        <v>Cotação</v>
      </c>
      <c r="M1148" s="122" t="s">
        <v>78</v>
      </c>
      <c r="N1148" s="139" t="s">
        <v>151</v>
      </c>
      <c r="O1148" s="137" t="str">
        <f t="shared" ca="1" si="1488"/>
        <v xml:space="preserve">Administrador (Técnico de Apoio) </v>
      </c>
      <c r="P1148" s="138" t="str">
        <f t="shared" ca="1" si="1483"/>
        <v>Horas</v>
      </c>
      <c r="Q1148" s="134">
        <v>4</v>
      </c>
      <c r="R1148" s="124">
        <f t="shared" ca="1" si="1484"/>
        <v>103.65</v>
      </c>
      <c r="S1148" s="136" t="s">
        <v>62</v>
      </c>
      <c r="T1148" s="123">
        <f t="shared" ca="1" si="1485"/>
        <v>129.56</v>
      </c>
      <c r="U1148" s="126">
        <f t="shared" ca="1" si="1486"/>
        <v>518.24</v>
      </c>
      <c r="V1148" s="1"/>
      <c r="W1148" s="39" t="str">
        <f ca="1">IF(OR($A1148=0,$A1148="S",$A1148&gt;CFF!$A$9),"",MAX(W$11:OFFSET(W1148,-1,0))+1)</f>
        <v/>
      </c>
      <c r="X1148" s="4" t="str">
        <f t="shared" si="1487"/>
        <v>Rec. Humanos-003</v>
      </c>
      <c r="Y1148" s="39">
        <f t="shared" ref="Y1148:Y1163" ca="1" si="1491">IF(X1148&lt;&gt;FALSE,MATCH(X1148,OFFSET(Banco,0,0,,1),0))</f>
        <v>5</v>
      </c>
      <c r="Z1148" s="1"/>
      <c r="AA1148" s="133">
        <f>IF($J1148=$G$2,ROUND(IF(ISNUMBER(S1148),S1148,IF(LEFT(S1148,2)="DI",HLOOKUP(S1148,DADOS!$T$29:$X$30,2,FALSE),0)),4),"")</f>
        <v>0.25</v>
      </c>
      <c r="AB1148" s="2"/>
    </row>
    <row r="1149" spans="1:28">
      <c r="A1149" t="str">
        <f t="shared" si="1489"/>
        <v>S</v>
      </c>
      <c r="B1149">
        <f t="shared" si="1490"/>
        <v>0</v>
      </c>
      <c r="C1149">
        <f t="shared" ca="1" si="1476"/>
        <v>13</v>
      </c>
      <c r="D1149">
        <f t="shared" ca="1" si="1477"/>
        <v>3</v>
      </c>
      <c r="E1149">
        <f t="shared" ca="1" si="1478"/>
        <v>0</v>
      </c>
      <c r="F1149">
        <f t="shared" ca="1" si="1479"/>
        <v>0</v>
      </c>
      <c r="G1149">
        <f t="shared" ca="1" si="1480"/>
        <v>4</v>
      </c>
      <c r="H1149">
        <f ca="1">IF(OR($A1149="S",$A1149=0),0,MATCH(0,OFFSET($B1149,1,$A1149,ROW($A$1504)-ROW($A1149)),0))</f>
        <v>0</v>
      </c>
      <c r="I1149">
        <f ca="1">IF(OR($A1149="S",$A1149=0),0,MATCH(OFFSET($B1149,0,$A1149)+1,OFFSET($B1149,1,$A1149,ROW($A$1504)-ROW($A1149)),0))</f>
        <v>0</v>
      </c>
      <c r="J1149" s="132" t="s">
        <v>29</v>
      </c>
      <c r="K1149" s="121" t="str">
        <f t="shared" ca="1" si="1481"/>
        <v>13.3.4.</v>
      </c>
      <c r="L1149" s="137" t="str">
        <f t="shared" ca="1" si="1482"/>
        <v>SINE</v>
      </c>
      <c r="M1149" s="122" t="s">
        <v>78</v>
      </c>
      <c r="N1149" s="139" t="s">
        <v>153</v>
      </c>
      <c r="O1149" s="137" t="str">
        <f t="shared" ca="1" si="1488"/>
        <v>Estagiários</v>
      </c>
      <c r="P1149" s="138" t="str">
        <f t="shared" ca="1" si="1483"/>
        <v>Horas</v>
      </c>
      <c r="Q1149" s="134">
        <v>16</v>
      </c>
      <c r="R1149" s="124">
        <f t="shared" ca="1" si="1484"/>
        <v>9.7899999999999991</v>
      </c>
      <c r="S1149" s="136" t="s">
        <v>62</v>
      </c>
      <c r="T1149" s="123">
        <f t="shared" ca="1" si="1485"/>
        <v>12.24</v>
      </c>
      <c r="U1149" s="126">
        <f t="shared" ca="1" si="1486"/>
        <v>195.84</v>
      </c>
      <c r="V1149" s="1"/>
      <c r="W1149" s="39" t="str">
        <f ca="1">IF(OR($A1149=0,$A1149="S",$A1149&gt;CFF!$A$9),"",MAX(W$11:OFFSET(W1149,-1,0))+1)</f>
        <v/>
      </c>
      <c r="X1149" s="4" t="str">
        <f t="shared" si="1487"/>
        <v>Rec. Humanos-004</v>
      </c>
      <c r="Y1149" s="39">
        <f t="shared" ca="1" si="1491"/>
        <v>6</v>
      </c>
      <c r="Z1149" s="1"/>
      <c r="AA1149" s="133">
        <f>IF($J1149=$G$2,ROUND(IF(ISNUMBER(S1149),S1149,IF(LEFT(S1149,2)="DI",HLOOKUP(S1149,DADOS!$T$29:$X$30,2,FALSE),0)),4),"")</f>
        <v>0.25</v>
      </c>
      <c r="AB1149" s="2"/>
    </row>
    <row r="1150" spans="1:28">
      <c r="A1150" t="str">
        <f t="shared" si="1489"/>
        <v>S</v>
      </c>
      <c r="B1150">
        <f t="shared" si="1490"/>
        <v>0</v>
      </c>
      <c r="C1150">
        <f t="shared" ca="1" si="1476"/>
        <v>13</v>
      </c>
      <c r="D1150">
        <f t="shared" ca="1" si="1477"/>
        <v>3</v>
      </c>
      <c r="E1150">
        <f t="shared" ca="1" si="1478"/>
        <v>0</v>
      </c>
      <c r="F1150">
        <f t="shared" ca="1" si="1479"/>
        <v>0</v>
      </c>
      <c r="G1150">
        <f t="shared" ca="1" si="1480"/>
        <v>5</v>
      </c>
      <c r="H1150">
        <f ca="1">IF(OR($A1150="S",$A1150=0),0,MATCH(0,OFFSET($B1150,1,$A1150,ROW($A$1504)-ROW($A1150)),0))</f>
        <v>0</v>
      </c>
      <c r="I1150">
        <f ca="1">IF(OR($A1150="S",$A1150=0),0,MATCH(OFFSET($B1150,0,$A1150)+1,OFFSET($B1150,1,$A1150,ROW($A$1504)-ROW($A1150)),0))</f>
        <v>0</v>
      </c>
      <c r="J1150" s="132" t="s">
        <v>29</v>
      </c>
      <c r="K1150" s="121" t="str">
        <f t="shared" ca="1" si="1481"/>
        <v>13.3.5.</v>
      </c>
      <c r="L1150" s="137" t="str">
        <f t="shared" ca="1" si="1482"/>
        <v>Cotação</v>
      </c>
      <c r="M1150" s="122" t="s">
        <v>80</v>
      </c>
      <c r="N1150" s="139" t="s">
        <v>149</v>
      </c>
      <c r="O1150" s="137" t="str">
        <f t="shared" ca="1" si="1488"/>
        <v>Fotocópias</v>
      </c>
      <c r="P1150" s="138" t="str">
        <f t="shared" ca="1" si="1483"/>
        <v>Unidade</v>
      </c>
      <c r="Q1150" s="134">
        <v>150</v>
      </c>
      <c r="R1150" s="124">
        <f t="shared" ca="1" si="1484"/>
        <v>0.3</v>
      </c>
      <c r="S1150" s="136" t="s">
        <v>62</v>
      </c>
      <c r="T1150" s="123">
        <f t="shared" ca="1" si="1485"/>
        <v>0.38</v>
      </c>
      <c r="U1150" s="126">
        <f t="shared" ca="1" si="1486"/>
        <v>57</v>
      </c>
      <c r="V1150" s="1"/>
      <c r="W1150" s="39" t="str">
        <f ca="1">IF(OR($A1150=0,$A1150="S",$A1150&gt;CFF!$A$9),"",MAX(W$11:OFFSET(W1150,-1,0))+1)</f>
        <v/>
      </c>
      <c r="X1150" s="4" t="str">
        <f t="shared" si="1487"/>
        <v>Serv. Terc.-001</v>
      </c>
      <c r="Y1150" s="39">
        <f t="shared" ca="1" si="1491"/>
        <v>81</v>
      </c>
      <c r="Z1150" s="1"/>
      <c r="AA1150" s="133">
        <f>IF($J1150=$G$2,ROUND(IF(ISNUMBER(S1150),S1150,IF(LEFT(S1150,2)="DI",HLOOKUP(S1150,DADOS!$T$29:$X$30,2,FALSE),0)),4),"")</f>
        <v>0.25</v>
      </c>
      <c r="AB1150" s="2"/>
    </row>
    <row r="1151" spans="1:28">
      <c r="A1151" t="str">
        <f>CHOOSE(1+LOG(1+2*(J1151=$C$2)+4*(J1151=$D$2)+8*(J1151=$E$2)+16*(J1151=$F$2)+32*(J1151=$G$2),2),0,1,2,3,4,"S")</f>
        <v>S</v>
      </c>
      <c r="B1151">
        <f>IF(OR(A1151="S",A1151=0),0,IF(ISERROR(I1151),H1151,SMALL(H1151:I1151,1)))</f>
        <v>0</v>
      </c>
      <c r="C1151">
        <f t="shared" ca="1" si="1476"/>
        <v>13</v>
      </c>
      <c r="D1151">
        <f t="shared" ca="1" si="1477"/>
        <v>3</v>
      </c>
      <c r="E1151">
        <f t="shared" ca="1" si="1478"/>
        <v>0</v>
      </c>
      <c r="F1151">
        <f t="shared" ca="1" si="1479"/>
        <v>0</v>
      </c>
      <c r="G1151">
        <f t="shared" ca="1" si="1480"/>
        <v>6</v>
      </c>
      <c r="H1151">
        <f ca="1">IF(OR($A1151="S",$A1151=0),0,MATCH(0,OFFSET($B1151,1,$A1151,ROW($A$1504)-ROW($A1151)),0))</f>
        <v>0</v>
      </c>
      <c r="I1151">
        <f ca="1">IF(OR($A1151="S",$A1151=0),0,MATCH(OFFSET($B1151,0,$A1151)+1,OFFSET($B1151,1,$A1151,ROW($A$1504)-ROW($A1151)),0))</f>
        <v>0</v>
      </c>
      <c r="J1151" s="132" t="s">
        <v>29</v>
      </c>
      <c r="K1151" s="121" t="str">
        <f t="shared" ca="1" si="1481"/>
        <v>13.3.6.</v>
      </c>
      <c r="L1151" s="137" t="str">
        <f t="shared" ca="1" si="1482"/>
        <v>Cotação</v>
      </c>
      <c r="M1151" s="122" t="s">
        <v>80</v>
      </c>
      <c r="N1151" s="139" t="s">
        <v>256</v>
      </c>
      <c r="O1151" s="137" t="str">
        <f t="shared" ca="1" si="1488"/>
        <v>Instrutor/Monitor (Educação Fisíca)</v>
      </c>
      <c r="P1151" s="138" t="str">
        <f t="shared" ca="1" si="1483"/>
        <v>Horas</v>
      </c>
      <c r="Q1151" s="134">
        <v>3</v>
      </c>
      <c r="R1151" s="124">
        <f t="shared" ca="1" si="1484"/>
        <v>100</v>
      </c>
      <c r="S1151" s="136" t="s">
        <v>62</v>
      </c>
      <c r="T1151" s="123">
        <f t="shared" ca="1" si="1485"/>
        <v>125</v>
      </c>
      <c r="U1151" s="126">
        <f t="shared" ca="1" si="1486"/>
        <v>375</v>
      </c>
      <c r="V1151" s="1"/>
      <c r="W1151" s="39" t="str">
        <f ca="1">IF(OR($A1151=0,$A1151="S",$A1151&gt;CFF!$A$9),"",MAX(W$11:OFFSET(W1151,-1,0))+1)</f>
        <v/>
      </c>
      <c r="X1151" s="4" t="str">
        <f t="shared" si="1487"/>
        <v>Serv. Terc.-017</v>
      </c>
      <c r="Y1151" s="39">
        <f ca="1">IF(X1151&lt;&gt;FALSE,MATCH(X1151,OFFSET(Banco,0,0,,1),0))</f>
        <v>97</v>
      </c>
      <c r="Z1151" s="1"/>
      <c r="AA1151" s="133">
        <f>IF($J1151=$G$2,ROUND(IF(ISNUMBER(S1151),S1151,IF(LEFT(S1151,2)="DI",HLOOKUP(S1151,DADOS!$T$29:$X$30,2,FALSE),0)),4),"")</f>
        <v>0.25</v>
      </c>
      <c r="AB1151" s="2"/>
    </row>
    <row r="1152" spans="1:28">
      <c r="A1152" t="str">
        <f t="shared" si="1489"/>
        <v>S</v>
      </c>
      <c r="B1152">
        <f t="shared" si="1490"/>
        <v>0</v>
      </c>
      <c r="C1152">
        <f t="shared" ca="1" si="1476"/>
        <v>13</v>
      </c>
      <c r="D1152">
        <f t="shared" ca="1" si="1477"/>
        <v>3</v>
      </c>
      <c r="E1152">
        <f t="shared" ca="1" si="1478"/>
        <v>0</v>
      </c>
      <c r="F1152">
        <f t="shared" ca="1" si="1479"/>
        <v>0</v>
      </c>
      <c r="G1152">
        <f t="shared" ca="1" si="1480"/>
        <v>7</v>
      </c>
      <c r="H1152">
        <f ca="1">IF(OR($A1152="S",$A1152=0),0,MATCH(0,OFFSET($B1152,1,$A1152,ROW($A$1504)-ROW($A1152)),0))</f>
        <v>0</v>
      </c>
      <c r="I1152">
        <f ca="1">IF(OR($A1152="S",$A1152=0),0,MATCH(OFFSET($B1152,0,$A1152)+1,OFFSET($B1152,1,$A1152,ROW($A$1504)-ROW($A1152)),0))</f>
        <v>0</v>
      </c>
      <c r="J1152" s="132" t="s">
        <v>29</v>
      </c>
      <c r="K1152" s="121" t="str">
        <f t="shared" ca="1" si="1481"/>
        <v>13.3.7.</v>
      </c>
      <c r="L1152" s="137" t="str">
        <f t="shared" ca="1" si="1482"/>
        <v>Cotação</v>
      </c>
      <c r="M1152" s="122" t="s">
        <v>80</v>
      </c>
      <c r="N1152" s="139" t="s">
        <v>152</v>
      </c>
      <c r="O1152" s="137" t="str">
        <f t="shared" ca="1" si="1488"/>
        <v>Carro de som com gravação de vinheta</v>
      </c>
      <c r="P1152" s="138" t="str">
        <f t="shared" ca="1" si="1483"/>
        <v>Horas</v>
      </c>
      <c r="Q1152" s="134">
        <v>3</v>
      </c>
      <c r="R1152" s="124">
        <f t="shared" ca="1" si="1484"/>
        <v>200</v>
      </c>
      <c r="S1152" s="136" t="s">
        <v>62</v>
      </c>
      <c r="T1152" s="123">
        <f t="shared" ca="1" si="1485"/>
        <v>250</v>
      </c>
      <c r="U1152" s="126">
        <f t="shared" ca="1" si="1486"/>
        <v>750</v>
      </c>
      <c r="V1152" s="1"/>
      <c r="W1152" s="39" t="str">
        <f ca="1">IF(OR($A1152=0,$A1152="S",$A1152&gt;CFF!$A$9),"",MAX(W$11:OFFSET(W1152,-1,0))+1)</f>
        <v/>
      </c>
      <c r="X1152" s="4" t="str">
        <f t="shared" si="1487"/>
        <v>Serv. Terc.-002</v>
      </c>
      <c r="Y1152" s="39">
        <f t="shared" ca="1" si="1491"/>
        <v>82</v>
      </c>
      <c r="Z1152" s="1"/>
      <c r="AA1152" s="133">
        <f>IF($J1152=$G$2,ROUND(IF(ISNUMBER(S1152),S1152,IF(LEFT(S1152,2)="DI",HLOOKUP(S1152,DADOS!$T$29:$X$30,2,FALSE),0)),4),"")</f>
        <v>0.25</v>
      </c>
      <c r="AB1152" s="2"/>
    </row>
    <row r="1153" spans="1:28">
      <c r="A1153" t="str">
        <f t="shared" si="1489"/>
        <v>S</v>
      </c>
      <c r="B1153">
        <f t="shared" si="1490"/>
        <v>0</v>
      </c>
      <c r="C1153">
        <f t="shared" ca="1" si="1476"/>
        <v>13</v>
      </c>
      <c r="D1153">
        <f t="shared" ca="1" si="1477"/>
        <v>3</v>
      </c>
      <c r="E1153">
        <f t="shared" ca="1" si="1478"/>
        <v>0</v>
      </c>
      <c r="F1153">
        <f t="shared" ca="1" si="1479"/>
        <v>0</v>
      </c>
      <c r="G1153">
        <f t="shared" ca="1" si="1480"/>
        <v>8</v>
      </c>
      <c r="H1153">
        <f ca="1">IF(OR($A1153="S",$A1153=0),0,MATCH(0,OFFSET($B1153,1,$A1153,ROW($A$1504)-ROW($A1153)),0))</f>
        <v>0</v>
      </c>
      <c r="I1153">
        <f ca="1">IF(OR($A1153="S",$A1153=0),0,MATCH(OFFSET($B1153,0,$A1153)+1,OFFSET($B1153,1,$A1153,ROW($A$1504)-ROW($A1153)),0))</f>
        <v>0</v>
      </c>
      <c r="J1153" s="132" t="s">
        <v>29</v>
      </c>
      <c r="K1153" s="121" t="str">
        <f t="shared" ca="1" si="1481"/>
        <v>13.3.8.</v>
      </c>
      <c r="L1153" s="137" t="str">
        <f t="shared" ca="1" si="1482"/>
        <v>Cotação</v>
      </c>
      <c r="M1153" s="122" t="s">
        <v>80</v>
      </c>
      <c r="N1153" s="139" t="s">
        <v>154</v>
      </c>
      <c r="O1153" s="137" t="str">
        <f t="shared" ca="1" si="1488"/>
        <v>Locação de caixa térmica</v>
      </c>
      <c r="P1153" s="138" t="str">
        <f t="shared" ca="1" si="1483"/>
        <v>Unidade</v>
      </c>
      <c r="Q1153" s="134">
        <v>2</v>
      </c>
      <c r="R1153" s="124">
        <f t="shared" ca="1" si="1484"/>
        <v>40</v>
      </c>
      <c r="S1153" s="136" t="s">
        <v>62</v>
      </c>
      <c r="T1153" s="123">
        <f t="shared" ca="1" si="1485"/>
        <v>50</v>
      </c>
      <c r="U1153" s="126">
        <f t="shared" ca="1" si="1486"/>
        <v>100</v>
      </c>
      <c r="V1153" s="1"/>
      <c r="W1153" s="39" t="str">
        <f ca="1">IF(OR($A1153=0,$A1153="S",$A1153&gt;CFF!$A$9),"",MAX(W$11:OFFSET(W1153,-1,0))+1)</f>
        <v/>
      </c>
      <c r="X1153" s="4" t="str">
        <f t="shared" si="1487"/>
        <v>Serv. Terc.-005</v>
      </c>
      <c r="Y1153" s="39">
        <f t="shared" ca="1" si="1491"/>
        <v>85</v>
      </c>
      <c r="Z1153" s="1"/>
      <c r="AA1153" s="133">
        <f>IF($J1153=$G$2,ROUND(IF(ISNUMBER(S1153),S1153,IF(LEFT(S1153,2)="DI",HLOOKUP(S1153,DADOS!$T$29:$X$30,2,FALSE),0)),4),"")</f>
        <v>0.25</v>
      </c>
      <c r="AB1153" s="2"/>
    </row>
    <row r="1154" spans="1:28">
      <c r="A1154" t="str">
        <f t="shared" si="1489"/>
        <v>S</v>
      </c>
      <c r="B1154">
        <f t="shared" si="1490"/>
        <v>0</v>
      </c>
      <c r="C1154">
        <f t="shared" ca="1" si="1476"/>
        <v>13</v>
      </c>
      <c r="D1154">
        <f t="shared" ca="1" si="1477"/>
        <v>3</v>
      </c>
      <c r="E1154">
        <f t="shared" ca="1" si="1478"/>
        <v>0</v>
      </c>
      <c r="F1154">
        <f t="shared" ca="1" si="1479"/>
        <v>0</v>
      </c>
      <c r="G1154">
        <f t="shared" ca="1" si="1480"/>
        <v>9</v>
      </c>
      <c r="H1154">
        <f ca="1">IF(OR($A1154="S",$A1154=0),0,MATCH(0,OFFSET($B1154,1,$A1154,ROW($A$1504)-ROW($A1154)),0))</f>
        <v>0</v>
      </c>
      <c r="I1154">
        <f ca="1">IF(OR($A1154="S",$A1154=0),0,MATCH(OFFSET($B1154,0,$A1154)+1,OFFSET($B1154,1,$A1154,ROW($A$1504)-ROW($A1154)),0))</f>
        <v>0</v>
      </c>
      <c r="J1154" s="132" t="s">
        <v>29</v>
      </c>
      <c r="K1154" s="121" t="str">
        <f t="shared" ca="1" si="1481"/>
        <v>13.3.9.</v>
      </c>
      <c r="L1154" s="137" t="str">
        <f t="shared" ca="1" si="1482"/>
        <v>Cotação</v>
      </c>
      <c r="M1154" s="122" t="s">
        <v>80</v>
      </c>
      <c r="N1154" s="139" t="s">
        <v>157</v>
      </c>
      <c r="O1154" s="137" t="str">
        <f t="shared" ca="1" si="1488"/>
        <v>Locação de pula-pula com monitor</v>
      </c>
      <c r="P1154" s="138" t="str">
        <f t="shared" ca="1" si="1483"/>
        <v>Unidade</v>
      </c>
      <c r="Q1154" s="134">
        <v>2</v>
      </c>
      <c r="R1154" s="124">
        <f t="shared" ca="1" si="1484"/>
        <v>220</v>
      </c>
      <c r="S1154" s="136" t="s">
        <v>62</v>
      </c>
      <c r="T1154" s="123">
        <f t="shared" ca="1" si="1485"/>
        <v>275</v>
      </c>
      <c r="U1154" s="126">
        <f t="shared" ca="1" si="1486"/>
        <v>550</v>
      </c>
      <c r="V1154" s="1"/>
      <c r="W1154" s="39" t="str">
        <f ca="1">IF(OR($A1154=0,$A1154="S",$A1154&gt;CFF!$A$9),"",MAX(W$11:OFFSET(W1154,-1,0))+1)</f>
        <v/>
      </c>
      <c r="X1154" s="4" t="str">
        <f t="shared" si="1487"/>
        <v>Serv. Terc.-008</v>
      </c>
      <c r="Y1154" s="39">
        <f t="shared" ca="1" si="1491"/>
        <v>88</v>
      </c>
      <c r="Z1154" s="1"/>
      <c r="AA1154" s="133">
        <f>IF($J1154=$G$2,ROUND(IF(ISNUMBER(S1154),S1154,IF(LEFT(S1154,2)="DI",HLOOKUP(S1154,DADOS!$T$29:$X$30,2,FALSE),0)),4),"")</f>
        <v>0.25</v>
      </c>
      <c r="AB1154" s="2"/>
    </row>
    <row r="1155" spans="1:28">
      <c r="A1155" t="str">
        <f t="shared" si="1489"/>
        <v>S</v>
      </c>
      <c r="B1155">
        <f t="shared" si="1490"/>
        <v>0</v>
      </c>
      <c r="C1155">
        <f t="shared" ca="1" si="1476"/>
        <v>13</v>
      </c>
      <c r="D1155">
        <f t="shared" ca="1" si="1477"/>
        <v>3</v>
      </c>
      <c r="E1155">
        <f t="shared" ca="1" si="1478"/>
        <v>0</v>
      </c>
      <c r="F1155">
        <f t="shared" ca="1" si="1479"/>
        <v>0</v>
      </c>
      <c r="G1155">
        <f t="shared" ca="1" si="1480"/>
        <v>10</v>
      </c>
      <c r="H1155">
        <f ca="1">IF(OR($A1155="S",$A1155=0),0,MATCH(0,OFFSET($B1155,1,$A1155,ROW($A$1504)-ROW($A1155)),0))</f>
        <v>0</v>
      </c>
      <c r="I1155">
        <f ca="1">IF(OR($A1155="S",$A1155=0),0,MATCH(OFFSET($B1155,0,$A1155)+1,OFFSET($B1155,1,$A1155,ROW($A$1504)-ROW($A1155)),0))</f>
        <v>0</v>
      </c>
      <c r="J1155" s="132" t="s">
        <v>29</v>
      </c>
      <c r="K1155" s="121" t="str">
        <f t="shared" ca="1" si="1481"/>
        <v>13.3.10.</v>
      </c>
      <c r="L1155" s="137" t="str">
        <f t="shared" ca="1" si="1482"/>
        <v xml:space="preserve">Cotação </v>
      </c>
      <c r="M1155" s="122" t="s">
        <v>80</v>
      </c>
      <c r="N1155" s="139" t="s">
        <v>160</v>
      </c>
      <c r="O1155" s="137" t="str">
        <f t="shared" ca="1" si="1488"/>
        <v>Barra de gelo</v>
      </c>
      <c r="P1155" s="138" t="str">
        <f t="shared" ca="1" si="1483"/>
        <v>Unidade</v>
      </c>
      <c r="Q1155" s="134">
        <v>4</v>
      </c>
      <c r="R1155" s="124">
        <f t="shared" ca="1" si="1484"/>
        <v>12</v>
      </c>
      <c r="S1155" s="136" t="s">
        <v>62</v>
      </c>
      <c r="T1155" s="123">
        <f t="shared" ca="1" si="1485"/>
        <v>15</v>
      </c>
      <c r="U1155" s="126">
        <f t="shared" ca="1" si="1486"/>
        <v>60</v>
      </c>
      <c r="V1155" s="1"/>
      <c r="W1155" s="39" t="str">
        <f ca="1">IF(OR($A1155=0,$A1155="S",$A1155&gt;CFF!$A$9),"",MAX(W$11:OFFSET(W1155,-1,0))+1)</f>
        <v/>
      </c>
      <c r="X1155" s="4" t="str">
        <f t="shared" si="1487"/>
        <v>Serv. Terc.-011</v>
      </c>
      <c r="Y1155" s="39">
        <f t="shared" ca="1" si="1491"/>
        <v>91</v>
      </c>
      <c r="Z1155" s="1"/>
      <c r="AA1155" s="133">
        <f>IF($J1155=$G$2,ROUND(IF(ISNUMBER(S1155),S1155,IF(LEFT(S1155,2)="DI",HLOOKUP(S1155,DADOS!$T$29:$X$30,2,FALSE),0)),4),"")</f>
        <v>0.25</v>
      </c>
      <c r="AB1155" s="2"/>
    </row>
    <row r="1156" spans="1:28">
      <c r="A1156" t="str">
        <f t="shared" si="1489"/>
        <v>S</v>
      </c>
      <c r="B1156">
        <f t="shared" si="1490"/>
        <v>0</v>
      </c>
      <c r="C1156">
        <f t="shared" ca="1" si="1476"/>
        <v>13</v>
      </c>
      <c r="D1156">
        <f t="shared" ca="1" si="1477"/>
        <v>3</v>
      </c>
      <c r="E1156">
        <f t="shared" ca="1" si="1478"/>
        <v>0</v>
      </c>
      <c r="F1156">
        <f t="shared" ca="1" si="1479"/>
        <v>0</v>
      </c>
      <c r="G1156">
        <f t="shared" ca="1" si="1480"/>
        <v>11</v>
      </c>
      <c r="H1156">
        <f ca="1">IF(OR($A1156="S",$A1156=0),0,MATCH(0,OFFSET($B1156,1,$A1156,ROW($A$1504)-ROW($A1156)),0))</f>
        <v>0</v>
      </c>
      <c r="I1156">
        <f ca="1">IF(OR($A1156="S",$A1156=0),0,MATCH(OFFSET($B1156,0,$A1156)+1,OFFSET($B1156,1,$A1156,ROW($A$1504)-ROW($A1156)),0))</f>
        <v>0</v>
      </c>
      <c r="J1156" s="132" t="s">
        <v>29</v>
      </c>
      <c r="K1156" s="121" t="str">
        <f t="shared" ca="1" si="1481"/>
        <v>13.3.11.</v>
      </c>
      <c r="L1156" s="137" t="str">
        <f t="shared" ca="1" si="1482"/>
        <v>Cotação</v>
      </c>
      <c r="M1156" s="122" t="s">
        <v>80</v>
      </c>
      <c r="N1156" s="139" t="s">
        <v>150</v>
      </c>
      <c r="O1156" s="137" t="str">
        <f t="shared" ca="1" si="1488"/>
        <v>Sucos</v>
      </c>
      <c r="P1156" s="138" t="str">
        <f t="shared" ca="1" si="1483"/>
        <v>Unidade</v>
      </c>
      <c r="Q1156" s="134">
        <v>12</v>
      </c>
      <c r="R1156" s="124">
        <f t="shared" ca="1" si="1484"/>
        <v>6.4</v>
      </c>
      <c r="S1156" s="136" t="s">
        <v>62</v>
      </c>
      <c r="T1156" s="123">
        <f t="shared" ca="1" si="1485"/>
        <v>8</v>
      </c>
      <c r="U1156" s="126">
        <f t="shared" ca="1" si="1486"/>
        <v>96</v>
      </c>
      <c r="V1156" s="1"/>
      <c r="W1156" s="39" t="str">
        <f ca="1">IF(OR($A1156=0,$A1156="S",$A1156&gt;CFF!$A$9),"",MAX(W$11:OFFSET(W1156,-1,0))+1)</f>
        <v/>
      </c>
      <c r="X1156" s="4" t="str">
        <f t="shared" si="1487"/>
        <v>Serv. Terc.-013</v>
      </c>
      <c r="Y1156" s="39">
        <f t="shared" ca="1" si="1491"/>
        <v>93</v>
      </c>
      <c r="Z1156" s="1"/>
      <c r="AA1156" s="133">
        <f>IF($J1156=$G$2,ROUND(IF(ISNUMBER(S1156),S1156,IF(LEFT(S1156,2)="DI",HLOOKUP(S1156,DADOS!$T$29:$X$30,2,FALSE),0)),4),"")</f>
        <v>0.25</v>
      </c>
      <c r="AB1156" s="2"/>
    </row>
    <row r="1157" spans="1:28">
      <c r="A1157" t="str">
        <f>CHOOSE(1+LOG(1+2*(J1157=$C$2)+4*(J1157=$D$2)+8*(J1157=$E$2)+16*(J1157=$F$2)+32*(J1157=$G$2),2),0,1,2,3,4,"S")</f>
        <v>S</v>
      </c>
      <c r="B1157">
        <f>IF(OR(A1157="S",A1157=0),0,IF(ISERROR(I1157),H1157,SMALL(H1157:I1157,1)))</f>
        <v>0</v>
      </c>
      <c r="C1157">
        <f t="shared" ca="1" si="1476"/>
        <v>13</v>
      </c>
      <c r="D1157">
        <f t="shared" ca="1" si="1477"/>
        <v>3</v>
      </c>
      <c r="E1157">
        <f t="shared" ca="1" si="1478"/>
        <v>0</v>
      </c>
      <c r="F1157">
        <f t="shared" ca="1" si="1479"/>
        <v>0</v>
      </c>
      <c r="G1157">
        <f t="shared" ca="1" si="1480"/>
        <v>12</v>
      </c>
      <c r="H1157">
        <f ca="1">IF(OR($A1157="S",$A1157=0),0,MATCH(0,OFFSET($B1157,1,$A1157,ROW($A$1504)-ROW($A1157)),0))</f>
        <v>0</v>
      </c>
      <c r="I1157">
        <f ca="1">IF(OR($A1157="S",$A1157=0),0,MATCH(OFFSET($B1157,0,$A1157)+1,OFFSET($B1157,1,$A1157,ROW($A$1504)-ROW($A1157)),0))</f>
        <v>0</v>
      </c>
      <c r="J1157" s="132" t="s">
        <v>29</v>
      </c>
      <c r="K1157" s="121" t="str">
        <f t="shared" ca="1" si="1481"/>
        <v>13.3.12.</v>
      </c>
      <c r="L1157" s="137" t="str">
        <f t="shared" ca="1" si="1482"/>
        <v>Cotação</v>
      </c>
      <c r="M1157" s="122" t="s">
        <v>80</v>
      </c>
      <c r="N1157" s="139" t="s">
        <v>171</v>
      </c>
      <c r="O1157" s="137" t="str">
        <f t="shared" ca="1" si="1488"/>
        <v xml:space="preserve">Refrigerantes (02 litros) </v>
      </c>
      <c r="P1157" s="138" t="str">
        <f t="shared" ca="1" si="1483"/>
        <v>Unidade</v>
      </c>
      <c r="Q1157" s="134">
        <v>20</v>
      </c>
      <c r="R1157" s="124">
        <f t="shared" ca="1" si="1484"/>
        <v>6</v>
      </c>
      <c r="S1157" s="136" t="s">
        <v>62</v>
      </c>
      <c r="T1157" s="123">
        <f t="shared" ca="1" si="1485"/>
        <v>7.5</v>
      </c>
      <c r="U1157" s="126">
        <f t="shared" ca="1" si="1486"/>
        <v>150</v>
      </c>
      <c r="V1157" s="1"/>
      <c r="W1157" s="39" t="str">
        <f ca="1">IF(OR($A1157=0,$A1157="S",$A1157&gt;CFF!$A$9),"",MAX(W$11:OFFSET(W1157,-1,0))+1)</f>
        <v/>
      </c>
      <c r="X1157" s="4" t="str">
        <f t="shared" si="1487"/>
        <v>Serv. Terc.-027</v>
      </c>
      <c r="Y1157" s="39">
        <f ca="1">IF(X1157&lt;&gt;FALSE,MATCH(X1157,OFFSET(Banco,0,0,,1),0))</f>
        <v>107</v>
      </c>
      <c r="Z1157" s="1"/>
      <c r="AA1157" s="133">
        <f>IF($J1157=$G$2,ROUND(IF(ISNUMBER(S1157),S1157,IF(LEFT(S1157,2)="DI",HLOOKUP(S1157,DADOS!$T$29:$X$30,2,FALSE),0)),4),"")</f>
        <v>0.25</v>
      </c>
      <c r="AB1157" s="2"/>
    </row>
    <row r="1158" spans="1:28">
      <c r="A1158" t="str">
        <f t="shared" si="1489"/>
        <v>S</v>
      </c>
      <c r="B1158">
        <f t="shared" si="1490"/>
        <v>0</v>
      </c>
      <c r="C1158">
        <f t="shared" ca="1" si="1476"/>
        <v>13</v>
      </c>
      <c r="D1158">
        <f t="shared" ca="1" si="1477"/>
        <v>3</v>
      </c>
      <c r="E1158">
        <f t="shared" ca="1" si="1478"/>
        <v>0</v>
      </c>
      <c r="F1158">
        <f t="shared" ca="1" si="1479"/>
        <v>0</v>
      </c>
      <c r="G1158">
        <f t="shared" ca="1" si="1480"/>
        <v>13</v>
      </c>
      <c r="H1158">
        <f ca="1">IF(OR($A1158="S",$A1158=0),0,MATCH(0,OFFSET($B1158,1,$A1158,ROW($A$1504)-ROW($A1158)),0))</f>
        <v>0</v>
      </c>
      <c r="I1158">
        <f ca="1">IF(OR($A1158="S",$A1158=0),0,MATCH(OFFSET($B1158,0,$A1158)+1,OFFSET($B1158,1,$A1158,ROW($A$1504)-ROW($A1158)),0))</f>
        <v>0</v>
      </c>
      <c r="J1158" s="132" t="s">
        <v>29</v>
      </c>
      <c r="K1158" s="121" t="str">
        <f t="shared" ca="1" si="1481"/>
        <v>13.3.13.</v>
      </c>
      <c r="L1158" s="137" t="str">
        <f t="shared" ca="1" si="1482"/>
        <v xml:space="preserve">Cotação </v>
      </c>
      <c r="M1158" s="122" t="s">
        <v>80</v>
      </c>
      <c r="N1158" s="139" t="s">
        <v>159</v>
      </c>
      <c r="O1158" s="137" t="str">
        <f t="shared" ca="1" si="1488"/>
        <v>Brindes ( descrição nos orçamentos e PTS)</v>
      </c>
      <c r="P1158" s="138" t="str">
        <f t="shared" ca="1" si="1483"/>
        <v>Unidade</v>
      </c>
      <c r="Q1158" s="134">
        <v>4</v>
      </c>
      <c r="R1158" s="124">
        <f t="shared" ca="1" si="1484"/>
        <v>120</v>
      </c>
      <c r="S1158" s="136" t="s">
        <v>62</v>
      </c>
      <c r="T1158" s="123">
        <f t="shared" ca="1" si="1485"/>
        <v>150</v>
      </c>
      <c r="U1158" s="126">
        <f t="shared" ca="1" si="1486"/>
        <v>600</v>
      </c>
      <c r="V1158" s="1"/>
      <c r="W1158" s="39" t="str">
        <f ca="1">IF(OR($A1158=0,$A1158="S",$A1158&gt;CFF!$A$9),"",MAX(W$11:OFFSET(W1158,-1,0))+1)</f>
        <v/>
      </c>
      <c r="X1158" s="4" t="str">
        <f t="shared" si="1487"/>
        <v>Serv. Terc.-010</v>
      </c>
      <c r="Y1158" s="39">
        <f t="shared" ca="1" si="1491"/>
        <v>90</v>
      </c>
      <c r="Z1158" s="1"/>
      <c r="AA1158" s="133">
        <f>IF($J1158=$G$2,ROUND(IF(ISNUMBER(S1158),S1158,IF(LEFT(S1158,2)="DI",HLOOKUP(S1158,DADOS!$T$29:$X$30,2,FALSE),0)),4),"")</f>
        <v>0.25</v>
      </c>
      <c r="AB1158" s="2"/>
    </row>
    <row r="1159" spans="1:28">
      <c r="A1159" t="str">
        <f t="shared" si="1489"/>
        <v>S</v>
      </c>
      <c r="B1159">
        <f t="shared" si="1490"/>
        <v>0</v>
      </c>
      <c r="C1159">
        <f t="shared" ca="1" si="1476"/>
        <v>13</v>
      </c>
      <c r="D1159">
        <f t="shared" ca="1" si="1477"/>
        <v>3</v>
      </c>
      <c r="E1159">
        <f t="shared" ca="1" si="1478"/>
        <v>0</v>
      </c>
      <c r="F1159">
        <f t="shared" ca="1" si="1479"/>
        <v>0</v>
      </c>
      <c r="G1159">
        <f t="shared" ca="1" si="1480"/>
        <v>14</v>
      </c>
      <c r="H1159">
        <f ca="1">IF(OR($A1159="S",$A1159=0),0,MATCH(0,OFFSET($B1159,1,$A1159,ROW($A$1504)-ROW($A1159)),0))</f>
        <v>0</v>
      </c>
      <c r="I1159">
        <f ca="1">IF(OR($A1159="S",$A1159=0),0,MATCH(OFFSET($B1159,0,$A1159)+1,OFFSET($B1159,1,$A1159,ROW($A$1504)-ROW($A1159)),0))</f>
        <v>0</v>
      </c>
      <c r="J1159" s="132" t="s">
        <v>29</v>
      </c>
      <c r="K1159" s="121" t="str">
        <f t="shared" ca="1" si="1481"/>
        <v>13.3.14.</v>
      </c>
      <c r="L1159" s="137" t="str">
        <f t="shared" ca="1" si="1482"/>
        <v>Cotação</v>
      </c>
      <c r="M1159" s="122" t="s">
        <v>80</v>
      </c>
      <c r="N1159" s="139" t="s">
        <v>162</v>
      </c>
      <c r="O1159" s="137" t="str">
        <f t="shared" ca="1" si="1488"/>
        <v>Coffee break (salgados)</v>
      </c>
      <c r="P1159" s="138" t="str">
        <f t="shared" ca="1" si="1483"/>
        <v>Centro</v>
      </c>
      <c r="Q1159" s="134">
        <v>15</v>
      </c>
      <c r="R1159" s="124">
        <f t="shared" ca="1" si="1484"/>
        <v>65</v>
      </c>
      <c r="S1159" s="136" t="s">
        <v>62</v>
      </c>
      <c r="T1159" s="123">
        <f t="shared" ca="1" si="1485"/>
        <v>81.25</v>
      </c>
      <c r="U1159" s="126">
        <f t="shared" ca="1" si="1486"/>
        <v>1218.75</v>
      </c>
      <c r="V1159" s="1"/>
      <c r="W1159" s="39" t="str">
        <f ca="1">IF(OR($A1159=0,$A1159="S",$A1159&gt;CFF!$A$9),"",MAX(W$11:OFFSET(W1159,-1,0))+1)</f>
        <v/>
      </c>
      <c r="X1159" s="4" t="str">
        <f t="shared" si="1487"/>
        <v>Serv. Terc.-015</v>
      </c>
      <c r="Y1159" s="39">
        <f t="shared" ca="1" si="1491"/>
        <v>95</v>
      </c>
      <c r="Z1159" s="1"/>
      <c r="AA1159" s="133">
        <f>IF($J1159=$G$2,ROUND(IF(ISNUMBER(S1159),S1159,IF(LEFT(S1159,2)="DI",HLOOKUP(S1159,DADOS!$T$29:$X$30,2,FALSE),0)),4),"")</f>
        <v>0.25</v>
      </c>
      <c r="AB1159" s="2"/>
    </row>
    <row r="1160" spans="1:28">
      <c r="A1160" t="str">
        <f>CHOOSE(1+LOG(1+2*(J1160=$C$2)+4*(J1160=$D$2)+8*(J1160=$E$2)+16*(J1160=$F$2)+32*(J1160=$G$2),2),0,1,2,3,4,"S")</f>
        <v>S</v>
      </c>
      <c r="B1160">
        <f>IF(OR(A1160="S",A1160=0),0,IF(ISERROR(I1160),H1160,SMALL(H1160:I1160,1)))</f>
        <v>0</v>
      </c>
      <c r="C1160">
        <f t="shared" ca="1" si="1476"/>
        <v>13</v>
      </c>
      <c r="D1160">
        <f t="shared" ca="1" si="1477"/>
        <v>3</v>
      </c>
      <c r="E1160">
        <f t="shared" ca="1" si="1478"/>
        <v>0</v>
      </c>
      <c r="F1160">
        <f t="shared" ca="1" si="1479"/>
        <v>0</v>
      </c>
      <c r="G1160">
        <f t="shared" ca="1" si="1480"/>
        <v>15</v>
      </c>
      <c r="H1160">
        <f ca="1">IF(OR($A1160="S",$A1160=0),0,MATCH(0,OFFSET($B1160,1,$A1160,ROW($A$1504)-ROW($A1160)),0))</f>
        <v>0</v>
      </c>
      <c r="I1160">
        <f ca="1">IF(OR($A1160="S",$A1160=0),0,MATCH(OFFSET($B1160,0,$A1160)+1,OFFSET($B1160,1,$A1160,ROW($A$1504)-ROW($A1160)),0))</f>
        <v>0</v>
      </c>
      <c r="J1160" s="132" t="s">
        <v>29</v>
      </c>
      <c r="K1160" s="121" t="str">
        <f t="shared" ca="1" si="1481"/>
        <v>13.3.15.</v>
      </c>
      <c r="L1160" s="137" t="str">
        <f t="shared" ca="1" si="1482"/>
        <v>COREN</v>
      </c>
      <c r="M1160" s="122" t="s">
        <v>80</v>
      </c>
      <c r="N1160" s="139" t="s">
        <v>246</v>
      </c>
      <c r="O1160" s="137" t="str">
        <f t="shared" ca="1" si="1488"/>
        <v>Enfermeiro padrão</v>
      </c>
      <c r="P1160" s="138" t="str">
        <f t="shared" ca="1" si="1483"/>
        <v>Unidade</v>
      </c>
      <c r="Q1160" s="134">
        <v>6</v>
      </c>
      <c r="R1160" s="124">
        <f t="shared" ca="1" si="1484"/>
        <v>123.02</v>
      </c>
      <c r="S1160" s="136" t="s">
        <v>62</v>
      </c>
      <c r="T1160" s="123">
        <f t="shared" ca="1" si="1485"/>
        <v>153.78</v>
      </c>
      <c r="U1160" s="126">
        <f t="shared" ca="1" si="1486"/>
        <v>922.68</v>
      </c>
      <c r="V1160" s="1"/>
      <c r="W1160" s="39" t="str">
        <f ca="1">IF(OR($A1160=0,$A1160="S",$A1160&gt;CFF!$A$9),"",MAX(W$11:OFFSET(W1160,-1,0))+1)</f>
        <v/>
      </c>
      <c r="X1160" s="4" t="str">
        <f t="shared" si="1487"/>
        <v>Serv. Terc.-080</v>
      </c>
      <c r="Y1160" s="39">
        <f ca="1">IF(X1160&lt;&gt;FALSE,MATCH(X1160,OFFSET(Banco,0,0,,1),0))</f>
        <v>160</v>
      </c>
      <c r="Z1160" s="1"/>
      <c r="AA1160" s="133">
        <f>IF($J1160=$G$2,ROUND(IF(ISNUMBER(S1160),S1160,IF(LEFT(S1160,2)="DI",HLOOKUP(S1160,DADOS!$T$29:$X$30,2,FALSE),0)),4),"")</f>
        <v>0.25</v>
      </c>
      <c r="AB1160" s="2"/>
    </row>
    <row r="1161" spans="1:28">
      <c r="A1161" t="str">
        <f t="shared" si="1489"/>
        <v>S</v>
      </c>
      <c r="B1161">
        <f t="shared" si="1490"/>
        <v>0</v>
      </c>
      <c r="C1161">
        <f t="shared" ca="1" si="1476"/>
        <v>13</v>
      </c>
      <c r="D1161">
        <f t="shared" ca="1" si="1477"/>
        <v>3</v>
      </c>
      <c r="E1161">
        <f t="shared" ca="1" si="1478"/>
        <v>0</v>
      </c>
      <c r="F1161">
        <f t="shared" ca="1" si="1479"/>
        <v>0</v>
      </c>
      <c r="G1161">
        <f t="shared" ca="1" si="1480"/>
        <v>16</v>
      </c>
      <c r="H1161">
        <f ca="1">IF(OR($A1161="S",$A1161=0),0,MATCH(0,OFFSET($B1161,1,$A1161,ROW($A$1504)-ROW($A1161)),0))</f>
        <v>0</v>
      </c>
      <c r="I1161">
        <f ca="1">IF(OR($A1161="S",$A1161=0),0,MATCH(OFFSET($B1161,0,$A1161)+1,OFFSET($B1161,1,$A1161,ROW($A$1504)-ROW($A1161)),0))</f>
        <v>0</v>
      </c>
      <c r="J1161" s="132" t="s">
        <v>29</v>
      </c>
      <c r="K1161" s="121" t="str">
        <f t="shared" ca="1" si="1481"/>
        <v>13.3.16.</v>
      </c>
      <c r="L1161" s="137" t="str">
        <f t="shared" ca="1" si="1482"/>
        <v>Cotação</v>
      </c>
      <c r="M1161" s="122" t="s">
        <v>79</v>
      </c>
      <c r="N1161" s="139" t="s">
        <v>163</v>
      </c>
      <c r="O1161" s="137" t="str">
        <f t="shared" ca="1" si="1488"/>
        <v>Guloseimas (balas e pirulito)</v>
      </c>
      <c r="P1161" s="138" t="str">
        <f t="shared" ca="1" si="1483"/>
        <v>Pacote</v>
      </c>
      <c r="Q1161" s="134">
        <v>4</v>
      </c>
      <c r="R1161" s="124">
        <f t="shared" ca="1" si="1484"/>
        <v>12</v>
      </c>
      <c r="S1161" s="136" t="s">
        <v>62</v>
      </c>
      <c r="T1161" s="123">
        <f t="shared" ca="1" si="1485"/>
        <v>15</v>
      </c>
      <c r="U1161" s="126">
        <f t="shared" ca="1" si="1486"/>
        <v>60</v>
      </c>
      <c r="V1161" s="1"/>
      <c r="W1161" s="39" t="str">
        <f ca="1">IF(OR($A1161=0,$A1161="S",$A1161&gt;CFF!$A$9),"",MAX(W$11:OFFSET(W1161,-1,0))+1)</f>
        <v/>
      </c>
      <c r="X1161" s="4" t="str">
        <f t="shared" si="1487"/>
        <v>Rec. Materiais-020</v>
      </c>
      <c r="Y1161" s="39">
        <f t="shared" ca="1" si="1491"/>
        <v>29</v>
      </c>
      <c r="Z1161" s="1"/>
      <c r="AA1161" s="133">
        <f>IF($J1161=$G$2,ROUND(IF(ISNUMBER(S1161),S1161,IF(LEFT(S1161,2)="DI",HLOOKUP(S1161,DADOS!$T$29:$X$30,2,FALSE),0)),4),"")</f>
        <v>0.25</v>
      </c>
      <c r="AB1161" s="2"/>
    </row>
    <row r="1162" spans="1:28">
      <c r="A1162" t="str">
        <f t="shared" si="1489"/>
        <v>S</v>
      </c>
      <c r="B1162">
        <f t="shared" si="1490"/>
        <v>0</v>
      </c>
      <c r="C1162">
        <f t="shared" ca="1" si="1476"/>
        <v>13</v>
      </c>
      <c r="D1162">
        <f t="shared" ca="1" si="1477"/>
        <v>3</v>
      </c>
      <c r="E1162">
        <f t="shared" ca="1" si="1478"/>
        <v>0</v>
      </c>
      <c r="F1162">
        <f t="shared" ca="1" si="1479"/>
        <v>0</v>
      </c>
      <c r="G1162">
        <f t="shared" ca="1" si="1480"/>
        <v>17</v>
      </c>
      <c r="H1162">
        <f ca="1">IF(OR($A1162="S",$A1162=0),0,MATCH(0,OFFSET($B1162,1,$A1162,ROW($A$1504)-ROW($A1162)),0))</f>
        <v>0</v>
      </c>
      <c r="I1162">
        <f ca="1">IF(OR($A1162="S",$A1162=0),0,MATCH(OFFSET($B1162,0,$A1162)+1,OFFSET($B1162,1,$A1162,ROW($A$1504)-ROW($A1162)),0))</f>
        <v>0</v>
      </c>
      <c r="J1162" s="132" t="s">
        <v>29</v>
      </c>
      <c r="K1162" s="121" t="str">
        <f t="shared" ca="1" si="1481"/>
        <v>13.3.17.</v>
      </c>
      <c r="L1162" s="137" t="str">
        <f t="shared" ca="1" si="1482"/>
        <v>Cotação</v>
      </c>
      <c r="M1162" s="122" t="s">
        <v>79</v>
      </c>
      <c r="N1162" s="139" t="s">
        <v>165</v>
      </c>
      <c r="O1162" s="137" t="str">
        <f t="shared" ca="1" si="1488"/>
        <v>Papel de presente</v>
      </c>
      <c r="P1162" s="138" t="str">
        <f t="shared" ca="1" si="1483"/>
        <v>Folhas</v>
      </c>
      <c r="Q1162" s="134">
        <v>8</v>
      </c>
      <c r="R1162" s="124">
        <f t="shared" ca="1" si="1484"/>
        <v>1.5</v>
      </c>
      <c r="S1162" s="136" t="s">
        <v>62</v>
      </c>
      <c r="T1162" s="123">
        <f t="shared" ca="1" si="1485"/>
        <v>1.88</v>
      </c>
      <c r="U1162" s="126">
        <f t="shared" ca="1" si="1486"/>
        <v>15.04</v>
      </c>
      <c r="V1162" s="1"/>
      <c r="W1162" s="39" t="str">
        <f ca="1">IF(OR($A1162=0,$A1162="S",$A1162&gt;CFF!$A$9),"",MAX(W$11:OFFSET(W1162,-1,0))+1)</f>
        <v/>
      </c>
      <c r="X1162" s="4" t="str">
        <f t="shared" si="1487"/>
        <v>Rec. Materiais-021</v>
      </c>
      <c r="Y1162" s="39">
        <f t="shared" ca="1" si="1491"/>
        <v>30</v>
      </c>
      <c r="Z1162" s="1"/>
      <c r="AA1162" s="133">
        <f>IF($J1162=$G$2,ROUND(IF(ISNUMBER(S1162),S1162,IF(LEFT(S1162,2)="DI",HLOOKUP(S1162,DADOS!$T$29:$X$30,2,FALSE),0)),4),"")</f>
        <v>0.25</v>
      </c>
      <c r="AB1162" s="2"/>
    </row>
    <row r="1163" spans="1:28">
      <c r="A1163" t="str">
        <f t="shared" si="1489"/>
        <v>S</v>
      </c>
      <c r="B1163">
        <f t="shared" si="1490"/>
        <v>0</v>
      </c>
      <c r="C1163">
        <f t="shared" ca="1" si="1476"/>
        <v>13</v>
      </c>
      <c r="D1163">
        <f t="shared" ca="1" si="1477"/>
        <v>3</v>
      </c>
      <c r="E1163">
        <f t="shared" ca="1" si="1478"/>
        <v>0</v>
      </c>
      <c r="F1163">
        <f t="shared" ca="1" si="1479"/>
        <v>0</v>
      </c>
      <c r="G1163">
        <f t="shared" ca="1" si="1480"/>
        <v>18</v>
      </c>
      <c r="H1163">
        <f ca="1">IF(OR($A1163="S",$A1163=0),0,MATCH(0,OFFSET($B1163,1,$A1163,ROW($A$1504)-ROW($A1163)),0))</f>
        <v>0</v>
      </c>
      <c r="I1163">
        <f ca="1">IF(OR($A1163="S",$A1163=0),0,MATCH(OFFSET($B1163,0,$A1163)+1,OFFSET($B1163,1,$A1163,ROW($A$1504)-ROW($A1163)),0))</f>
        <v>0</v>
      </c>
      <c r="J1163" s="132" t="s">
        <v>29</v>
      </c>
      <c r="K1163" s="121" t="str">
        <f t="shared" ca="1" si="1481"/>
        <v>13.3.18.</v>
      </c>
      <c r="L1163" s="137" t="str">
        <f t="shared" ca="1" si="1482"/>
        <v>Cotação</v>
      </c>
      <c r="M1163" s="122" t="s">
        <v>79</v>
      </c>
      <c r="N1163" s="139" t="s">
        <v>170</v>
      </c>
      <c r="O1163" s="137" t="str">
        <f t="shared" ca="1" si="1488"/>
        <v>Saco de lixo (100 litros)</v>
      </c>
      <c r="P1163" s="138" t="str">
        <f t="shared" ca="1" si="1483"/>
        <v>Pacote</v>
      </c>
      <c r="Q1163" s="134">
        <v>3</v>
      </c>
      <c r="R1163" s="124">
        <f t="shared" ca="1" si="1484"/>
        <v>15</v>
      </c>
      <c r="S1163" s="136" t="s">
        <v>62</v>
      </c>
      <c r="T1163" s="123">
        <f t="shared" ca="1" si="1485"/>
        <v>18.75</v>
      </c>
      <c r="U1163" s="126">
        <f t="shared" ca="1" si="1486"/>
        <v>56.25</v>
      </c>
      <c r="V1163" s="1"/>
      <c r="W1163" s="39" t="str">
        <f ca="1">IF(OR($A1163=0,$A1163="S",$A1163&gt;CFF!$A$9),"",MAX(W$11:OFFSET(W1163,-1,0))+1)</f>
        <v/>
      </c>
      <c r="X1163" s="4" t="str">
        <f t="shared" si="1487"/>
        <v>Rec. Materiais-026</v>
      </c>
      <c r="Y1163" s="39">
        <f t="shared" ca="1" si="1491"/>
        <v>35</v>
      </c>
      <c r="Z1163" s="1"/>
      <c r="AA1163" s="133">
        <f>IF($J1163=$G$2,ROUND(IF(ISNUMBER(S1163),S1163,IF(LEFT(S1163,2)="DI",HLOOKUP(S1163,DADOS!$T$29:$X$30,2,FALSE),0)),4),"")</f>
        <v>0.25</v>
      </c>
      <c r="AB1163" s="2"/>
    </row>
    <row r="1164" spans="1:28">
      <c r="A1164" t="str">
        <f>CHOOSE(1+LOG(1+2*(J1164=$C$2)+4*(J1164=$D$2)+8*(J1164=$E$2)+16*(J1164=$F$2)+32*(J1164=$G$2),2),0,1,2,3,4,"S")</f>
        <v>S</v>
      </c>
      <c r="B1164">
        <f>IF(OR(A1164="S",A1164=0),0,IF(ISERROR(I1164),H1164,SMALL(H1164:I1164,1)))</f>
        <v>0</v>
      </c>
      <c r="C1164">
        <f t="shared" ca="1" si="1476"/>
        <v>13</v>
      </c>
      <c r="D1164">
        <f t="shared" ca="1" si="1477"/>
        <v>3</v>
      </c>
      <c r="E1164">
        <f t="shared" ca="1" si="1478"/>
        <v>0</v>
      </c>
      <c r="F1164">
        <f t="shared" ca="1" si="1479"/>
        <v>0</v>
      </c>
      <c r="G1164">
        <f t="shared" ca="1" si="1480"/>
        <v>19</v>
      </c>
      <c r="H1164">
        <f ca="1">IF(OR($A1164="S",$A1164=0),0,MATCH(0,OFFSET($B1164,1,$A1164,ROW($A$1504)-ROW($A1164)),0))</f>
        <v>0</v>
      </c>
      <c r="I1164">
        <f ca="1">IF(OR($A1164="S",$A1164=0),0,MATCH(OFFSET($B1164,0,$A1164)+1,OFFSET($B1164,1,$A1164,ROW($A$1504)-ROW($A1164)),0))</f>
        <v>0</v>
      </c>
      <c r="J1164" s="132" t="s">
        <v>29</v>
      </c>
      <c r="K1164" s="121" t="str">
        <f t="shared" ca="1" si="1481"/>
        <v>13.3.19.</v>
      </c>
      <c r="L1164" s="137" t="str">
        <f t="shared" ca="1" si="1482"/>
        <v>Cotação</v>
      </c>
      <c r="M1164" s="122" t="s">
        <v>80</v>
      </c>
      <c r="N1164" s="139" t="s">
        <v>255</v>
      </c>
      <c r="O1164" s="137" t="str">
        <f t="shared" ca="1" si="1488"/>
        <v>Informativos 04 pgs, 15x21 cm, 4 cores, tinta escala em couche</v>
      </c>
      <c r="P1164" s="138" t="str">
        <f t="shared" ca="1" si="1483"/>
        <v>Unidade</v>
      </c>
      <c r="Q1164" s="134">
        <v>297</v>
      </c>
      <c r="R1164" s="124">
        <f t="shared" ca="1" si="1484"/>
        <v>6</v>
      </c>
      <c r="S1164" s="136" t="s">
        <v>62</v>
      </c>
      <c r="T1164" s="123">
        <f t="shared" ca="1" si="1485"/>
        <v>7.5</v>
      </c>
      <c r="U1164" s="126">
        <f t="shared" ca="1" si="1486"/>
        <v>2227.5</v>
      </c>
      <c r="V1164" s="1"/>
      <c r="W1164" s="39" t="str">
        <f ca="1">IF(OR($A1164=0,$A1164="S",$A1164&gt;CFF!$A$9),"",MAX(W$11:OFFSET(W1164,-1,0))+1)</f>
        <v/>
      </c>
      <c r="X1164" s="4" t="str">
        <f t="shared" si="1487"/>
        <v>Serv. Terc.-069</v>
      </c>
      <c r="Y1164" s="39">
        <f ca="1">IF(X1164&lt;&gt;FALSE,MATCH(X1164,OFFSET(Banco,0,0,,1),0))</f>
        <v>149</v>
      </c>
      <c r="Z1164" s="1"/>
      <c r="AA1164" s="133">
        <f>IF($J1164=$G$2,ROUND(IF(ISNUMBER(S1164),S1164,IF(LEFT(S1164,2)="DI",HLOOKUP(S1164,DADOS!$T$29:$X$30,2,FALSE),0)),4),"")</f>
        <v>0.25</v>
      </c>
      <c r="AB1164" s="2"/>
    </row>
    <row r="1165" spans="1:28">
      <c r="A1165">
        <f>CHOOSE(1+LOG(1+2*(J1165=$C$2)+4*(J1165=$D$2)+8*(J1165=$E$2)+16*(J1165=$F$2)+32*(J1165=$G$2),2),0,1,2,3,4,"S")</f>
        <v>2</v>
      </c>
      <c r="B1165">
        <f ca="1">IF(OR(A1165="S",A1165=0),0,IF(ISERROR(I1165),H1165,SMALL(H1165:I1165,1)))</f>
        <v>20</v>
      </c>
      <c r="C1165">
        <f t="shared" ca="1" si="1476"/>
        <v>13</v>
      </c>
      <c r="D1165">
        <f t="shared" ca="1" si="1477"/>
        <v>4</v>
      </c>
      <c r="E1165">
        <f t="shared" ca="1" si="1478"/>
        <v>0</v>
      </c>
      <c r="F1165">
        <f t="shared" ca="1" si="1479"/>
        <v>0</v>
      </c>
      <c r="G1165">
        <f t="shared" ca="1" si="1480"/>
        <v>0</v>
      </c>
      <c r="H1165">
        <f ca="1">IF(OR($A1165="S",$A1165=0),0,MATCH(0,OFFSET($B1165,1,$A1165,ROW($A$1504)-ROW($A1165)),0))</f>
        <v>41</v>
      </c>
      <c r="I1165">
        <f ca="1">IF(OR($A1165="S",$A1165=0),0,MATCH(OFFSET($B1165,0,$A1165)+1,OFFSET($B1165,1,$A1165,ROW($A$1504)-ROW($A1165)),0))</f>
        <v>20</v>
      </c>
      <c r="J1165" s="132" t="s">
        <v>68</v>
      </c>
      <c r="K1165" s="121" t="str">
        <f t="shared" ca="1" si="1481"/>
        <v>13.4.</v>
      </c>
      <c r="L1165" s="137" t="str">
        <f t="shared" ca="1" si="1482"/>
        <v/>
      </c>
      <c r="M1165" s="122"/>
      <c r="N1165" s="139"/>
      <c r="O1165" s="137" t="s">
        <v>455</v>
      </c>
      <c r="P1165" s="138" t="str">
        <f t="shared" ca="1" si="1483"/>
        <v/>
      </c>
      <c r="Q1165" s="134"/>
      <c r="R1165" s="124">
        <f t="shared" ca="1" si="1484"/>
        <v>0</v>
      </c>
      <c r="S1165" s="136" t="s">
        <v>62</v>
      </c>
      <c r="T1165" s="123">
        <f t="shared" si="1485"/>
        <v>0</v>
      </c>
      <c r="U1165" s="126">
        <f t="shared" ca="1" si="1486"/>
        <v>10131.27</v>
      </c>
      <c r="V1165" s="1"/>
      <c r="W1165" s="39">
        <f ca="1">IF(OR($A1165=0,$A1165="S",$A1165&gt;CFF!$A$9),"",MAX(W$11:OFFSET(W1165,-1,0))+1)</f>
        <v>103</v>
      </c>
      <c r="X1165" s="4" t="b">
        <f t="shared" si="1487"/>
        <v>0</v>
      </c>
      <c r="Y1165" s="39" t="b">
        <f ca="1">IF(X1165&lt;&gt;FALSE,MATCH(X1165,OFFSET(Banco,0,0,,1),0))</f>
        <v>0</v>
      </c>
      <c r="Z1165" s="1"/>
      <c r="AA1165" s="133" t="str">
        <f>IF($J1165=$G$2,ROUND(IF(ISNUMBER(S1165),S1165,IF(LEFT(S1165,2)="DI",HLOOKUP(S1165,DADOS!$T$29:$X$30,2,FALSE),0)),4),"")</f>
        <v/>
      </c>
      <c r="AB1165" s="2"/>
    </row>
    <row r="1166" spans="1:28">
      <c r="A1166" t="str">
        <f t="shared" ref="A1166:A1171" si="1492">CHOOSE(1+LOG(1+2*(J1166=$C$2)+4*(J1166=$D$2)+8*(J1166=$E$2)+16*(J1166=$F$2)+32*(J1166=$G$2),2),0,1,2,3,4,"S")</f>
        <v>S</v>
      </c>
      <c r="B1166">
        <f t="shared" ref="B1166:B1171" si="1493">IF(OR(A1166="S",A1166=0),0,IF(ISERROR(I1166),H1166,SMALL(H1166:I1166,1)))</f>
        <v>0</v>
      </c>
      <c r="C1166">
        <f t="shared" ca="1" si="1476"/>
        <v>13</v>
      </c>
      <c r="D1166">
        <f t="shared" ca="1" si="1477"/>
        <v>4</v>
      </c>
      <c r="E1166">
        <f t="shared" ca="1" si="1478"/>
        <v>0</v>
      </c>
      <c r="F1166">
        <f t="shared" ca="1" si="1479"/>
        <v>0</v>
      </c>
      <c r="G1166">
        <f t="shared" ca="1" si="1480"/>
        <v>1</v>
      </c>
      <c r="H1166">
        <f ca="1">IF(OR($A1166="S",$A1166=0),0,MATCH(0,OFFSET($B1166,1,$A1166,ROW($A$1504)-ROW($A1166)),0))</f>
        <v>0</v>
      </c>
      <c r="I1166">
        <f ca="1">IF(OR($A1166="S",$A1166=0),0,MATCH(OFFSET($B1166,0,$A1166)+1,OFFSET($B1166,1,$A1166,ROW($A$1504)-ROW($A1166)),0))</f>
        <v>0</v>
      </c>
      <c r="J1166" s="132" t="s">
        <v>29</v>
      </c>
      <c r="K1166" s="121" t="str">
        <f t="shared" ca="1" si="1481"/>
        <v>13.4.1.</v>
      </c>
      <c r="L1166" s="137" t="str">
        <f t="shared" ca="1" si="1482"/>
        <v>CRESS</v>
      </c>
      <c r="M1166" s="122" t="s">
        <v>78</v>
      </c>
      <c r="N1166" s="139" t="s">
        <v>149</v>
      </c>
      <c r="O1166" s="137" t="str">
        <f t="shared" ref="O1166:O1184" ca="1" si="1494">IF(NOT(ISERROR($Y1166)),IF($Y1166&lt;&gt;FALSE,INDEX(Banco,$Y1166,5),""),"")</f>
        <v>Responsável Técnica</v>
      </c>
      <c r="P1166" s="138" t="str">
        <f t="shared" ca="1" si="1483"/>
        <v>Horas</v>
      </c>
      <c r="Q1166" s="134">
        <v>9</v>
      </c>
      <c r="R1166" s="124">
        <f t="shared" ca="1" si="1484"/>
        <v>150.28</v>
      </c>
      <c r="S1166" s="136" t="s">
        <v>62</v>
      </c>
      <c r="T1166" s="123">
        <f t="shared" ca="1" si="1485"/>
        <v>187.85</v>
      </c>
      <c r="U1166" s="126">
        <f t="shared" ca="1" si="1486"/>
        <v>1690.65</v>
      </c>
      <c r="V1166" s="1"/>
      <c r="W1166" s="39" t="str">
        <f ca="1">IF(OR($A1166=0,$A1166="S",$A1166&gt;CFF!$A$9),"",MAX(W$11:OFFSET(W1166,-1,0))+1)</f>
        <v/>
      </c>
      <c r="X1166" s="4" t="str">
        <f t="shared" si="1487"/>
        <v>Rec. Humanos-001</v>
      </c>
      <c r="Y1166" s="39">
        <f t="shared" ref="Y1166:Y1171" ca="1" si="1495">IF(X1166&lt;&gt;FALSE,MATCH(X1166,OFFSET(Banco,0,0,,1),0))</f>
        <v>3</v>
      </c>
      <c r="Z1166" s="1"/>
      <c r="AA1166" s="133">
        <f>IF($J1166=$G$2,ROUND(IF(ISNUMBER(S1166),S1166,IF(LEFT(S1166,2)="DI",HLOOKUP(S1166,DADOS!$T$29:$X$30,2,FALSE),0)),4),"")</f>
        <v>0.25</v>
      </c>
      <c r="AB1166" s="2"/>
    </row>
    <row r="1167" spans="1:28">
      <c r="A1167" t="str">
        <f t="shared" si="1492"/>
        <v>S</v>
      </c>
      <c r="B1167">
        <f t="shared" si="1493"/>
        <v>0</v>
      </c>
      <c r="C1167">
        <f t="shared" ca="1" si="1476"/>
        <v>13</v>
      </c>
      <c r="D1167">
        <f t="shared" ca="1" si="1477"/>
        <v>4</v>
      </c>
      <c r="E1167">
        <f t="shared" ca="1" si="1478"/>
        <v>0</v>
      </c>
      <c r="F1167">
        <f t="shared" ca="1" si="1479"/>
        <v>0</v>
      </c>
      <c r="G1167">
        <f t="shared" ca="1" si="1480"/>
        <v>2</v>
      </c>
      <c r="H1167">
        <f ca="1">IF(OR($A1167="S",$A1167=0),0,MATCH(0,OFFSET($B1167,1,$A1167,ROW($A$1504)-ROW($A1167)),0))</f>
        <v>0</v>
      </c>
      <c r="I1167">
        <f ca="1">IF(OR($A1167="S",$A1167=0),0,MATCH(OFFSET($B1167,0,$A1167)+1,OFFSET($B1167,1,$A1167,ROW($A$1504)-ROW($A1167)),0))</f>
        <v>0</v>
      </c>
      <c r="J1167" s="132" t="s">
        <v>29</v>
      </c>
      <c r="K1167" s="121" t="str">
        <f t="shared" ca="1" si="1481"/>
        <v>13.4.2.</v>
      </c>
      <c r="L1167" s="137" t="str">
        <f t="shared" ca="1" si="1482"/>
        <v>CRESS</v>
      </c>
      <c r="M1167" s="122" t="s">
        <v>78</v>
      </c>
      <c r="N1167" s="139" t="s">
        <v>152</v>
      </c>
      <c r="O1167" s="137" t="str">
        <f t="shared" ca="1" si="1494"/>
        <v>Assistente Social</v>
      </c>
      <c r="P1167" s="138" t="str">
        <f t="shared" ca="1" si="1483"/>
        <v>Horas</v>
      </c>
      <c r="Q1167" s="134">
        <v>7</v>
      </c>
      <c r="R1167" s="124">
        <f t="shared" ca="1" si="1484"/>
        <v>133.81</v>
      </c>
      <c r="S1167" s="136" t="s">
        <v>62</v>
      </c>
      <c r="T1167" s="123">
        <f t="shared" ca="1" si="1485"/>
        <v>167.26</v>
      </c>
      <c r="U1167" s="126">
        <f t="shared" ca="1" si="1486"/>
        <v>1170.82</v>
      </c>
      <c r="V1167" s="1"/>
      <c r="W1167" s="39" t="str">
        <f ca="1">IF(OR($A1167=0,$A1167="S",$A1167&gt;CFF!$A$9),"",MAX(W$11:OFFSET(W1167,-1,0))+1)</f>
        <v/>
      </c>
      <c r="X1167" s="4" t="str">
        <f t="shared" si="1487"/>
        <v>Rec. Humanos-002</v>
      </c>
      <c r="Y1167" s="39">
        <f t="shared" ca="1" si="1495"/>
        <v>4</v>
      </c>
      <c r="Z1167" s="1"/>
      <c r="AA1167" s="133">
        <f>IF($J1167=$G$2,ROUND(IF(ISNUMBER(S1167),S1167,IF(LEFT(S1167,2)="DI",HLOOKUP(S1167,DADOS!$T$29:$X$30,2,FALSE),0)),4),"")</f>
        <v>0.25</v>
      </c>
      <c r="AB1167" s="2"/>
    </row>
    <row r="1168" spans="1:28">
      <c r="A1168" t="str">
        <f t="shared" si="1492"/>
        <v>S</v>
      </c>
      <c r="B1168">
        <f t="shared" si="1493"/>
        <v>0</v>
      </c>
      <c r="C1168">
        <f t="shared" ca="1" si="1476"/>
        <v>13</v>
      </c>
      <c r="D1168">
        <f t="shared" ca="1" si="1477"/>
        <v>4</v>
      </c>
      <c r="E1168">
        <f t="shared" ca="1" si="1478"/>
        <v>0</v>
      </c>
      <c r="F1168">
        <f t="shared" ca="1" si="1479"/>
        <v>0</v>
      </c>
      <c r="G1168">
        <f t="shared" ca="1" si="1480"/>
        <v>3</v>
      </c>
      <c r="H1168">
        <f ca="1">IF(OR($A1168="S",$A1168=0),0,MATCH(0,OFFSET($B1168,1,$A1168,ROW($A$1504)-ROW($A1168)),0))</f>
        <v>0</v>
      </c>
      <c r="I1168">
        <f ca="1">IF(OR($A1168="S",$A1168=0),0,MATCH(OFFSET($B1168,0,$A1168)+1,OFFSET($B1168,1,$A1168,ROW($A$1504)-ROW($A1168)),0))</f>
        <v>0</v>
      </c>
      <c r="J1168" s="132" t="s">
        <v>29</v>
      </c>
      <c r="K1168" s="121" t="str">
        <f t="shared" ca="1" si="1481"/>
        <v>13.4.3.</v>
      </c>
      <c r="L1168" s="137" t="str">
        <f t="shared" ca="1" si="1482"/>
        <v>Cotação</v>
      </c>
      <c r="M1168" s="122" t="s">
        <v>78</v>
      </c>
      <c r="N1168" s="139" t="s">
        <v>151</v>
      </c>
      <c r="O1168" s="137" t="str">
        <f t="shared" ca="1" si="1494"/>
        <v xml:space="preserve">Administrador (Técnico de Apoio) </v>
      </c>
      <c r="P1168" s="138" t="str">
        <f t="shared" ca="1" si="1483"/>
        <v>Horas</v>
      </c>
      <c r="Q1168" s="134">
        <v>4</v>
      </c>
      <c r="R1168" s="124">
        <f t="shared" ca="1" si="1484"/>
        <v>103.65</v>
      </c>
      <c r="S1168" s="136" t="s">
        <v>62</v>
      </c>
      <c r="T1168" s="123">
        <f t="shared" ca="1" si="1485"/>
        <v>129.56</v>
      </c>
      <c r="U1168" s="126">
        <f t="shared" ca="1" si="1486"/>
        <v>518.24</v>
      </c>
      <c r="V1168" s="1"/>
      <c r="W1168" s="39" t="str">
        <f ca="1">IF(OR($A1168=0,$A1168="S",$A1168&gt;CFF!$A$9),"",MAX(W$11:OFFSET(W1168,-1,0))+1)</f>
        <v/>
      </c>
      <c r="X1168" s="4" t="str">
        <f t="shared" si="1487"/>
        <v>Rec. Humanos-003</v>
      </c>
      <c r="Y1168" s="39">
        <f t="shared" ca="1" si="1495"/>
        <v>5</v>
      </c>
      <c r="Z1168" s="1"/>
      <c r="AA1168" s="133">
        <f>IF($J1168=$G$2,ROUND(IF(ISNUMBER(S1168),S1168,IF(LEFT(S1168,2)="DI",HLOOKUP(S1168,DADOS!$T$29:$X$30,2,FALSE),0)),4),"")</f>
        <v>0.25</v>
      </c>
      <c r="AB1168" s="2"/>
    </row>
    <row r="1169" spans="1:28">
      <c r="A1169" t="str">
        <f t="shared" si="1492"/>
        <v>S</v>
      </c>
      <c r="B1169">
        <f t="shared" si="1493"/>
        <v>0</v>
      </c>
      <c r="C1169">
        <f t="shared" ca="1" si="1476"/>
        <v>13</v>
      </c>
      <c r="D1169">
        <f t="shared" ca="1" si="1477"/>
        <v>4</v>
      </c>
      <c r="E1169">
        <f t="shared" ca="1" si="1478"/>
        <v>0</v>
      </c>
      <c r="F1169">
        <f t="shared" ca="1" si="1479"/>
        <v>0</v>
      </c>
      <c r="G1169">
        <f t="shared" ca="1" si="1480"/>
        <v>4</v>
      </c>
      <c r="H1169">
        <f ca="1">IF(OR($A1169="S",$A1169=0),0,MATCH(0,OFFSET($B1169,1,$A1169,ROW($A$1504)-ROW($A1169)),0))</f>
        <v>0</v>
      </c>
      <c r="I1169">
        <f ca="1">IF(OR($A1169="S",$A1169=0),0,MATCH(OFFSET($B1169,0,$A1169)+1,OFFSET($B1169,1,$A1169,ROW($A$1504)-ROW($A1169)),0))</f>
        <v>0</v>
      </c>
      <c r="J1169" s="132" t="s">
        <v>29</v>
      </c>
      <c r="K1169" s="121" t="str">
        <f t="shared" ca="1" si="1481"/>
        <v>13.4.4.</v>
      </c>
      <c r="L1169" s="137" t="str">
        <f t="shared" ca="1" si="1482"/>
        <v>SINE</v>
      </c>
      <c r="M1169" s="122" t="s">
        <v>78</v>
      </c>
      <c r="N1169" s="139" t="s">
        <v>153</v>
      </c>
      <c r="O1169" s="137" t="str">
        <f t="shared" ca="1" si="1494"/>
        <v>Estagiários</v>
      </c>
      <c r="P1169" s="138" t="str">
        <f t="shared" ca="1" si="1483"/>
        <v>Horas</v>
      </c>
      <c r="Q1169" s="134">
        <v>16</v>
      </c>
      <c r="R1169" s="124">
        <f t="shared" ca="1" si="1484"/>
        <v>9.7899999999999991</v>
      </c>
      <c r="S1169" s="136" t="s">
        <v>62</v>
      </c>
      <c r="T1169" s="123">
        <f t="shared" ca="1" si="1485"/>
        <v>12.24</v>
      </c>
      <c r="U1169" s="126">
        <f t="shared" ca="1" si="1486"/>
        <v>195.84</v>
      </c>
      <c r="V1169" s="1"/>
      <c r="W1169" s="39" t="str">
        <f ca="1">IF(OR($A1169=0,$A1169="S",$A1169&gt;CFF!$A$9),"",MAX(W$11:OFFSET(W1169,-1,0))+1)</f>
        <v/>
      </c>
      <c r="X1169" s="4" t="str">
        <f t="shared" si="1487"/>
        <v>Rec. Humanos-004</v>
      </c>
      <c r="Y1169" s="39">
        <f t="shared" ca="1" si="1495"/>
        <v>6</v>
      </c>
      <c r="Z1169" s="1"/>
      <c r="AA1169" s="133">
        <f>IF($J1169=$G$2,ROUND(IF(ISNUMBER(S1169),S1169,IF(LEFT(S1169,2)="DI",HLOOKUP(S1169,DADOS!$T$29:$X$30,2,FALSE),0)),4),"")</f>
        <v>0.25</v>
      </c>
      <c r="AB1169" s="2"/>
    </row>
    <row r="1170" spans="1:28">
      <c r="A1170" t="str">
        <f t="shared" si="1492"/>
        <v>S</v>
      </c>
      <c r="B1170">
        <f t="shared" si="1493"/>
        <v>0</v>
      </c>
      <c r="C1170">
        <f t="shared" ca="1" si="1476"/>
        <v>13</v>
      </c>
      <c r="D1170">
        <f t="shared" ca="1" si="1477"/>
        <v>4</v>
      </c>
      <c r="E1170">
        <f t="shared" ca="1" si="1478"/>
        <v>0</v>
      </c>
      <c r="F1170">
        <f t="shared" ca="1" si="1479"/>
        <v>0</v>
      </c>
      <c r="G1170">
        <f t="shared" ca="1" si="1480"/>
        <v>5</v>
      </c>
      <c r="H1170">
        <f ca="1">IF(OR($A1170="S",$A1170=0),0,MATCH(0,OFFSET($B1170,1,$A1170,ROW($A$1504)-ROW($A1170)),0))</f>
        <v>0</v>
      </c>
      <c r="I1170">
        <f ca="1">IF(OR($A1170="S",$A1170=0),0,MATCH(OFFSET($B1170,0,$A1170)+1,OFFSET($B1170,1,$A1170,ROW($A$1504)-ROW($A1170)),0))</f>
        <v>0</v>
      </c>
      <c r="J1170" s="132" t="s">
        <v>29</v>
      </c>
      <c r="K1170" s="121" t="str">
        <f t="shared" ca="1" si="1481"/>
        <v>13.4.5.</v>
      </c>
      <c r="L1170" s="137" t="str">
        <f t="shared" ca="1" si="1482"/>
        <v>Cotação</v>
      </c>
      <c r="M1170" s="122" t="s">
        <v>80</v>
      </c>
      <c r="N1170" s="139" t="s">
        <v>149</v>
      </c>
      <c r="O1170" s="137" t="str">
        <f t="shared" ca="1" si="1494"/>
        <v>Fotocópias</v>
      </c>
      <c r="P1170" s="138" t="str">
        <f t="shared" ca="1" si="1483"/>
        <v>Unidade</v>
      </c>
      <c r="Q1170" s="134">
        <v>150</v>
      </c>
      <c r="R1170" s="124">
        <f t="shared" ca="1" si="1484"/>
        <v>0.3</v>
      </c>
      <c r="S1170" s="136" t="s">
        <v>62</v>
      </c>
      <c r="T1170" s="123">
        <f t="shared" ca="1" si="1485"/>
        <v>0.38</v>
      </c>
      <c r="U1170" s="126">
        <f t="shared" ca="1" si="1486"/>
        <v>57</v>
      </c>
      <c r="V1170" s="1"/>
      <c r="W1170" s="39" t="str">
        <f ca="1">IF(OR($A1170=0,$A1170="S",$A1170&gt;CFF!$A$9),"",MAX(W$11:OFFSET(W1170,-1,0))+1)</f>
        <v/>
      </c>
      <c r="X1170" s="4" t="str">
        <f t="shared" si="1487"/>
        <v>Serv. Terc.-001</v>
      </c>
      <c r="Y1170" s="39">
        <f t="shared" ca="1" si="1495"/>
        <v>81</v>
      </c>
      <c r="Z1170" s="1"/>
      <c r="AA1170" s="133">
        <f>IF($J1170=$G$2,ROUND(IF(ISNUMBER(S1170),S1170,IF(LEFT(S1170,2)="DI",HLOOKUP(S1170,DADOS!$T$29:$X$30,2,FALSE),0)),4),"")</f>
        <v>0.25</v>
      </c>
      <c r="AB1170" s="2"/>
    </row>
    <row r="1171" spans="1:28">
      <c r="A1171" t="str">
        <f t="shared" si="1492"/>
        <v>S</v>
      </c>
      <c r="B1171">
        <f t="shared" si="1493"/>
        <v>0</v>
      </c>
      <c r="C1171">
        <f t="shared" ca="1" si="1476"/>
        <v>13</v>
      </c>
      <c r="D1171">
        <f t="shared" ca="1" si="1477"/>
        <v>4</v>
      </c>
      <c r="E1171">
        <f t="shared" ca="1" si="1478"/>
        <v>0</v>
      </c>
      <c r="F1171">
        <f t="shared" ca="1" si="1479"/>
        <v>0</v>
      </c>
      <c r="G1171">
        <f t="shared" ca="1" si="1480"/>
        <v>6</v>
      </c>
      <c r="H1171">
        <f ca="1">IF(OR($A1171="S",$A1171=0),0,MATCH(0,OFFSET($B1171,1,$A1171,ROW($A$1504)-ROW($A1171)),0))</f>
        <v>0</v>
      </c>
      <c r="I1171">
        <f ca="1">IF(OR($A1171="S",$A1171=0),0,MATCH(OFFSET($B1171,0,$A1171)+1,OFFSET($B1171,1,$A1171,ROW($A$1504)-ROW($A1171)),0))</f>
        <v>0</v>
      </c>
      <c r="J1171" s="132" t="s">
        <v>29</v>
      </c>
      <c r="K1171" s="121" t="str">
        <f t="shared" ca="1" si="1481"/>
        <v>13.4.6.</v>
      </c>
      <c r="L1171" s="137" t="str">
        <f t="shared" ca="1" si="1482"/>
        <v>Cotação</v>
      </c>
      <c r="M1171" s="122" t="s">
        <v>80</v>
      </c>
      <c r="N1171" s="139" t="s">
        <v>256</v>
      </c>
      <c r="O1171" s="137" t="str">
        <f t="shared" ca="1" si="1494"/>
        <v>Instrutor/Monitor (Educação Fisíca)</v>
      </c>
      <c r="P1171" s="138" t="str">
        <f t="shared" ca="1" si="1483"/>
        <v>Horas</v>
      </c>
      <c r="Q1171" s="134">
        <v>3</v>
      </c>
      <c r="R1171" s="124">
        <f t="shared" ca="1" si="1484"/>
        <v>100</v>
      </c>
      <c r="S1171" s="136" t="s">
        <v>62</v>
      </c>
      <c r="T1171" s="123">
        <f t="shared" ca="1" si="1485"/>
        <v>125</v>
      </c>
      <c r="U1171" s="126">
        <f t="shared" ca="1" si="1486"/>
        <v>375</v>
      </c>
      <c r="V1171" s="1"/>
      <c r="W1171" s="39" t="str">
        <f ca="1">IF(OR($A1171=0,$A1171="S",$A1171&gt;CFF!$A$9),"",MAX(W$11:OFFSET(W1171,-1,0))+1)</f>
        <v/>
      </c>
      <c r="X1171" s="4" t="str">
        <f t="shared" si="1487"/>
        <v>Serv. Terc.-017</v>
      </c>
      <c r="Y1171" s="39">
        <f t="shared" ca="1" si="1495"/>
        <v>97</v>
      </c>
      <c r="Z1171" s="1"/>
      <c r="AA1171" s="133">
        <f>IF($J1171=$G$2,ROUND(IF(ISNUMBER(S1171),S1171,IF(LEFT(S1171,2)="DI",HLOOKUP(S1171,DADOS!$T$29:$X$30,2,FALSE),0)),4),"")</f>
        <v>0.25</v>
      </c>
      <c r="AB1171" s="2"/>
    </row>
    <row r="1172" spans="1:28">
      <c r="A1172" t="str">
        <f t="shared" ref="A1172:A1184" si="1496">CHOOSE(1+LOG(1+2*(J1172=$C$2)+4*(J1172=$D$2)+8*(J1172=$E$2)+16*(J1172=$F$2)+32*(J1172=$G$2),2),0,1,2,3,4,"S")</f>
        <v>S</v>
      </c>
      <c r="B1172">
        <f t="shared" ref="B1172:B1184" si="1497">IF(OR(A1172="S",A1172=0),0,IF(ISERROR(I1172),H1172,SMALL(H1172:I1172,1)))</f>
        <v>0</v>
      </c>
      <c r="C1172">
        <f t="shared" ca="1" si="1476"/>
        <v>13</v>
      </c>
      <c r="D1172">
        <f t="shared" ca="1" si="1477"/>
        <v>4</v>
      </c>
      <c r="E1172">
        <f t="shared" ca="1" si="1478"/>
        <v>0</v>
      </c>
      <c r="F1172">
        <f t="shared" ca="1" si="1479"/>
        <v>0</v>
      </c>
      <c r="G1172">
        <f t="shared" ca="1" si="1480"/>
        <v>7</v>
      </c>
      <c r="H1172">
        <f ca="1">IF(OR($A1172="S",$A1172=0),0,MATCH(0,OFFSET($B1172,1,$A1172,ROW($A$1504)-ROW($A1172)),0))</f>
        <v>0</v>
      </c>
      <c r="I1172">
        <f ca="1">IF(OR($A1172="S",$A1172=0),0,MATCH(OFFSET($B1172,0,$A1172)+1,OFFSET($B1172,1,$A1172,ROW($A$1504)-ROW($A1172)),0))</f>
        <v>0</v>
      </c>
      <c r="J1172" s="132" t="s">
        <v>29</v>
      </c>
      <c r="K1172" s="121" t="str">
        <f t="shared" ca="1" si="1481"/>
        <v>13.4.7.</v>
      </c>
      <c r="L1172" s="137" t="str">
        <f t="shared" ca="1" si="1482"/>
        <v>Cotação</v>
      </c>
      <c r="M1172" s="122" t="s">
        <v>80</v>
      </c>
      <c r="N1172" s="139" t="s">
        <v>152</v>
      </c>
      <c r="O1172" s="137" t="str">
        <f t="shared" ca="1" si="1494"/>
        <v>Carro de som com gravação de vinheta</v>
      </c>
      <c r="P1172" s="138" t="str">
        <f t="shared" ca="1" si="1483"/>
        <v>Horas</v>
      </c>
      <c r="Q1172" s="134">
        <v>3</v>
      </c>
      <c r="R1172" s="124">
        <f t="shared" ca="1" si="1484"/>
        <v>200</v>
      </c>
      <c r="S1172" s="136" t="s">
        <v>62</v>
      </c>
      <c r="T1172" s="123">
        <f t="shared" ca="1" si="1485"/>
        <v>250</v>
      </c>
      <c r="U1172" s="126">
        <f t="shared" ca="1" si="1486"/>
        <v>750</v>
      </c>
      <c r="V1172" s="1"/>
      <c r="W1172" s="39" t="str">
        <f ca="1">IF(OR($A1172=0,$A1172="S",$A1172&gt;CFF!$A$9),"",MAX(W$11:OFFSET(W1172,-1,0))+1)</f>
        <v/>
      </c>
      <c r="X1172" s="4" t="str">
        <f t="shared" si="1487"/>
        <v>Serv. Terc.-002</v>
      </c>
      <c r="Y1172" s="39">
        <f t="shared" ref="Y1172:Y1184" ca="1" si="1498">IF(X1172&lt;&gt;FALSE,MATCH(X1172,OFFSET(Banco,0,0,,1),0))</f>
        <v>82</v>
      </c>
      <c r="Z1172" s="1"/>
      <c r="AA1172" s="133">
        <f>IF($J1172=$G$2,ROUND(IF(ISNUMBER(S1172),S1172,IF(LEFT(S1172,2)="DI",HLOOKUP(S1172,DADOS!$T$29:$X$30,2,FALSE),0)),4),"")</f>
        <v>0.25</v>
      </c>
      <c r="AB1172" s="2"/>
    </row>
    <row r="1173" spans="1:28">
      <c r="A1173" t="str">
        <f t="shared" si="1496"/>
        <v>S</v>
      </c>
      <c r="B1173">
        <f t="shared" si="1497"/>
        <v>0</v>
      </c>
      <c r="C1173">
        <f t="shared" ca="1" si="1476"/>
        <v>13</v>
      </c>
      <c r="D1173">
        <f t="shared" ca="1" si="1477"/>
        <v>4</v>
      </c>
      <c r="E1173">
        <f t="shared" ca="1" si="1478"/>
        <v>0</v>
      </c>
      <c r="F1173">
        <f t="shared" ca="1" si="1479"/>
        <v>0</v>
      </c>
      <c r="G1173">
        <f t="shared" ca="1" si="1480"/>
        <v>8</v>
      </c>
      <c r="H1173">
        <f ca="1">IF(OR($A1173="S",$A1173=0),0,MATCH(0,OFFSET($B1173,1,$A1173,ROW($A$1504)-ROW($A1173)),0))</f>
        <v>0</v>
      </c>
      <c r="I1173">
        <f ca="1">IF(OR($A1173="S",$A1173=0),0,MATCH(OFFSET($B1173,0,$A1173)+1,OFFSET($B1173,1,$A1173,ROW($A$1504)-ROW($A1173)),0))</f>
        <v>0</v>
      </c>
      <c r="J1173" s="132" t="s">
        <v>29</v>
      </c>
      <c r="K1173" s="121" t="str">
        <f t="shared" ca="1" si="1481"/>
        <v>13.4.8.</v>
      </c>
      <c r="L1173" s="137" t="str">
        <f t="shared" ca="1" si="1482"/>
        <v>Cotação</v>
      </c>
      <c r="M1173" s="122" t="s">
        <v>80</v>
      </c>
      <c r="N1173" s="139" t="s">
        <v>154</v>
      </c>
      <c r="O1173" s="137" t="str">
        <f t="shared" ca="1" si="1494"/>
        <v>Locação de caixa térmica</v>
      </c>
      <c r="P1173" s="138" t="str">
        <f t="shared" ca="1" si="1483"/>
        <v>Unidade</v>
      </c>
      <c r="Q1173" s="134">
        <v>2</v>
      </c>
      <c r="R1173" s="124">
        <f t="shared" ca="1" si="1484"/>
        <v>40</v>
      </c>
      <c r="S1173" s="136" t="s">
        <v>62</v>
      </c>
      <c r="T1173" s="123">
        <f t="shared" ca="1" si="1485"/>
        <v>50</v>
      </c>
      <c r="U1173" s="126">
        <f t="shared" ca="1" si="1486"/>
        <v>100</v>
      </c>
      <c r="V1173" s="1"/>
      <c r="W1173" s="39" t="str">
        <f ca="1">IF(OR($A1173=0,$A1173="S",$A1173&gt;CFF!$A$9),"",MAX(W$11:OFFSET(W1173,-1,0))+1)</f>
        <v/>
      </c>
      <c r="X1173" s="4" t="str">
        <f t="shared" si="1487"/>
        <v>Serv. Terc.-005</v>
      </c>
      <c r="Y1173" s="39">
        <f t="shared" ca="1" si="1498"/>
        <v>85</v>
      </c>
      <c r="Z1173" s="1"/>
      <c r="AA1173" s="133">
        <f>IF($J1173=$G$2,ROUND(IF(ISNUMBER(S1173),S1173,IF(LEFT(S1173,2)="DI",HLOOKUP(S1173,DADOS!$T$29:$X$30,2,FALSE),0)),4),"")</f>
        <v>0.25</v>
      </c>
      <c r="AB1173" s="2"/>
    </row>
    <row r="1174" spans="1:28">
      <c r="A1174" t="str">
        <f t="shared" si="1496"/>
        <v>S</v>
      </c>
      <c r="B1174">
        <f t="shared" si="1497"/>
        <v>0</v>
      </c>
      <c r="C1174">
        <f t="shared" ca="1" si="1476"/>
        <v>13</v>
      </c>
      <c r="D1174">
        <f t="shared" ca="1" si="1477"/>
        <v>4</v>
      </c>
      <c r="E1174">
        <f t="shared" ca="1" si="1478"/>
        <v>0</v>
      </c>
      <c r="F1174">
        <f t="shared" ca="1" si="1479"/>
        <v>0</v>
      </c>
      <c r="G1174">
        <f t="shared" ca="1" si="1480"/>
        <v>9</v>
      </c>
      <c r="H1174">
        <f ca="1">IF(OR($A1174="S",$A1174=0),0,MATCH(0,OFFSET($B1174,1,$A1174,ROW($A$1504)-ROW($A1174)),0))</f>
        <v>0</v>
      </c>
      <c r="I1174">
        <f ca="1">IF(OR($A1174="S",$A1174=0),0,MATCH(OFFSET($B1174,0,$A1174)+1,OFFSET($B1174,1,$A1174,ROW($A$1504)-ROW($A1174)),0))</f>
        <v>0</v>
      </c>
      <c r="J1174" s="132" t="s">
        <v>29</v>
      </c>
      <c r="K1174" s="121" t="str">
        <f t="shared" ca="1" si="1481"/>
        <v>13.4.9.</v>
      </c>
      <c r="L1174" s="137" t="str">
        <f t="shared" ca="1" si="1482"/>
        <v>Cotação</v>
      </c>
      <c r="M1174" s="122" t="s">
        <v>80</v>
      </c>
      <c r="N1174" s="139" t="s">
        <v>157</v>
      </c>
      <c r="O1174" s="137" t="str">
        <f t="shared" ca="1" si="1494"/>
        <v>Locação de pula-pula com monitor</v>
      </c>
      <c r="P1174" s="138" t="str">
        <f t="shared" ca="1" si="1483"/>
        <v>Unidade</v>
      </c>
      <c r="Q1174" s="134">
        <v>2</v>
      </c>
      <c r="R1174" s="124">
        <f t="shared" ca="1" si="1484"/>
        <v>220</v>
      </c>
      <c r="S1174" s="136" t="s">
        <v>62</v>
      </c>
      <c r="T1174" s="123">
        <f t="shared" ca="1" si="1485"/>
        <v>275</v>
      </c>
      <c r="U1174" s="126">
        <f t="shared" ca="1" si="1486"/>
        <v>550</v>
      </c>
      <c r="V1174" s="1"/>
      <c r="W1174" s="39" t="str">
        <f ca="1">IF(OR($A1174=0,$A1174="S",$A1174&gt;CFF!$A$9),"",MAX(W$11:OFFSET(W1174,-1,0))+1)</f>
        <v/>
      </c>
      <c r="X1174" s="4" t="str">
        <f t="shared" si="1487"/>
        <v>Serv. Terc.-008</v>
      </c>
      <c r="Y1174" s="39">
        <f t="shared" ca="1" si="1498"/>
        <v>88</v>
      </c>
      <c r="Z1174" s="1"/>
      <c r="AA1174" s="133">
        <f>IF($J1174=$G$2,ROUND(IF(ISNUMBER(S1174),S1174,IF(LEFT(S1174,2)="DI",HLOOKUP(S1174,DADOS!$T$29:$X$30,2,FALSE),0)),4),"")</f>
        <v>0.25</v>
      </c>
      <c r="AB1174" s="2"/>
    </row>
    <row r="1175" spans="1:28">
      <c r="A1175" t="str">
        <f t="shared" si="1496"/>
        <v>S</v>
      </c>
      <c r="B1175">
        <f t="shared" si="1497"/>
        <v>0</v>
      </c>
      <c r="C1175">
        <f t="shared" ca="1" si="1476"/>
        <v>13</v>
      </c>
      <c r="D1175">
        <f t="shared" ca="1" si="1477"/>
        <v>4</v>
      </c>
      <c r="E1175">
        <f t="shared" ca="1" si="1478"/>
        <v>0</v>
      </c>
      <c r="F1175">
        <f t="shared" ca="1" si="1479"/>
        <v>0</v>
      </c>
      <c r="G1175">
        <f t="shared" ca="1" si="1480"/>
        <v>10</v>
      </c>
      <c r="H1175">
        <f ca="1">IF(OR($A1175="S",$A1175=0),0,MATCH(0,OFFSET($B1175,1,$A1175,ROW($A$1504)-ROW($A1175)),0))</f>
        <v>0</v>
      </c>
      <c r="I1175">
        <f ca="1">IF(OR($A1175="S",$A1175=0),0,MATCH(OFFSET($B1175,0,$A1175)+1,OFFSET($B1175,1,$A1175,ROW($A$1504)-ROW($A1175)),0))</f>
        <v>0</v>
      </c>
      <c r="J1175" s="132" t="s">
        <v>29</v>
      </c>
      <c r="K1175" s="121" t="str">
        <f t="shared" ca="1" si="1481"/>
        <v>13.4.10.</v>
      </c>
      <c r="L1175" s="137" t="str">
        <f t="shared" ca="1" si="1482"/>
        <v xml:space="preserve">Cotação </v>
      </c>
      <c r="M1175" s="122" t="s">
        <v>80</v>
      </c>
      <c r="N1175" s="139" t="s">
        <v>160</v>
      </c>
      <c r="O1175" s="137" t="str">
        <f t="shared" ca="1" si="1494"/>
        <v>Barra de gelo</v>
      </c>
      <c r="P1175" s="138" t="str">
        <f t="shared" ca="1" si="1483"/>
        <v>Unidade</v>
      </c>
      <c r="Q1175" s="134">
        <v>4</v>
      </c>
      <c r="R1175" s="124">
        <f t="shared" ca="1" si="1484"/>
        <v>12</v>
      </c>
      <c r="S1175" s="136" t="s">
        <v>62</v>
      </c>
      <c r="T1175" s="123">
        <f t="shared" ca="1" si="1485"/>
        <v>15</v>
      </c>
      <c r="U1175" s="126">
        <f t="shared" ca="1" si="1486"/>
        <v>60</v>
      </c>
      <c r="V1175" s="1"/>
      <c r="W1175" s="39" t="str">
        <f ca="1">IF(OR($A1175=0,$A1175="S",$A1175&gt;CFF!$A$9),"",MAX(W$11:OFFSET(W1175,-1,0))+1)</f>
        <v/>
      </c>
      <c r="X1175" s="4" t="str">
        <f t="shared" si="1487"/>
        <v>Serv. Terc.-011</v>
      </c>
      <c r="Y1175" s="39">
        <f t="shared" ca="1" si="1498"/>
        <v>91</v>
      </c>
      <c r="Z1175" s="1"/>
      <c r="AA1175" s="133">
        <f>IF($J1175=$G$2,ROUND(IF(ISNUMBER(S1175),S1175,IF(LEFT(S1175,2)="DI",HLOOKUP(S1175,DADOS!$T$29:$X$30,2,FALSE),0)),4),"")</f>
        <v>0.25</v>
      </c>
      <c r="AB1175" s="2"/>
    </row>
    <row r="1176" spans="1:28">
      <c r="A1176" t="str">
        <f t="shared" si="1496"/>
        <v>S</v>
      </c>
      <c r="B1176">
        <f t="shared" si="1497"/>
        <v>0</v>
      </c>
      <c r="C1176">
        <f t="shared" ca="1" si="1476"/>
        <v>13</v>
      </c>
      <c r="D1176">
        <f t="shared" ca="1" si="1477"/>
        <v>4</v>
      </c>
      <c r="E1176">
        <f t="shared" ca="1" si="1478"/>
        <v>0</v>
      </c>
      <c r="F1176">
        <f t="shared" ca="1" si="1479"/>
        <v>0</v>
      </c>
      <c r="G1176">
        <f t="shared" ca="1" si="1480"/>
        <v>11</v>
      </c>
      <c r="H1176">
        <f ca="1">IF(OR($A1176="S",$A1176=0),0,MATCH(0,OFFSET($B1176,1,$A1176,ROW($A$1504)-ROW($A1176)),0))</f>
        <v>0</v>
      </c>
      <c r="I1176">
        <f ca="1">IF(OR($A1176="S",$A1176=0),0,MATCH(OFFSET($B1176,0,$A1176)+1,OFFSET($B1176,1,$A1176,ROW($A$1504)-ROW($A1176)),0))</f>
        <v>0</v>
      </c>
      <c r="J1176" s="132" t="s">
        <v>29</v>
      </c>
      <c r="K1176" s="121" t="str">
        <f t="shared" ca="1" si="1481"/>
        <v>13.4.11.</v>
      </c>
      <c r="L1176" s="137" t="str">
        <f t="shared" ca="1" si="1482"/>
        <v>Cotação</v>
      </c>
      <c r="M1176" s="122" t="s">
        <v>80</v>
      </c>
      <c r="N1176" s="139" t="s">
        <v>150</v>
      </c>
      <c r="O1176" s="137" t="str">
        <f t="shared" ca="1" si="1494"/>
        <v>Sucos</v>
      </c>
      <c r="P1176" s="138" t="str">
        <f t="shared" ca="1" si="1483"/>
        <v>Unidade</v>
      </c>
      <c r="Q1176" s="134">
        <v>12</v>
      </c>
      <c r="R1176" s="124">
        <f t="shared" ca="1" si="1484"/>
        <v>6.4</v>
      </c>
      <c r="S1176" s="136" t="s">
        <v>62</v>
      </c>
      <c r="T1176" s="123">
        <f t="shared" ca="1" si="1485"/>
        <v>8</v>
      </c>
      <c r="U1176" s="126">
        <f t="shared" ca="1" si="1486"/>
        <v>96</v>
      </c>
      <c r="V1176" s="1"/>
      <c r="W1176" s="39" t="str">
        <f ca="1">IF(OR($A1176=0,$A1176="S",$A1176&gt;CFF!$A$9),"",MAX(W$11:OFFSET(W1176,-1,0))+1)</f>
        <v/>
      </c>
      <c r="X1176" s="4" t="str">
        <f t="shared" si="1487"/>
        <v>Serv. Terc.-013</v>
      </c>
      <c r="Y1176" s="39">
        <f t="shared" ca="1" si="1498"/>
        <v>93</v>
      </c>
      <c r="Z1176" s="1"/>
      <c r="AA1176" s="133">
        <f>IF($J1176=$G$2,ROUND(IF(ISNUMBER(S1176),S1176,IF(LEFT(S1176,2)="DI",HLOOKUP(S1176,DADOS!$T$29:$X$30,2,FALSE),0)),4),"")</f>
        <v>0.25</v>
      </c>
      <c r="AB1176" s="2"/>
    </row>
    <row r="1177" spans="1:28">
      <c r="A1177" t="str">
        <f>CHOOSE(1+LOG(1+2*(J1177=$C$2)+4*(J1177=$D$2)+8*(J1177=$E$2)+16*(J1177=$F$2)+32*(J1177=$G$2),2),0,1,2,3,4,"S")</f>
        <v>S</v>
      </c>
      <c r="B1177">
        <f>IF(OR(A1177="S",A1177=0),0,IF(ISERROR(I1177),H1177,SMALL(H1177:I1177,1)))</f>
        <v>0</v>
      </c>
      <c r="C1177">
        <f t="shared" ca="1" si="1476"/>
        <v>13</v>
      </c>
      <c r="D1177">
        <f t="shared" ca="1" si="1477"/>
        <v>4</v>
      </c>
      <c r="E1177">
        <f t="shared" ca="1" si="1478"/>
        <v>0</v>
      </c>
      <c r="F1177">
        <f t="shared" ca="1" si="1479"/>
        <v>0</v>
      </c>
      <c r="G1177">
        <f t="shared" ca="1" si="1480"/>
        <v>12</v>
      </c>
      <c r="H1177">
        <f ca="1">IF(OR($A1177="S",$A1177=0),0,MATCH(0,OFFSET($B1177,1,$A1177,ROW($A$1504)-ROW($A1177)),0))</f>
        <v>0</v>
      </c>
      <c r="I1177">
        <f ca="1">IF(OR($A1177="S",$A1177=0),0,MATCH(OFFSET($B1177,0,$A1177)+1,OFFSET($B1177,1,$A1177,ROW($A$1504)-ROW($A1177)),0))</f>
        <v>0</v>
      </c>
      <c r="J1177" s="132" t="s">
        <v>29</v>
      </c>
      <c r="K1177" s="121" t="str">
        <f t="shared" ca="1" si="1481"/>
        <v>13.4.12.</v>
      </c>
      <c r="L1177" s="137" t="str">
        <f t="shared" ca="1" si="1482"/>
        <v>Cotação</v>
      </c>
      <c r="M1177" s="122" t="s">
        <v>80</v>
      </c>
      <c r="N1177" s="139" t="s">
        <v>171</v>
      </c>
      <c r="O1177" s="137" t="str">
        <f t="shared" ca="1" si="1494"/>
        <v xml:space="preserve">Refrigerantes (02 litros) </v>
      </c>
      <c r="P1177" s="138" t="str">
        <f t="shared" ca="1" si="1483"/>
        <v>Unidade</v>
      </c>
      <c r="Q1177" s="134">
        <v>20</v>
      </c>
      <c r="R1177" s="124">
        <f t="shared" ca="1" si="1484"/>
        <v>6</v>
      </c>
      <c r="S1177" s="136" t="s">
        <v>62</v>
      </c>
      <c r="T1177" s="123">
        <f t="shared" ca="1" si="1485"/>
        <v>7.5</v>
      </c>
      <c r="U1177" s="126">
        <f t="shared" ca="1" si="1486"/>
        <v>150</v>
      </c>
      <c r="V1177" s="1"/>
      <c r="W1177" s="39" t="str">
        <f ca="1">IF(OR($A1177=0,$A1177="S",$A1177&gt;CFF!$A$9),"",MAX(W$11:OFFSET(W1177,-1,0))+1)</f>
        <v/>
      </c>
      <c r="X1177" s="4" t="str">
        <f t="shared" si="1487"/>
        <v>Serv. Terc.-027</v>
      </c>
      <c r="Y1177" s="39">
        <f ca="1">IF(X1177&lt;&gt;FALSE,MATCH(X1177,OFFSET(Banco,0,0,,1),0))</f>
        <v>107</v>
      </c>
      <c r="Z1177" s="1"/>
      <c r="AA1177" s="133">
        <f>IF($J1177=$G$2,ROUND(IF(ISNUMBER(S1177),S1177,IF(LEFT(S1177,2)="DI",HLOOKUP(S1177,DADOS!$T$29:$X$30,2,FALSE),0)),4),"")</f>
        <v>0.25</v>
      </c>
      <c r="AB1177" s="2"/>
    </row>
    <row r="1178" spans="1:28">
      <c r="A1178" t="str">
        <f t="shared" si="1496"/>
        <v>S</v>
      </c>
      <c r="B1178">
        <f t="shared" si="1497"/>
        <v>0</v>
      </c>
      <c r="C1178">
        <f t="shared" ca="1" si="1476"/>
        <v>13</v>
      </c>
      <c r="D1178">
        <f t="shared" ca="1" si="1477"/>
        <v>4</v>
      </c>
      <c r="E1178">
        <f t="shared" ca="1" si="1478"/>
        <v>0</v>
      </c>
      <c r="F1178">
        <f t="shared" ca="1" si="1479"/>
        <v>0</v>
      </c>
      <c r="G1178">
        <f t="shared" ca="1" si="1480"/>
        <v>13</v>
      </c>
      <c r="H1178">
        <f ca="1">IF(OR($A1178="S",$A1178=0),0,MATCH(0,OFFSET($B1178,1,$A1178,ROW($A$1504)-ROW($A1178)),0))</f>
        <v>0</v>
      </c>
      <c r="I1178">
        <f ca="1">IF(OR($A1178="S",$A1178=0),0,MATCH(OFFSET($B1178,0,$A1178)+1,OFFSET($B1178,1,$A1178,ROW($A$1504)-ROW($A1178)),0))</f>
        <v>0</v>
      </c>
      <c r="J1178" s="132" t="s">
        <v>29</v>
      </c>
      <c r="K1178" s="121" t="str">
        <f t="shared" ca="1" si="1481"/>
        <v>13.4.13.</v>
      </c>
      <c r="L1178" s="137" t="str">
        <f t="shared" ca="1" si="1482"/>
        <v xml:space="preserve">Cotação </v>
      </c>
      <c r="M1178" s="122" t="s">
        <v>80</v>
      </c>
      <c r="N1178" s="139" t="s">
        <v>159</v>
      </c>
      <c r="O1178" s="137" t="str">
        <f t="shared" ca="1" si="1494"/>
        <v>Brindes ( descrição nos orçamentos e PTS)</v>
      </c>
      <c r="P1178" s="138" t="str">
        <f t="shared" ca="1" si="1483"/>
        <v>Unidade</v>
      </c>
      <c r="Q1178" s="134">
        <v>4</v>
      </c>
      <c r="R1178" s="124">
        <f t="shared" ca="1" si="1484"/>
        <v>120</v>
      </c>
      <c r="S1178" s="136" t="s">
        <v>62</v>
      </c>
      <c r="T1178" s="123">
        <f t="shared" ca="1" si="1485"/>
        <v>150</v>
      </c>
      <c r="U1178" s="126">
        <f t="shared" ca="1" si="1486"/>
        <v>600</v>
      </c>
      <c r="V1178" s="1"/>
      <c r="W1178" s="39" t="str">
        <f ca="1">IF(OR($A1178=0,$A1178="S",$A1178&gt;CFF!$A$9),"",MAX(W$11:OFFSET(W1178,-1,0))+1)</f>
        <v/>
      </c>
      <c r="X1178" s="4" t="str">
        <f t="shared" si="1487"/>
        <v>Serv. Terc.-010</v>
      </c>
      <c r="Y1178" s="39">
        <f t="shared" ca="1" si="1498"/>
        <v>90</v>
      </c>
      <c r="Z1178" s="1"/>
      <c r="AA1178" s="133">
        <f>IF($J1178=$G$2,ROUND(IF(ISNUMBER(S1178),S1178,IF(LEFT(S1178,2)="DI",HLOOKUP(S1178,DADOS!$T$29:$X$30,2,FALSE),0)),4),"")</f>
        <v>0.25</v>
      </c>
      <c r="AB1178" s="2"/>
    </row>
    <row r="1179" spans="1:28">
      <c r="A1179" t="str">
        <f t="shared" si="1496"/>
        <v>S</v>
      </c>
      <c r="B1179">
        <f t="shared" si="1497"/>
        <v>0</v>
      </c>
      <c r="C1179">
        <f t="shared" ca="1" si="1476"/>
        <v>13</v>
      </c>
      <c r="D1179">
        <f t="shared" ca="1" si="1477"/>
        <v>4</v>
      </c>
      <c r="E1179">
        <f t="shared" ca="1" si="1478"/>
        <v>0</v>
      </c>
      <c r="F1179">
        <f t="shared" ca="1" si="1479"/>
        <v>0</v>
      </c>
      <c r="G1179">
        <f t="shared" ca="1" si="1480"/>
        <v>14</v>
      </c>
      <c r="H1179">
        <f ca="1">IF(OR($A1179="S",$A1179=0),0,MATCH(0,OFFSET($B1179,1,$A1179,ROW($A$1504)-ROW($A1179)),0))</f>
        <v>0</v>
      </c>
      <c r="I1179">
        <f ca="1">IF(OR($A1179="S",$A1179=0),0,MATCH(OFFSET($B1179,0,$A1179)+1,OFFSET($B1179,1,$A1179,ROW($A$1504)-ROW($A1179)),0))</f>
        <v>0</v>
      </c>
      <c r="J1179" s="132" t="s">
        <v>29</v>
      </c>
      <c r="K1179" s="121" t="str">
        <f t="shared" ca="1" si="1481"/>
        <v>13.4.14.</v>
      </c>
      <c r="L1179" s="137" t="str">
        <f t="shared" ca="1" si="1482"/>
        <v>Cotação</v>
      </c>
      <c r="M1179" s="122" t="s">
        <v>80</v>
      </c>
      <c r="N1179" s="139" t="s">
        <v>162</v>
      </c>
      <c r="O1179" s="137" t="str">
        <f t="shared" ca="1" si="1494"/>
        <v>Coffee break (salgados)</v>
      </c>
      <c r="P1179" s="138" t="str">
        <f t="shared" ca="1" si="1483"/>
        <v>Centro</v>
      </c>
      <c r="Q1179" s="134">
        <v>15</v>
      </c>
      <c r="R1179" s="124">
        <f t="shared" ca="1" si="1484"/>
        <v>65</v>
      </c>
      <c r="S1179" s="136" t="s">
        <v>62</v>
      </c>
      <c r="T1179" s="123">
        <f t="shared" ca="1" si="1485"/>
        <v>81.25</v>
      </c>
      <c r="U1179" s="126">
        <f t="shared" ca="1" si="1486"/>
        <v>1218.75</v>
      </c>
      <c r="V1179" s="1"/>
      <c r="W1179" s="39" t="str">
        <f ca="1">IF(OR($A1179=0,$A1179="S",$A1179&gt;CFF!$A$9),"",MAX(W$11:OFFSET(W1179,-1,0))+1)</f>
        <v/>
      </c>
      <c r="X1179" s="4" t="str">
        <f t="shared" si="1487"/>
        <v>Serv. Terc.-015</v>
      </c>
      <c r="Y1179" s="39">
        <f t="shared" ca="1" si="1498"/>
        <v>95</v>
      </c>
      <c r="Z1179" s="1"/>
      <c r="AA1179" s="133">
        <f>IF($J1179=$G$2,ROUND(IF(ISNUMBER(S1179),S1179,IF(LEFT(S1179,2)="DI",HLOOKUP(S1179,DADOS!$T$29:$X$30,2,FALSE),0)),4),"")</f>
        <v>0.25</v>
      </c>
      <c r="AB1179" s="2"/>
    </row>
    <row r="1180" spans="1:28">
      <c r="A1180" t="str">
        <f>CHOOSE(1+LOG(1+2*(J1180=$C$2)+4*(J1180=$D$2)+8*(J1180=$E$2)+16*(J1180=$F$2)+32*(J1180=$G$2),2),0,1,2,3,4,"S")</f>
        <v>S</v>
      </c>
      <c r="B1180">
        <f>IF(OR(A1180="S",A1180=0),0,IF(ISERROR(I1180),H1180,SMALL(H1180:I1180,1)))</f>
        <v>0</v>
      </c>
      <c r="C1180">
        <f t="shared" ca="1" si="1476"/>
        <v>13</v>
      </c>
      <c r="D1180">
        <f t="shared" ca="1" si="1477"/>
        <v>4</v>
      </c>
      <c r="E1180">
        <f t="shared" ca="1" si="1478"/>
        <v>0</v>
      </c>
      <c r="F1180">
        <f t="shared" ca="1" si="1479"/>
        <v>0</v>
      </c>
      <c r="G1180">
        <f t="shared" ca="1" si="1480"/>
        <v>15</v>
      </c>
      <c r="H1180">
        <f ca="1">IF(OR($A1180="S",$A1180=0),0,MATCH(0,OFFSET($B1180,1,$A1180,ROW($A$1504)-ROW($A1180)),0))</f>
        <v>0</v>
      </c>
      <c r="I1180">
        <f ca="1">IF(OR($A1180="S",$A1180=0),0,MATCH(OFFSET($B1180,0,$A1180)+1,OFFSET($B1180,1,$A1180,ROW($A$1504)-ROW($A1180)),0))</f>
        <v>0</v>
      </c>
      <c r="J1180" s="132" t="s">
        <v>29</v>
      </c>
      <c r="K1180" s="121" t="str">
        <f t="shared" ca="1" si="1481"/>
        <v>13.4.15.</v>
      </c>
      <c r="L1180" s="137" t="str">
        <f t="shared" ca="1" si="1482"/>
        <v>COREN</v>
      </c>
      <c r="M1180" s="122" t="s">
        <v>80</v>
      </c>
      <c r="N1180" s="139" t="s">
        <v>246</v>
      </c>
      <c r="O1180" s="137" t="str">
        <f t="shared" ca="1" si="1494"/>
        <v>Enfermeiro padrão</v>
      </c>
      <c r="P1180" s="138" t="str">
        <f t="shared" ca="1" si="1483"/>
        <v>Unidade</v>
      </c>
      <c r="Q1180" s="134">
        <v>6</v>
      </c>
      <c r="R1180" s="124">
        <f t="shared" ca="1" si="1484"/>
        <v>123.02</v>
      </c>
      <c r="S1180" s="136" t="s">
        <v>62</v>
      </c>
      <c r="T1180" s="123">
        <f t="shared" ca="1" si="1485"/>
        <v>153.78</v>
      </c>
      <c r="U1180" s="126">
        <f t="shared" ca="1" si="1486"/>
        <v>922.68</v>
      </c>
      <c r="V1180" s="1"/>
      <c r="W1180" s="39" t="str">
        <f ca="1">IF(OR($A1180=0,$A1180="S",$A1180&gt;CFF!$A$9),"",MAX(W$11:OFFSET(W1180,-1,0))+1)</f>
        <v/>
      </c>
      <c r="X1180" s="4" t="str">
        <f t="shared" si="1487"/>
        <v>Serv. Terc.-080</v>
      </c>
      <c r="Y1180" s="39">
        <f ca="1">IF(X1180&lt;&gt;FALSE,MATCH(X1180,OFFSET(Banco,0,0,,1),0))</f>
        <v>160</v>
      </c>
      <c r="Z1180" s="1"/>
      <c r="AA1180" s="133">
        <f>IF($J1180=$G$2,ROUND(IF(ISNUMBER(S1180),S1180,IF(LEFT(S1180,2)="DI",HLOOKUP(S1180,DADOS!$T$29:$X$30,2,FALSE),0)),4),"")</f>
        <v>0.25</v>
      </c>
      <c r="AB1180" s="2"/>
    </row>
    <row r="1181" spans="1:28">
      <c r="A1181" t="str">
        <f t="shared" si="1496"/>
        <v>S</v>
      </c>
      <c r="B1181">
        <f t="shared" si="1497"/>
        <v>0</v>
      </c>
      <c r="C1181">
        <f t="shared" ca="1" si="1476"/>
        <v>13</v>
      </c>
      <c r="D1181">
        <f t="shared" ca="1" si="1477"/>
        <v>4</v>
      </c>
      <c r="E1181">
        <f t="shared" ca="1" si="1478"/>
        <v>0</v>
      </c>
      <c r="F1181">
        <f t="shared" ca="1" si="1479"/>
        <v>0</v>
      </c>
      <c r="G1181">
        <f t="shared" ca="1" si="1480"/>
        <v>16</v>
      </c>
      <c r="H1181">
        <f ca="1">IF(OR($A1181="S",$A1181=0),0,MATCH(0,OFFSET($B1181,1,$A1181,ROW($A$1504)-ROW($A1181)),0))</f>
        <v>0</v>
      </c>
      <c r="I1181">
        <f ca="1">IF(OR($A1181="S",$A1181=0),0,MATCH(OFFSET($B1181,0,$A1181)+1,OFFSET($B1181,1,$A1181,ROW($A$1504)-ROW($A1181)),0))</f>
        <v>0</v>
      </c>
      <c r="J1181" s="132" t="s">
        <v>29</v>
      </c>
      <c r="K1181" s="121" t="str">
        <f t="shared" ca="1" si="1481"/>
        <v>13.4.16.</v>
      </c>
      <c r="L1181" s="137" t="str">
        <f t="shared" ca="1" si="1482"/>
        <v>Cotação</v>
      </c>
      <c r="M1181" s="122" t="s">
        <v>79</v>
      </c>
      <c r="N1181" s="139" t="s">
        <v>163</v>
      </c>
      <c r="O1181" s="137" t="str">
        <f t="shared" ca="1" si="1494"/>
        <v>Guloseimas (balas e pirulito)</v>
      </c>
      <c r="P1181" s="138" t="str">
        <f t="shared" ca="1" si="1483"/>
        <v>Pacote</v>
      </c>
      <c r="Q1181" s="134">
        <v>4</v>
      </c>
      <c r="R1181" s="124">
        <f t="shared" ca="1" si="1484"/>
        <v>12</v>
      </c>
      <c r="S1181" s="136" t="s">
        <v>62</v>
      </c>
      <c r="T1181" s="123">
        <f t="shared" ca="1" si="1485"/>
        <v>15</v>
      </c>
      <c r="U1181" s="126">
        <f t="shared" ca="1" si="1486"/>
        <v>60</v>
      </c>
      <c r="V1181" s="1"/>
      <c r="W1181" s="39" t="str">
        <f ca="1">IF(OR($A1181=0,$A1181="S",$A1181&gt;CFF!$A$9),"",MAX(W$11:OFFSET(W1181,-1,0))+1)</f>
        <v/>
      </c>
      <c r="X1181" s="4" t="str">
        <f t="shared" si="1487"/>
        <v>Rec. Materiais-020</v>
      </c>
      <c r="Y1181" s="39">
        <f t="shared" ca="1" si="1498"/>
        <v>29</v>
      </c>
      <c r="Z1181" s="1"/>
      <c r="AA1181" s="133">
        <f>IF($J1181=$G$2,ROUND(IF(ISNUMBER(S1181),S1181,IF(LEFT(S1181,2)="DI",HLOOKUP(S1181,DADOS!$T$29:$X$30,2,FALSE),0)),4),"")</f>
        <v>0.25</v>
      </c>
      <c r="AB1181" s="2"/>
    </row>
    <row r="1182" spans="1:28">
      <c r="A1182" t="str">
        <f t="shared" si="1496"/>
        <v>S</v>
      </c>
      <c r="B1182">
        <f t="shared" si="1497"/>
        <v>0</v>
      </c>
      <c r="C1182">
        <f t="shared" ca="1" si="1476"/>
        <v>13</v>
      </c>
      <c r="D1182">
        <f t="shared" ca="1" si="1477"/>
        <v>4</v>
      </c>
      <c r="E1182">
        <f t="shared" ca="1" si="1478"/>
        <v>0</v>
      </c>
      <c r="F1182">
        <f t="shared" ca="1" si="1479"/>
        <v>0</v>
      </c>
      <c r="G1182">
        <f t="shared" ca="1" si="1480"/>
        <v>17</v>
      </c>
      <c r="H1182">
        <f ca="1">IF(OR($A1182="S",$A1182=0),0,MATCH(0,OFFSET($B1182,1,$A1182,ROW($A$1504)-ROW($A1182)),0))</f>
        <v>0</v>
      </c>
      <c r="I1182">
        <f ca="1">IF(OR($A1182="S",$A1182=0),0,MATCH(OFFSET($B1182,0,$A1182)+1,OFFSET($B1182,1,$A1182,ROW($A$1504)-ROW($A1182)),0))</f>
        <v>0</v>
      </c>
      <c r="J1182" s="132" t="s">
        <v>29</v>
      </c>
      <c r="K1182" s="121" t="str">
        <f t="shared" ca="1" si="1481"/>
        <v>13.4.17.</v>
      </c>
      <c r="L1182" s="137" t="str">
        <f t="shared" ca="1" si="1482"/>
        <v>Cotação</v>
      </c>
      <c r="M1182" s="122" t="s">
        <v>79</v>
      </c>
      <c r="N1182" s="139" t="s">
        <v>165</v>
      </c>
      <c r="O1182" s="137" t="str">
        <f t="shared" ca="1" si="1494"/>
        <v>Papel de presente</v>
      </c>
      <c r="P1182" s="138" t="str">
        <f t="shared" ca="1" si="1483"/>
        <v>Folhas</v>
      </c>
      <c r="Q1182" s="134">
        <v>8</v>
      </c>
      <c r="R1182" s="124">
        <f t="shared" ca="1" si="1484"/>
        <v>1.5</v>
      </c>
      <c r="S1182" s="136" t="s">
        <v>62</v>
      </c>
      <c r="T1182" s="123">
        <f t="shared" ca="1" si="1485"/>
        <v>1.88</v>
      </c>
      <c r="U1182" s="126">
        <f t="shared" ca="1" si="1486"/>
        <v>15.04</v>
      </c>
      <c r="V1182" s="1"/>
      <c r="W1182" s="39" t="str">
        <f ca="1">IF(OR($A1182=0,$A1182="S",$A1182&gt;CFF!$A$9),"",MAX(W$11:OFFSET(W1182,-1,0))+1)</f>
        <v/>
      </c>
      <c r="X1182" s="4" t="str">
        <f t="shared" si="1487"/>
        <v>Rec. Materiais-021</v>
      </c>
      <c r="Y1182" s="39">
        <f t="shared" ca="1" si="1498"/>
        <v>30</v>
      </c>
      <c r="Z1182" s="1"/>
      <c r="AA1182" s="133">
        <f>IF($J1182=$G$2,ROUND(IF(ISNUMBER(S1182),S1182,IF(LEFT(S1182,2)="DI",HLOOKUP(S1182,DADOS!$T$29:$X$30,2,FALSE),0)),4),"")</f>
        <v>0.25</v>
      </c>
      <c r="AB1182" s="2"/>
    </row>
    <row r="1183" spans="1:28">
      <c r="A1183" t="str">
        <f t="shared" si="1496"/>
        <v>S</v>
      </c>
      <c r="B1183">
        <f t="shared" si="1497"/>
        <v>0</v>
      </c>
      <c r="C1183">
        <f t="shared" ca="1" si="1476"/>
        <v>13</v>
      </c>
      <c r="D1183">
        <f t="shared" ca="1" si="1477"/>
        <v>4</v>
      </c>
      <c r="E1183">
        <f t="shared" ca="1" si="1478"/>
        <v>0</v>
      </c>
      <c r="F1183">
        <f t="shared" ca="1" si="1479"/>
        <v>0</v>
      </c>
      <c r="G1183">
        <f t="shared" ca="1" si="1480"/>
        <v>18</v>
      </c>
      <c r="H1183">
        <f ca="1">IF(OR($A1183="S",$A1183=0),0,MATCH(0,OFFSET($B1183,1,$A1183,ROW($A$1504)-ROW($A1183)),0))</f>
        <v>0</v>
      </c>
      <c r="I1183">
        <f ca="1">IF(OR($A1183="S",$A1183=0),0,MATCH(OFFSET($B1183,0,$A1183)+1,OFFSET($B1183,1,$A1183,ROW($A$1504)-ROW($A1183)),0))</f>
        <v>0</v>
      </c>
      <c r="J1183" s="132" t="s">
        <v>29</v>
      </c>
      <c r="K1183" s="121" t="str">
        <f t="shared" ca="1" si="1481"/>
        <v>13.4.18.</v>
      </c>
      <c r="L1183" s="137" t="str">
        <f t="shared" ca="1" si="1482"/>
        <v>Cotação</v>
      </c>
      <c r="M1183" s="122" t="s">
        <v>79</v>
      </c>
      <c r="N1183" s="139" t="s">
        <v>170</v>
      </c>
      <c r="O1183" s="137" t="str">
        <f t="shared" ca="1" si="1494"/>
        <v>Saco de lixo (100 litros)</v>
      </c>
      <c r="P1183" s="138" t="str">
        <f t="shared" ca="1" si="1483"/>
        <v>Pacote</v>
      </c>
      <c r="Q1183" s="134">
        <v>3</v>
      </c>
      <c r="R1183" s="124">
        <f t="shared" ca="1" si="1484"/>
        <v>15</v>
      </c>
      <c r="S1183" s="136" t="s">
        <v>62</v>
      </c>
      <c r="T1183" s="123">
        <f t="shared" ca="1" si="1485"/>
        <v>18.75</v>
      </c>
      <c r="U1183" s="126">
        <f t="shared" ca="1" si="1486"/>
        <v>56.25</v>
      </c>
      <c r="V1183" s="1"/>
      <c r="W1183" s="39" t="str">
        <f ca="1">IF(OR($A1183=0,$A1183="S",$A1183&gt;CFF!$A$9),"",MAX(W$11:OFFSET(W1183,-1,0))+1)</f>
        <v/>
      </c>
      <c r="X1183" s="4" t="str">
        <f t="shared" si="1487"/>
        <v>Rec. Materiais-026</v>
      </c>
      <c r="Y1183" s="39">
        <f t="shared" ca="1" si="1498"/>
        <v>35</v>
      </c>
      <c r="Z1183" s="1"/>
      <c r="AA1183" s="133">
        <f>IF($J1183=$G$2,ROUND(IF(ISNUMBER(S1183),S1183,IF(LEFT(S1183,2)="DI",HLOOKUP(S1183,DADOS!$T$29:$X$30,2,FALSE),0)),4),"")</f>
        <v>0.25</v>
      </c>
      <c r="AB1183" s="2"/>
    </row>
    <row r="1184" spans="1:28">
      <c r="A1184" t="str">
        <f t="shared" si="1496"/>
        <v>S</v>
      </c>
      <c r="B1184">
        <f t="shared" si="1497"/>
        <v>0</v>
      </c>
      <c r="C1184">
        <f t="shared" ca="1" si="1476"/>
        <v>13</v>
      </c>
      <c r="D1184">
        <f t="shared" ca="1" si="1477"/>
        <v>4</v>
      </c>
      <c r="E1184">
        <f t="shared" ca="1" si="1478"/>
        <v>0</v>
      </c>
      <c r="F1184">
        <f t="shared" ca="1" si="1479"/>
        <v>0</v>
      </c>
      <c r="G1184">
        <f t="shared" ca="1" si="1480"/>
        <v>19</v>
      </c>
      <c r="H1184">
        <f ca="1">IF(OR($A1184="S",$A1184=0),0,MATCH(0,OFFSET($B1184,1,$A1184,ROW($A$1504)-ROW($A1184)),0))</f>
        <v>0</v>
      </c>
      <c r="I1184">
        <f ca="1">IF(OR($A1184="S",$A1184=0),0,MATCH(OFFSET($B1184,0,$A1184)+1,OFFSET($B1184,1,$A1184,ROW($A$1504)-ROW($A1184)),0))</f>
        <v>0</v>
      </c>
      <c r="J1184" s="132" t="s">
        <v>29</v>
      </c>
      <c r="K1184" s="121" t="str">
        <f t="shared" ca="1" si="1481"/>
        <v>13.4.19.</v>
      </c>
      <c r="L1184" s="137" t="str">
        <f t="shared" ca="1" si="1482"/>
        <v>Cotação</v>
      </c>
      <c r="M1184" s="122" t="s">
        <v>80</v>
      </c>
      <c r="N1184" s="139" t="s">
        <v>255</v>
      </c>
      <c r="O1184" s="137" t="str">
        <f t="shared" ca="1" si="1494"/>
        <v>Informativos 04 pgs, 15x21 cm, 4 cores, tinta escala em couche</v>
      </c>
      <c r="P1184" s="138" t="str">
        <f t="shared" ca="1" si="1483"/>
        <v>Unidade</v>
      </c>
      <c r="Q1184" s="134">
        <v>206</v>
      </c>
      <c r="R1184" s="124">
        <f t="shared" ca="1" si="1484"/>
        <v>6</v>
      </c>
      <c r="S1184" s="136" t="s">
        <v>62</v>
      </c>
      <c r="T1184" s="123">
        <f t="shared" ca="1" si="1485"/>
        <v>7.5</v>
      </c>
      <c r="U1184" s="126">
        <f t="shared" ca="1" si="1486"/>
        <v>1545</v>
      </c>
      <c r="V1184" s="1"/>
      <c r="W1184" s="39" t="str">
        <f ca="1">IF(OR($A1184=0,$A1184="S",$A1184&gt;CFF!$A$9),"",MAX(W$11:OFFSET(W1184,-1,0))+1)</f>
        <v/>
      </c>
      <c r="X1184" s="4" t="str">
        <f t="shared" si="1487"/>
        <v>Serv. Terc.-069</v>
      </c>
      <c r="Y1184" s="39">
        <f t="shared" ca="1" si="1498"/>
        <v>149</v>
      </c>
      <c r="Z1184" s="1"/>
      <c r="AA1184" s="133">
        <f>IF($J1184=$G$2,ROUND(IF(ISNUMBER(S1184),S1184,IF(LEFT(S1184,2)="DI",HLOOKUP(S1184,DADOS!$T$29:$X$30,2,FALSE),0)),4),"")</f>
        <v>0.25</v>
      </c>
      <c r="AB1184" s="2"/>
    </row>
    <row r="1185" spans="1:28">
      <c r="A1185">
        <f>CHOOSE(1+LOG(1+2*(J1185=$C$2)+4*(J1185=$D$2)+8*(J1185=$E$2)+16*(J1185=$F$2)+32*(J1185=$G$2),2),0,1,2,3,4,"S")</f>
        <v>2</v>
      </c>
      <c r="B1185">
        <f ca="1">IF(OR(A1185="S",A1185=0),0,IF(ISERROR(I1185),H1185,SMALL(H1185:I1185,1)))</f>
        <v>10</v>
      </c>
      <c r="C1185">
        <f t="shared" ca="1" si="1476"/>
        <v>13</v>
      </c>
      <c r="D1185">
        <f t="shared" ca="1" si="1477"/>
        <v>5</v>
      </c>
      <c r="E1185">
        <f t="shared" ca="1" si="1478"/>
        <v>0</v>
      </c>
      <c r="F1185">
        <f t="shared" ca="1" si="1479"/>
        <v>0</v>
      </c>
      <c r="G1185">
        <f t="shared" ca="1" si="1480"/>
        <v>0</v>
      </c>
      <c r="H1185">
        <f ca="1">IF(OR($A1185="S",$A1185=0),0,MATCH(0,OFFSET($B1185,1,$A1185,ROW($A$1504)-ROW($A1185)),0))</f>
        <v>21</v>
      </c>
      <c r="I1185">
        <f ca="1">IF(OR($A1185="S",$A1185=0),0,MATCH(OFFSET($B1185,0,$A1185)+1,OFFSET($B1185,1,$A1185,ROW($A$1504)-ROW($A1185)),0))</f>
        <v>10</v>
      </c>
      <c r="J1185" s="132" t="s">
        <v>68</v>
      </c>
      <c r="K1185" s="121" t="str">
        <f t="shared" ca="1" si="1481"/>
        <v>13.5.</v>
      </c>
      <c r="L1185" s="137" t="str">
        <f t="shared" ca="1" si="1482"/>
        <v/>
      </c>
      <c r="M1185" s="122"/>
      <c r="N1185" s="139"/>
      <c r="O1185" s="137" t="s">
        <v>450</v>
      </c>
      <c r="P1185" s="138" t="str">
        <f t="shared" ca="1" si="1483"/>
        <v/>
      </c>
      <c r="Q1185" s="134"/>
      <c r="R1185" s="124">
        <f t="shared" ca="1" si="1484"/>
        <v>0</v>
      </c>
      <c r="S1185" s="136" t="s">
        <v>62</v>
      </c>
      <c r="T1185" s="123">
        <f t="shared" si="1485"/>
        <v>0</v>
      </c>
      <c r="U1185" s="126">
        <f t="shared" ca="1" si="1486"/>
        <v>10095.19</v>
      </c>
      <c r="V1185" s="1"/>
      <c r="W1185" s="39">
        <f ca="1">IF(OR($A1185=0,$A1185="S",$A1185&gt;CFF!$A$9),"",MAX(W$11:OFFSET(W1185,-1,0))+1)</f>
        <v>104</v>
      </c>
      <c r="X1185" s="4" t="b">
        <f t="shared" si="1487"/>
        <v>0</v>
      </c>
      <c r="Y1185" s="39" t="b">
        <f ca="1">IF(X1185&lt;&gt;FALSE,MATCH(X1185,OFFSET(Banco,0,0,,1),0))</f>
        <v>0</v>
      </c>
      <c r="Z1185" s="1"/>
      <c r="AA1185" s="133" t="str">
        <f>IF($J1185=$G$2,ROUND(IF(ISNUMBER(S1185),S1185,IF(LEFT(S1185,2)="DI",HLOOKUP(S1185,DADOS!$T$29:$X$30,2,FALSE),0)),4),"")</f>
        <v/>
      </c>
      <c r="AB1185" s="2"/>
    </row>
    <row r="1186" spans="1:28">
      <c r="A1186" t="str">
        <f t="shared" ref="A1186:A1194" si="1499">CHOOSE(1+LOG(1+2*(J1186=$C$2)+4*(J1186=$D$2)+8*(J1186=$E$2)+16*(J1186=$F$2)+32*(J1186=$G$2),2),0,1,2,3,4,"S")</f>
        <v>S</v>
      </c>
      <c r="B1186">
        <f t="shared" ref="B1186:B1194" si="1500">IF(OR(A1186="S",A1186=0),0,IF(ISERROR(I1186),H1186,SMALL(H1186:I1186,1)))</f>
        <v>0</v>
      </c>
      <c r="C1186">
        <f t="shared" ref="C1186:C1194" ca="1" si="1501">IF($A1186=1,OFFSET(C1186,-1,0)+1,OFFSET(C1186,-1,0))</f>
        <v>13</v>
      </c>
      <c r="D1186">
        <f t="shared" ref="D1186:D1194" ca="1" si="1502">IF($A1186=1,0,IF($A1186=2,OFFSET(D1186,-1,0)+1,OFFSET(D1186,-1,0)))</f>
        <v>5</v>
      </c>
      <c r="E1186">
        <f t="shared" ref="E1186:E1194" ca="1" si="1503">IF(AND($A1186&lt;=2,$A1186&lt;&gt;0),0,IF($A1186=3,OFFSET(E1186,-1,0)+1,OFFSET(E1186,-1,0)))</f>
        <v>0</v>
      </c>
      <c r="F1186">
        <f t="shared" ref="F1186:F1194" ca="1" si="1504">IF(AND($A1186&lt;=3,$A1186&lt;&gt;0),0,IF($A1186=4,OFFSET(F1186,-1,0)+1,OFFSET(F1186,-1,0)))</f>
        <v>0</v>
      </c>
      <c r="G1186">
        <f t="shared" ref="G1186:G1194" ca="1" si="1505">IF(AND($A1186&lt;=4,$A1186&lt;&gt;0),0,IF($A1186="S",OFFSET(G1186,-1,0)+1,OFFSET(G1186,-1,0)))</f>
        <v>1</v>
      </c>
      <c r="H1186">
        <f ca="1">IF(OR($A1186="S",$A1186=0),0,MATCH(0,OFFSET($B1186,1,$A1186,ROW($A$1504)-ROW($A1186)),0))</f>
        <v>0</v>
      </c>
      <c r="I1186">
        <f ca="1">IF(OR($A1186="S",$A1186=0),0,MATCH(OFFSET($B1186,0,$A1186)+1,OFFSET($B1186,1,$A1186,ROW($A$1504)-ROW($A1186)),0))</f>
        <v>0</v>
      </c>
      <c r="J1186" s="132" t="s">
        <v>29</v>
      </c>
      <c r="K1186" s="121" t="str">
        <f t="shared" ref="K1186:K1194" ca="1" si="1506">IF($A1186=0,"-",CONCATENATE(C1186&amp;".",IF(AND($A$5&gt;=2,$A1186&gt;=2),D1186&amp;".",""),IF(AND($A$5&gt;=3,$A1186&gt;=3),E1186&amp;".",""),IF(AND($A$5&gt;=4,$A1186&gt;=4),F1186&amp;".",""),IF($A1186="S",G1186&amp;".","")))</f>
        <v>13.5.1.</v>
      </c>
      <c r="L1186" s="137" t="str">
        <f t="shared" ref="L1186:L1194" ca="1" si="1507">IF(NOT(ISERROR($Y1186)),IF($Y1186&lt;&gt;FALSE,INDEX(Banco,$Y1186,4),""),"")</f>
        <v>CRESS</v>
      </c>
      <c r="M1186" s="122" t="s">
        <v>78</v>
      </c>
      <c r="N1186" s="139" t="s">
        <v>152</v>
      </c>
      <c r="O1186" s="137" t="str">
        <f ca="1">IF(NOT(ISERROR($Y1186)),IF($Y1186&lt;&gt;FALSE,INDEX(Banco,$Y1186,5),""),"")</f>
        <v>Assistente Social</v>
      </c>
      <c r="P1186" s="138" t="str">
        <f t="shared" ref="P1186:P1194" ca="1" si="1508">IF(NOT(ISERROR($Y1186)),IF($Y1186&lt;&gt;FALSE,INDEX(Banco,$Y1186,6),""),"")</f>
        <v>Horas</v>
      </c>
      <c r="Q1186" s="134">
        <v>8</v>
      </c>
      <c r="R1186" s="124">
        <f t="shared" ref="R1186:R1194" ca="1" si="1509">IF(NOT(ISERROR($Y1186)),IF($Y1186&lt;&gt;FALSE,INDEX(Banco,$Y1186,7),0),0)</f>
        <v>133.81</v>
      </c>
      <c r="S1186" s="136" t="s">
        <v>62</v>
      </c>
      <c r="T1186" s="123">
        <f t="shared" ref="T1186:T1194" ca="1" si="1510">IF($J1186=$G$2,ROUND(ROUND($R1186,2)*IF($R$9="Preço Unitário (R$)",1,1+$AA1186),2),0)</f>
        <v>167.26</v>
      </c>
      <c r="U1186" s="126">
        <f t="shared" ref="U1186:U1194" ca="1" si="1511">IF($A1186="S",VTOTAL1,IF($A1186=0,0,ROUND(SomaAgrup,2)))</f>
        <v>1338.08</v>
      </c>
      <c r="V1186" s="1"/>
      <c r="W1186" s="39" t="str">
        <f ca="1">IF(OR($A1186=0,$A1186="S",$A1186&gt;CFF!$A$9),"",MAX(W$11:OFFSET(W1186,-1,0))+1)</f>
        <v/>
      </c>
      <c r="X1186" s="4" t="str">
        <f t="shared" ref="X1186:X1194" si="1512">IF(AND($J1186=$G$2,$N1186&lt;&gt;"",$M1186&lt;&gt;""),CONCATENATE($M1186,"-",$N1186))</f>
        <v>Rec. Humanos-002</v>
      </c>
      <c r="Y1186" s="39">
        <f t="shared" ref="Y1186:Y1194" ca="1" si="1513">IF(X1186&lt;&gt;FALSE,MATCH(X1186,OFFSET(Banco,0,0,,1),0))</f>
        <v>4</v>
      </c>
      <c r="Z1186" s="1"/>
      <c r="AA1186" s="133">
        <f>IF($J1186=$G$2,ROUND(IF(ISNUMBER(S1186),S1186,IF(LEFT(S1186,2)="DI",HLOOKUP(S1186,DADOS!$T$29:$X$30,2,FALSE),0)),4),"")</f>
        <v>0.25</v>
      </c>
      <c r="AB1186" s="2"/>
    </row>
    <row r="1187" spans="1:28">
      <c r="A1187" t="str">
        <f t="shared" si="1499"/>
        <v>S</v>
      </c>
      <c r="B1187">
        <f t="shared" si="1500"/>
        <v>0</v>
      </c>
      <c r="C1187">
        <f t="shared" ca="1" si="1501"/>
        <v>13</v>
      </c>
      <c r="D1187">
        <f t="shared" ca="1" si="1502"/>
        <v>5</v>
      </c>
      <c r="E1187">
        <f t="shared" ca="1" si="1503"/>
        <v>0</v>
      </c>
      <c r="F1187">
        <f t="shared" ca="1" si="1504"/>
        <v>0</v>
      </c>
      <c r="G1187">
        <f t="shared" ca="1" si="1505"/>
        <v>2</v>
      </c>
      <c r="H1187">
        <f ca="1">IF(OR($A1187="S",$A1187=0),0,MATCH(0,OFFSET($B1187,1,$A1187,ROW($A$1504)-ROW($A1187)),0))</f>
        <v>0</v>
      </c>
      <c r="I1187">
        <f ca="1">IF(OR($A1187="S",$A1187=0),0,MATCH(OFFSET($B1187,0,$A1187)+1,OFFSET($B1187,1,$A1187,ROW($A$1504)-ROW($A1187)),0))</f>
        <v>0</v>
      </c>
      <c r="J1187" s="132" t="s">
        <v>29</v>
      </c>
      <c r="K1187" s="121" t="str">
        <f t="shared" ca="1" si="1506"/>
        <v>13.5.2.</v>
      </c>
      <c r="L1187" s="137" t="str">
        <f t="shared" ca="1" si="1507"/>
        <v>Cotação</v>
      </c>
      <c r="M1187" s="122" t="s">
        <v>78</v>
      </c>
      <c r="N1187" s="139" t="s">
        <v>151</v>
      </c>
      <c r="O1187" s="137" t="str">
        <f t="shared" ref="O1187:O1192" ca="1" si="1514">IF(NOT(ISERROR($Y1187)),IF($Y1187&lt;&gt;FALSE,INDEX(Banco,$Y1187,5),""),"")</f>
        <v xml:space="preserve">Administrador (Técnico de Apoio) </v>
      </c>
      <c r="P1187" s="138" t="str">
        <f t="shared" ca="1" si="1508"/>
        <v>Horas</v>
      </c>
      <c r="Q1187" s="134">
        <v>8</v>
      </c>
      <c r="R1187" s="124">
        <f t="shared" ca="1" si="1509"/>
        <v>103.65</v>
      </c>
      <c r="S1187" s="136" t="s">
        <v>62</v>
      </c>
      <c r="T1187" s="123">
        <f t="shared" ca="1" si="1510"/>
        <v>129.56</v>
      </c>
      <c r="U1187" s="126">
        <f t="shared" ca="1" si="1511"/>
        <v>1036.48</v>
      </c>
      <c r="V1187" s="1"/>
      <c r="W1187" s="39" t="str">
        <f ca="1">IF(OR($A1187=0,$A1187="S",$A1187&gt;CFF!$A$9),"",MAX(W$11:OFFSET(W1187,-1,0))+1)</f>
        <v/>
      </c>
      <c r="X1187" s="4" t="str">
        <f t="shared" si="1512"/>
        <v>Rec. Humanos-003</v>
      </c>
      <c r="Y1187" s="39">
        <f t="shared" ca="1" si="1513"/>
        <v>5</v>
      </c>
      <c r="Z1187" s="1"/>
      <c r="AA1187" s="133">
        <f>IF($J1187=$G$2,ROUND(IF(ISNUMBER(S1187),S1187,IF(LEFT(S1187,2)="DI",HLOOKUP(S1187,DADOS!$T$29:$X$30,2,FALSE),0)),4),"")</f>
        <v>0.25</v>
      </c>
      <c r="AB1187" s="2"/>
    </row>
    <row r="1188" spans="1:28">
      <c r="A1188" t="str">
        <f t="shared" si="1499"/>
        <v>S</v>
      </c>
      <c r="B1188">
        <f t="shared" si="1500"/>
        <v>0</v>
      </c>
      <c r="C1188">
        <f t="shared" ca="1" si="1501"/>
        <v>13</v>
      </c>
      <c r="D1188">
        <f t="shared" ca="1" si="1502"/>
        <v>5</v>
      </c>
      <c r="E1188">
        <f t="shared" ca="1" si="1503"/>
        <v>0</v>
      </c>
      <c r="F1188">
        <f t="shared" ca="1" si="1504"/>
        <v>0</v>
      </c>
      <c r="G1188">
        <f t="shared" ca="1" si="1505"/>
        <v>3</v>
      </c>
      <c r="H1188">
        <f ca="1">IF(OR($A1188="S",$A1188=0),0,MATCH(0,OFFSET($B1188,1,$A1188,ROW($A$1504)-ROW($A1188)),0))</f>
        <v>0</v>
      </c>
      <c r="I1188">
        <f ca="1">IF(OR($A1188="S",$A1188=0),0,MATCH(OFFSET($B1188,0,$A1188)+1,OFFSET($B1188,1,$A1188,ROW($A$1504)-ROW($A1188)),0))</f>
        <v>0</v>
      </c>
      <c r="J1188" s="132" t="s">
        <v>29</v>
      </c>
      <c r="K1188" s="121" t="str">
        <f t="shared" ca="1" si="1506"/>
        <v>13.5.3.</v>
      </c>
      <c r="L1188" s="137" t="str">
        <f t="shared" ca="1" si="1507"/>
        <v>Cotação</v>
      </c>
      <c r="M1188" s="122" t="s">
        <v>80</v>
      </c>
      <c r="N1188" s="139" t="s">
        <v>162</v>
      </c>
      <c r="O1188" s="137" t="str">
        <f t="shared" ca="1" si="1514"/>
        <v>Coffee break (salgados)</v>
      </c>
      <c r="P1188" s="138" t="str">
        <f t="shared" ca="1" si="1508"/>
        <v>Centro</v>
      </c>
      <c r="Q1188" s="134">
        <v>3</v>
      </c>
      <c r="R1188" s="124">
        <f t="shared" ca="1" si="1509"/>
        <v>65</v>
      </c>
      <c r="S1188" s="136" t="s">
        <v>62</v>
      </c>
      <c r="T1188" s="123">
        <f t="shared" ca="1" si="1510"/>
        <v>81.25</v>
      </c>
      <c r="U1188" s="126">
        <f t="shared" ca="1" si="1511"/>
        <v>243.75</v>
      </c>
      <c r="V1188" s="1"/>
      <c r="W1188" s="39" t="str">
        <f ca="1">IF(OR($A1188=0,$A1188="S",$A1188&gt;CFF!$A$9),"",MAX(W$11:OFFSET(W1188,-1,0))+1)</f>
        <v/>
      </c>
      <c r="X1188" s="4" t="str">
        <f t="shared" si="1512"/>
        <v>Serv. Terc.-015</v>
      </c>
      <c r="Y1188" s="39">
        <f t="shared" ca="1" si="1513"/>
        <v>95</v>
      </c>
      <c r="Z1188" s="1"/>
      <c r="AA1188" s="133">
        <f>IF($J1188=$G$2,ROUND(IF(ISNUMBER(S1188),S1188,IF(LEFT(S1188,2)="DI",HLOOKUP(S1188,DADOS!$T$29:$X$30,2,FALSE),0)),4),"")</f>
        <v>0.25</v>
      </c>
      <c r="AB1188" s="2"/>
    </row>
    <row r="1189" spans="1:28">
      <c r="A1189" t="str">
        <f t="shared" si="1499"/>
        <v>S</v>
      </c>
      <c r="B1189">
        <f t="shared" si="1500"/>
        <v>0</v>
      </c>
      <c r="C1189">
        <f t="shared" ca="1" si="1501"/>
        <v>13</v>
      </c>
      <c r="D1189">
        <f t="shared" ca="1" si="1502"/>
        <v>5</v>
      </c>
      <c r="E1189">
        <f t="shared" ca="1" si="1503"/>
        <v>0</v>
      </c>
      <c r="F1189">
        <f t="shared" ca="1" si="1504"/>
        <v>0</v>
      </c>
      <c r="G1189">
        <f t="shared" ca="1" si="1505"/>
        <v>4</v>
      </c>
      <c r="H1189">
        <f ca="1">IF(OR($A1189="S",$A1189=0),0,MATCH(0,OFFSET($B1189,1,$A1189,ROW($A$1504)-ROW($A1189)),0))</f>
        <v>0</v>
      </c>
      <c r="I1189">
        <f ca="1">IF(OR($A1189="S",$A1189=0),0,MATCH(OFFSET($B1189,0,$A1189)+1,OFFSET($B1189,1,$A1189,ROW($A$1504)-ROW($A1189)),0))</f>
        <v>0</v>
      </c>
      <c r="J1189" s="132" t="s">
        <v>29</v>
      </c>
      <c r="K1189" s="121" t="str">
        <f t="shared" ca="1" si="1506"/>
        <v>13.5.4.</v>
      </c>
      <c r="L1189" s="137" t="str">
        <f t="shared" ca="1" si="1507"/>
        <v>Cotação</v>
      </c>
      <c r="M1189" s="122" t="s">
        <v>80</v>
      </c>
      <c r="N1189" s="139" t="s">
        <v>171</v>
      </c>
      <c r="O1189" s="137" t="str">
        <f ca="1">IF(NOT(ISERROR($Y1189)),IF($Y1189&lt;&gt;FALSE,INDEX(Banco,$Y1189,5),""),"")</f>
        <v xml:space="preserve">Refrigerantes (02 litros) </v>
      </c>
      <c r="P1189" s="138" t="str">
        <f t="shared" ca="1" si="1508"/>
        <v>Unidade</v>
      </c>
      <c r="Q1189" s="134">
        <v>4</v>
      </c>
      <c r="R1189" s="124">
        <f t="shared" ca="1" si="1509"/>
        <v>6</v>
      </c>
      <c r="S1189" s="136" t="s">
        <v>62</v>
      </c>
      <c r="T1189" s="123">
        <f t="shared" ca="1" si="1510"/>
        <v>7.5</v>
      </c>
      <c r="U1189" s="126">
        <f t="shared" ca="1" si="1511"/>
        <v>30</v>
      </c>
      <c r="V1189" s="1"/>
      <c r="W1189" s="39" t="str">
        <f ca="1">IF(OR($A1189=0,$A1189="S",$A1189&gt;CFF!$A$9),"",MAX(W$11:OFFSET(W1189,-1,0))+1)</f>
        <v/>
      </c>
      <c r="X1189" s="4" t="str">
        <f t="shared" si="1512"/>
        <v>Serv. Terc.-027</v>
      </c>
      <c r="Y1189" s="39">
        <f t="shared" ca="1" si="1513"/>
        <v>107</v>
      </c>
      <c r="Z1189" s="1"/>
      <c r="AA1189" s="133">
        <f>IF($J1189=$G$2,ROUND(IF(ISNUMBER(S1189),S1189,IF(LEFT(S1189,2)="DI",HLOOKUP(S1189,DADOS!$T$29:$X$30,2,FALSE),0)),4),"")</f>
        <v>0.25</v>
      </c>
      <c r="AB1189" s="2"/>
    </row>
    <row r="1190" spans="1:28" ht="25.5">
      <c r="A1190" t="str">
        <f t="shared" si="1499"/>
        <v>S</v>
      </c>
      <c r="B1190">
        <f t="shared" si="1500"/>
        <v>0</v>
      </c>
      <c r="C1190">
        <f t="shared" ca="1" si="1501"/>
        <v>13</v>
      </c>
      <c r="D1190">
        <f t="shared" ca="1" si="1502"/>
        <v>5</v>
      </c>
      <c r="E1190">
        <f t="shared" ca="1" si="1503"/>
        <v>0</v>
      </c>
      <c r="F1190">
        <f t="shared" ca="1" si="1504"/>
        <v>0</v>
      </c>
      <c r="G1190">
        <f t="shared" ca="1" si="1505"/>
        <v>5</v>
      </c>
      <c r="H1190">
        <f ca="1">IF(OR($A1190="S",$A1190=0),0,MATCH(0,OFFSET($B1190,1,$A1190,ROW($A$1504)-ROW($A1190)),0))</f>
        <v>0</v>
      </c>
      <c r="I1190">
        <f ca="1">IF(OR($A1190="S",$A1190=0),0,MATCH(OFFSET($B1190,0,$A1190)+1,OFFSET($B1190,1,$A1190,ROW($A$1504)-ROW($A1190)),0))</f>
        <v>0</v>
      </c>
      <c r="J1190" s="132" t="s">
        <v>29</v>
      </c>
      <c r="K1190" s="121" t="str">
        <f t="shared" ca="1" si="1506"/>
        <v>13.5.5.</v>
      </c>
      <c r="L1190" s="137" t="str">
        <f t="shared" ca="1" si="1507"/>
        <v>Cotação</v>
      </c>
      <c r="M1190" s="122" t="s">
        <v>80</v>
      </c>
      <c r="N1190" s="139" t="s">
        <v>163</v>
      </c>
      <c r="O1190" s="137" t="str">
        <f t="shared" ca="1" si="1514"/>
        <v>KIT 01 - Material de uso coletivo para o curso de bordado em chinelos ( descrição nos orçamentos e PTS)</v>
      </c>
      <c r="P1190" s="138" t="str">
        <f t="shared" ca="1" si="1508"/>
        <v>Kit</v>
      </c>
      <c r="Q1190" s="134">
        <v>1</v>
      </c>
      <c r="R1190" s="124">
        <f t="shared" ca="1" si="1509"/>
        <v>300</v>
      </c>
      <c r="S1190" s="136" t="s">
        <v>62</v>
      </c>
      <c r="T1190" s="123">
        <f t="shared" ca="1" si="1510"/>
        <v>375</v>
      </c>
      <c r="U1190" s="126">
        <f t="shared" ca="1" si="1511"/>
        <v>375</v>
      </c>
      <c r="V1190" s="1"/>
      <c r="W1190" s="39" t="str">
        <f ca="1">IF(OR($A1190=0,$A1190="S",$A1190&gt;CFF!$A$9),"",MAX(W$11:OFFSET(W1190,-1,0))+1)</f>
        <v/>
      </c>
      <c r="X1190" s="4" t="str">
        <f t="shared" si="1512"/>
        <v>Serv. Terc.-020</v>
      </c>
      <c r="Y1190" s="39">
        <f t="shared" ca="1" si="1513"/>
        <v>100</v>
      </c>
      <c r="Z1190" s="1"/>
      <c r="AA1190" s="133">
        <f>IF($J1190=$G$2,ROUND(IF(ISNUMBER(S1190),S1190,IF(LEFT(S1190,2)="DI",HLOOKUP(S1190,DADOS!$T$29:$X$30,2,FALSE),0)),4),"")</f>
        <v>0.25</v>
      </c>
      <c r="AB1190" s="2"/>
    </row>
    <row r="1191" spans="1:28">
      <c r="A1191" t="str">
        <f t="shared" si="1499"/>
        <v>S</v>
      </c>
      <c r="B1191">
        <f t="shared" si="1500"/>
        <v>0</v>
      </c>
      <c r="C1191">
        <f t="shared" ca="1" si="1501"/>
        <v>13</v>
      </c>
      <c r="D1191">
        <f t="shared" ca="1" si="1502"/>
        <v>5</v>
      </c>
      <c r="E1191">
        <f t="shared" ca="1" si="1503"/>
        <v>0</v>
      </c>
      <c r="F1191">
        <f t="shared" ca="1" si="1504"/>
        <v>0</v>
      </c>
      <c r="G1191">
        <f t="shared" ca="1" si="1505"/>
        <v>6</v>
      </c>
      <c r="H1191">
        <f ca="1">IF(OR($A1191="S",$A1191=0),0,MATCH(0,OFFSET($B1191,1,$A1191,ROW($A$1504)-ROW($A1191)),0))</f>
        <v>0</v>
      </c>
      <c r="I1191">
        <f ca="1">IF(OR($A1191="S",$A1191=0),0,MATCH(OFFSET($B1191,0,$A1191)+1,OFFSET($B1191,1,$A1191,ROW($A$1504)-ROW($A1191)),0))</f>
        <v>0</v>
      </c>
      <c r="J1191" s="132" t="s">
        <v>29</v>
      </c>
      <c r="K1191" s="121" t="str">
        <f t="shared" ca="1" si="1506"/>
        <v>13.5.6.</v>
      </c>
      <c r="L1191" s="137" t="str">
        <f t="shared" ca="1" si="1507"/>
        <v>Cotação</v>
      </c>
      <c r="M1191" s="122" t="s">
        <v>80</v>
      </c>
      <c r="N1191" s="139" t="s">
        <v>168</v>
      </c>
      <c r="O1191" s="137" t="str">
        <f t="shared" ca="1" si="1514"/>
        <v>KIT 02 - Material para os alunos curso de chinelos (descrição nos orçamentos e PTS)</v>
      </c>
      <c r="P1191" s="138" t="str">
        <f t="shared" ca="1" si="1508"/>
        <v>Unidade</v>
      </c>
      <c r="Q1191" s="134">
        <v>26</v>
      </c>
      <c r="R1191" s="124">
        <f t="shared" ca="1" si="1509"/>
        <v>90.9</v>
      </c>
      <c r="S1191" s="136" t="s">
        <v>62</v>
      </c>
      <c r="T1191" s="123">
        <f t="shared" ca="1" si="1510"/>
        <v>113.63</v>
      </c>
      <c r="U1191" s="126">
        <f t="shared" ca="1" si="1511"/>
        <v>2954.38</v>
      </c>
      <c r="V1191" s="1"/>
      <c r="W1191" s="39" t="str">
        <f ca="1">IF(OR($A1191=0,$A1191="S",$A1191&gt;CFF!$A$9),"",MAX(W$11:OFFSET(W1191,-1,0))+1)</f>
        <v/>
      </c>
      <c r="X1191" s="4" t="str">
        <f t="shared" si="1512"/>
        <v>Serv. Terc.-018</v>
      </c>
      <c r="Y1191" s="39">
        <f t="shared" ca="1" si="1513"/>
        <v>98</v>
      </c>
      <c r="Z1191" s="1"/>
      <c r="AA1191" s="133">
        <f>IF($J1191=$G$2,ROUND(IF(ISNUMBER(S1191),S1191,IF(LEFT(S1191,2)="DI",HLOOKUP(S1191,DADOS!$T$29:$X$30,2,FALSE),0)),4),"")</f>
        <v>0.25</v>
      </c>
      <c r="AB1191" s="2"/>
    </row>
    <row r="1192" spans="1:28">
      <c r="A1192" t="str">
        <f t="shared" si="1499"/>
        <v>S</v>
      </c>
      <c r="B1192">
        <f t="shared" si="1500"/>
        <v>0</v>
      </c>
      <c r="C1192">
        <f t="shared" ca="1" si="1501"/>
        <v>13</v>
      </c>
      <c r="D1192">
        <f t="shared" ca="1" si="1502"/>
        <v>5</v>
      </c>
      <c r="E1192">
        <f t="shared" ca="1" si="1503"/>
        <v>0</v>
      </c>
      <c r="F1192">
        <f t="shared" ca="1" si="1504"/>
        <v>0</v>
      </c>
      <c r="G1192">
        <f t="shared" ca="1" si="1505"/>
        <v>7</v>
      </c>
      <c r="H1192">
        <f ca="1">IF(OR($A1192="S",$A1192=0),0,MATCH(0,OFFSET($B1192,1,$A1192,ROW($A$1504)-ROW($A1192)),0))</f>
        <v>0</v>
      </c>
      <c r="I1192">
        <f ca="1">IF(OR($A1192="S",$A1192=0),0,MATCH(OFFSET($B1192,0,$A1192)+1,OFFSET($B1192,1,$A1192,ROW($A$1504)-ROW($A1192)),0))</f>
        <v>0</v>
      </c>
      <c r="J1192" s="132" t="s">
        <v>29</v>
      </c>
      <c r="K1192" s="121" t="str">
        <f t="shared" ca="1" si="1506"/>
        <v>13.5.7.</v>
      </c>
      <c r="L1192" s="137" t="str">
        <f t="shared" ca="1" si="1507"/>
        <v xml:space="preserve">Cotação </v>
      </c>
      <c r="M1192" s="122" t="s">
        <v>79</v>
      </c>
      <c r="N1192" s="139" t="s">
        <v>155</v>
      </c>
      <c r="O1192" s="137" t="str">
        <f t="shared" ca="1" si="1514"/>
        <v>Instrutor curso de bordado de chinelos</v>
      </c>
      <c r="P1192" s="138" t="str">
        <f t="shared" ca="1" si="1508"/>
        <v>Horas</v>
      </c>
      <c r="Q1192" s="134">
        <v>40</v>
      </c>
      <c r="R1192" s="124">
        <f t="shared" ca="1" si="1509"/>
        <v>70</v>
      </c>
      <c r="S1192" s="136" t="s">
        <v>62</v>
      </c>
      <c r="T1192" s="123">
        <f t="shared" ca="1" si="1510"/>
        <v>87.5</v>
      </c>
      <c r="U1192" s="126">
        <f t="shared" ca="1" si="1511"/>
        <v>3500</v>
      </c>
      <c r="V1192" s="1"/>
      <c r="W1192" s="39" t="str">
        <f ca="1">IF(OR($A1192=0,$A1192="S",$A1192&gt;CFF!$A$9),"",MAX(W$11:OFFSET(W1192,-1,0))+1)</f>
        <v/>
      </c>
      <c r="X1192" s="4" t="str">
        <f t="shared" si="1512"/>
        <v>Rec. Materiais-006</v>
      </c>
      <c r="Y1192" s="39">
        <f t="shared" ca="1" si="1513"/>
        <v>15</v>
      </c>
      <c r="Z1192" s="1"/>
      <c r="AA1192" s="133">
        <f>IF($J1192=$G$2,ROUND(IF(ISNUMBER(S1192),S1192,IF(LEFT(S1192,2)="DI",HLOOKUP(S1192,DADOS!$T$29:$X$30,2,FALSE),0)),4),"")</f>
        <v>0.25</v>
      </c>
      <c r="AB1192" s="2"/>
    </row>
    <row r="1193" spans="1:28">
      <c r="A1193" t="str">
        <f t="shared" si="1499"/>
        <v>S</v>
      </c>
      <c r="B1193">
        <f t="shared" si="1500"/>
        <v>0</v>
      </c>
      <c r="C1193">
        <f t="shared" ca="1" si="1501"/>
        <v>13</v>
      </c>
      <c r="D1193">
        <f t="shared" ca="1" si="1502"/>
        <v>5</v>
      </c>
      <c r="E1193">
        <f t="shared" ca="1" si="1503"/>
        <v>0</v>
      </c>
      <c r="F1193">
        <f t="shared" ca="1" si="1504"/>
        <v>0</v>
      </c>
      <c r="G1193">
        <f t="shared" ca="1" si="1505"/>
        <v>8</v>
      </c>
      <c r="H1193">
        <f ca="1">IF(OR($A1193="S",$A1193=0),0,MATCH(0,OFFSET($B1193,1,$A1193,ROW($A$1504)-ROW($A1193)),0))</f>
        <v>0</v>
      </c>
      <c r="I1193">
        <f ca="1">IF(OR($A1193="S",$A1193=0),0,MATCH(OFFSET($B1193,0,$A1193)+1,OFFSET($B1193,1,$A1193,ROW($A$1504)-ROW($A1193)),0))</f>
        <v>0</v>
      </c>
      <c r="J1193" s="132" t="s">
        <v>29</v>
      </c>
      <c r="K1193" s="121" t="str">
        <f t="shared" ca="1" si="1506"/>
        <v>13.5.8.</v>
      </c>
      <c r="L1193" s="137" t="str">
        <f t="shared" ca="1" si="1507"/>
        <v>Cotação</v>
      </c>
      <c r="M1193" s="122" t="s">
        <v>80</v>
      </c>
      <c r="N1193" s="139" t="s">
        <v>321</v>
      </c>
      <c r="O1193" s="137" t="str">
        <f ca="1">IF(NOT(ISERROR($Y1193)),IF($Y1193&lt;&gt;FALSE,INDEX(Banco,$Y1193,5),""),"")</f>
        <v>Apostilas com figuras ilustrativas (08 páginas)</v>
      </c>
      <c r="P1193" s="138" t="str">
        <f t="shared" ca="1" si="1508"/>
        <v>Unidade</v>
      </c>
      <c r="Q1193" s="134">
        <v>26</v>
      </c>
      <c r="R1193" s="124">
        <f t="shared" ca="1" si="1509"/>
        <v>15</v>
      </c>
      <c r="S1193" s="136" t="s">
        <v>62</v>
      </c>
      <c r="T1193" s="123">
        <f t="shared" ca="1" si="1510"/>
        <v>18.75</v>
      </c>
      <c r="U1193" s="126">
        <f t="shared" ca="1" si="1511"/>
        <v>487.5</v>
      </c>
      <c r="V1193" s="1"/>
      <c r="W1193" s="39" t="str">
        <f ca="1">IF(OR($A1193=0,$A1193="S",$A1193&gt;CFF!$A$9),"",MAX(W$11:OFFSET(W1193,-1,0))+1)</f>
        <v/>
      </c>
      <c r="X1193" s="4" t="str">
        <f t="shared" si="1512"/>
        <v>Serv. Terc.-031</v>
      </c>
      <c r="Y1193" s="39">
        <f t="shared" ca="1" si="1513"/>
        <v>111</v>
      </c>
      <c r="Z1193" s="1"/>
      <c r="AA1193" s="133">
        <f>IF($J1193=$G$2,ROUND(IF(ISNUMBER(S1193),S1193,IF(LEFT(S1193,2)="DI",HLOOKUP(S1193,DADOS!$T$29:$X$30,2,FALSE),0)),4),"")</f>
        <v>0.25</v>
      </c>
      <c r="AB1193" s="2"/>
    </row>
    <row r="1194" spans="1:28">
      <c r="A1194" t="str">
        <f t="shared" si="1499"/>
        <v>S</v>
      </c>
      <c r="B1194">
        <f t="shared" si="1500"/>
        <v>0</v>
      </c>
      <c r="C1194">
        <f t="shared" ca="1" si="1501"/>
        <v>13</v>
      </c>
      <c r="D1194">
        <f t="shared" ca="1" si="1502"/>
        <v>5</v>
      </c>
      <c r="E1194">
        <f t="shared" ca="1" si="1503"/>
        <v>0</v>
      </c>
      <c r="F1194">
        <f t="shared" ca="1" si="1504"/>
        <v>0</v>
      </c>
      <c r="G1194">
        <f t="shared" ca="1" si="1505"/>
        <v>9</v>
      </c>
      <c r="H1194">
        <f ca="1">IF(OR($A1194="S",$A1194=0),0,MATCH(0,OFFSET($B1194,1,$A1194,ROW($A$1504)-ROW($A1194)),0))</f>
        <v>0</v>
      </c>
      <c r="I1194">
        <f ca="1">IF(OR($A1194="S",$A1194=0),0,MATCH(OFFSET($B1194,0,$A1194)+1,OFFSET($B1194,1,$A1194,ROW($A$1504)-ROW($A1194)),0))</f>
        <v>0</v>
      </c>
      <c r="J1194" s="132" t="s">
        <v>29</v>
      </c>
      <c r="K1194" s="121" t="str">
        <f t="shared" ca="1" si="1506"/>
        <v>13.5.9.</v>
      </c>
      <c r="L1194" s="137" t="str">
        <f t="shared" ca="1" si="1507"/>
        <v>Cotação</v>
      </c>
      <c r="M1194" s="122" t="s">
        <v>80</v>
      </c>
      <c r="N1194" s="139" t="s">
        <v>322</v>
      </c>
      <c r="O1194" s="137" t="str">
        <f ca="1">IF(NOT(ISERROR($Y1194)),IF($Y1194&lt;&gt;FALSE,INDEX(Banco,$Y1194,5),""),"")</f>
        <v>Certificados para cursos</v>
      </c>
      <c r="P1194" s="138" t="str">
        <f t="shared" ca="1" si="1508"/>
        <v>Unidade</v>
      </c>
      <c r="Q1194" s="134">
        <v>26</v>
      </c>
      <c r="R1194" s="124">
        <f t="shared" ca="1" si="1509"/>
        <v>4</v>
      </c>
      <c r="S1194" s="136" t="s">
        <v>62</v>
      </c>
      <c r="T1194" s="123">
        <f t="shared" ca="1" si="1510"/>
        <v>5</v>
      </c>
      <c r="U1194" s="126">
        <f t="shared" ca="1" si="1511"/>
        <v>130</v>
      </c>
      <c r="V1194" s="1"/>
      <c r="W1194" s="39" t="str">
        <f ca="1">IF(OR($A1194=0,$A1194="S",$A1194&gt;CFF!$A$9),"",MAX(W$11:OFFSET(W1194,-1,0))+1)</f>
        <v/>
      </c>
      <c r="X1194" s="4" t="str">
        <f t="shared" si="1512"/>
        <v>Serv. Terc.-032</v>
      </c>
      <c r="Y1194" s="39">
        <f t="shared" ca="1" si="1513"/>
        <v>112</v>
      </c>
      <c r="Z1194" s="1"/>
      <c r="AA1194" s="133">
        <f>IF($J1194=$G$2,ROUND(IF(ISNUMBER(S1194),S1194,IF(LEFT(S1194,2)="DI",HLOOKUP(S1194,DADOS!$T$29:$X$30,2,FALSE),0)),4),"")</f>
        <v>0.25</v>
      </c>
      <c r="AB1194" s="2"/>
    </row>
    <row r="1195" spans="1:28">
      <c r="A1195">
        <f>CHOOSE(1+LOG(1+2*(J1195=$C$2)+4*(J1195=$D$2)+8*(J1195=$E$2)+16*(J1195=$F$2)+32*(J1195=$G$2),2),0,1,2,3,4,"S")</f>
        <v>2</v>
      </c>
      <c r="B1195">
        <f ca="1">IF(OR(A1195="S",A1195=0),0,IF(ISERROR(I1195),H1195,SMALL(H1195:I1195,1)))</f>
        <v>3</v>
      </c>
      <c r="C1195">
        <f ca="1">IF($A1195=1,OFFSET(C1195,-1,0)+1,OFFSET(C1195,-1,0))</f>
        <v>13</v>
      </c>
      <c r="D1195">
        <f ca="1">IF($A1195=1,0,IF($A1195=2,OFFSET(D1195,-1,0)+1,OFFSET(D1195,-1,0)))</f>
        <v>6</v>
      </c>
      <c r="E1195">
        <f ca="1">IF(AND($A1195&lt;=2,$A1195&lt;&gt;0),0,IF($A1195=3,OFFSET(E1195,-1,0)+1,OFFSET(E1195,-1,0)))</f>
        <v>0</v>
      </c>
      <c r="F1195">
        <f ca="1">IF(AND($A1195&lt;=3,$A1195&lt;&gt;0),0,IF($A1195=4,OFFSET(F1195,-1,0)+1,OFFSET(F1195,-1,0)))</f>
        <v>0</v>
      </c>
      <c r="G1195">
        <f ca="1">IF(AND($A1195&lt;=4,$A1195&lt;&gt;0),0,IF($A1195="S",OFFSET(G1195,-1,0)+1,OFFSET(G1195,-1,0)))</f>
        <v>0</v>
      </c>
      <c r="H1195">
        <f ca="1">IF(OR($A1195="S",$A1195=0),0,MATCH(0,OFFSET($B1195,1,$A1195,ROW($A$1504)-ROW($A1195)),0))</f>
        <v>11</v>
      </c>
      <c r="I1195">
        <f ca="1">IF(OR($A1195="S",$A1195=0),0,MATCH(OFFSET($B1195,0,$A1195)+1,OFFSET($B1195,1,$A1195,ROW($A$1504)-ROW($A1195)),0))</f>
        <v>3</v>
      </c>
      <c r="J1195" s="132" t="s">
        <v>68</v>
      </c>
      <c r="K1195" s="121" t="str">
        <f ca="1">IF($A1195=0,"-",CONCATENATE(C1195&amp;".",IF(AND($A$5&gt;=2,$A1195&gt;=2),D1195&amp;".",""),IF(AND($A$5&gt;=3,$A1195&gt;=3),E1195&amp;".",""),IF(AND($A$5&gt;=4,$A1195&gt;=4),F1195&amp;".",""),IF($A1195="S",G1195&amp;".","")))</f>
        <v>13.6.</v>
      </c>
      <c r="L1195" s="137" t="str">
        <f ca="1">IF(NOT(ISERROR($Y1195)),IF($Y1195&lt;&gt;FALSE,INDEX(Banco,$Y1195,4),""),"")</f>
        <v/>
      </c>
      <c r="M1195" s="122"/>
      <c r="N1195" s="139"/>
      <c r="O1195" s="137" t="s">
        <v>433</v>
      </c>
      <c r="P1195" s="138" t="str">
        <f ca="1">IF(NOT(ISERROR($Y1195)),IF($Y1195&lt;&gt;FALSE,INDEX(Banco,$Y1195,6),""),"")</f>
        <v/>
      </c>
      <c r="Q1195" s="134"/>
      <c r="R1195" s="124">
        <f ca="1">IF(NOT(ISERROR($Y1195)),IF($Y1195&lt;&gt;FALSE,INDEX(Banco,$Y1195,7),0),0)</f>
        <v>0</v>
      </c>
      <c r="S1195" s="136" t="s">
        <v>62</v>
      </c>
      <c r="T1195" s="123">
        <f>IF($J1195=$G$2,ROUND(ROUND($R1195,2)*IF($R$9="Preço Unitário (R$)",1,1+$AA1195),2),0)</f>
        <v>0</v>
      </c>
      <c r="U1195" s="126">
        <f ca="1">IF($A1195="S",VTOTAL1,IF($A1195=0,0,ROUND(SomaAgrup,2)))</f>
        <v>3427.56</v>
      </c>
      <c r="V1195" s="1"/>
      <c r="W1195" s="39">
        <f ca="1">IF(OR($A1195=0,$A1195="S",$A1195&gt;CFF!$A$9),"",MAX(W$11:OFFSET(W1195,-1,0))+1)</f>
        <v>105</v>
      </c>
      <c r="X1195" s="4" t="b">
        <f>IF(AND($J1195=$G$2,$N1195&lt;&gt;"",$M1195&lt;&gt;""),CONCATENATE($M1195,"-",$N1195))</f>
        <v>0</v>
      </c>
      <c r="Y1195" s="39" t="b">
        <f ca="1">IF(X1195&lt;&gt;FALSE,MATCH(X1195,OFFSET(Banco,0,0,,1),0))</f>
        <v>0</v>
      </c>
      <c r="Z1195" s="1"/>
      <c r="AA1195" s="133" t="str">
        <f>IF($J1195=$G$2,ROUND(IF(ISNUMBER(S1195),S1195,IF(LEFT(S1195,2)="DI",HLOOKUP(S1195,DADOS!$T$29:$X$30,2,FALSE),0)),4),"")</f>
        <v/>
      </c>
      <c r="AB1195" s="2"/>
    </row>
    <row r="1196" spans="1:28">
      <c r="A1196" t="str">
        <f t="shared" ref="A1196:A1197" si="1515">CHOOSE(1+LOG(1+2*(J1196=$C$2)+4*(J1196=$D$2)+8*(J1196=$E$2)+16*(J1196=$F$2)+32*(J1196=$G$2),2),0,1,2,3,4,"S")</f>
        <v>S</v>
      </c>
      <c r="B1196">
        <f t="shared" ref="B1196:B1197" si="1516">IF(OR(A1196="S",A1196=0),0,IF(ISERROR(I1196),H1196,SMALL(H1196:I1196,1)))</f>
        <v>0</v>
      </c>
      <c r="C1196">
        <f t="shared" ref="C1196:C1197" ca="1" si="1517">IF($A1196=1,OFFSET(C1196,-1,0)+1,OFFSET(C1196,-1,0))</f>
        <v>13</v>
      </c>
      <c r="D1196">
        <f t="shared" ref="D1196:D1197" ca="1" si="1518">IF($A1196=1,0,IF($A1196=2,OFFSET(D1196,-1,0)+1,OFFSET(D1196,-1,0)))</f>
        <v>6</v>
      </c>
      <c r="E1196">
        <f t="shared" ref="E1196:E1197" ca="1" si="1519">IF(AND($A1196&lt;=2,$A1196&lt;&gt;0),0,IF($A1196=3,OFFSET(E1196,-1,0)+1,OFFSET(E1196,-1,0)))</f>
        <v>0</v>
      </c>
      <c r="F1196">
        <f t="shared" ref="F1196:F1197" ca="1" si="1520">IF(AND($A1196&lt;=3,$A1196&lt;&gt;0),0,IF($A1196=4,OFFSET(F1196,-1,0)+1,OFFSET(F1196,-1,0)))</f>
        <v>0</v>
      </c>
      <c r="G1196">
        <f t="shared" ref="G1196:G1197" ca="1" si="1521">IF(AND($A1196&lt;=4,$A1196&lt;&gt;0),0,IF($A1196="S",OFFSET(G1196,-1,0)+1,OFFSET(G1196,-1,0)))</f>
        <v>1</v>
      </c>
      <c r="H1196">
        <f ca="1">IF(OR($A1196="S",$A1196=0),0,MATCH(0,OFFSET($B1196,1,$A1196,ROW($A$1504)-ROW($A1196)),0))</f>
        <v>0</v>
      </c>
      <c r="I1196">
        <f ca="1">IF(OR($A1196="S",$A1196=0),0,MATCH(OFFSET($B1196,0,$A1196)+1,OFFSET($B1196,1,$A1196,ROW($A$1504)-ROW($A1196)),0))</f>
        <v>0</v>
      </c>
      <c r="J1196" s="132" t="s">
        <v>29</v>
      </c>
      <c r="K1196" s="121" t="str">
        <f t="shared" ref="K1196:K1197" ca="1" si="1522">IF($A1196=0,"-",CONCATENATE(C1196&amp;".",IF(AND($A$5&gt;=2,$A1196&gt;=2),D1196&amp;".",""),IF(AND($A$5&gt;=3,$A1196&gt;=3),E1196&amp;".",""),IF(AND($A$5&gt;=4,$A1196&gt;=4),F1196&amp;".",""),IF($A1196="S",G1196&amp;".","")))</f>
        <v>13.6.1.</v>
      </c>
      <c r="L1196" s="137" t="str">
        <f t="shared" ref="L1196:L1197" ca="1" si="1523">IF(NOT(ISERROR($Y1196)),IF($Y1196&lt;&gt;FALSE,INDEX(Banco,$Y1196,4),""),"")</f>
        <v>CRESS</v>
      </c>
      <c r="M1196" s="122" t="s">
        <v>78</v>
      </c>
      <c r="N1196" s="139" t="s">
        <v>149</v>
      </c>
      <c r="O1196" s="137" t="str">
        <f ca="1">IF(NOT(ISERROR($Y1196)),IF($Y1196&lt;&gt;FALSE,INDEX(Banco,$Y1196,5),""),"")</f>
        <v>Responsável Técnica</v>
      </c>
      <c r="P1196" s="138" t="str">
        <f t="shared" ref="P1196:P1197" ca="1" si="1524">IF(NOT(ISERROR($Y1196)),IF($Y1196&lt;&gt;FALSE,INDEX(Banco,$Y1196,6),""),"")</f>
        <v>Horas</v>
      </c>
      <c r="Q1196" s="134">
        <v>4</v>
      </c>
      <c r="R1196" s="124">
        <f t="shared" ref="R1196:R1197" ca="1" si="1525">IF(NOT(ISERROR($Y1196)),IF($Y1196&lt;&gt;FALSE,INDEX(Banco,$Y1196,7),0),0)</f>
        <v>150.28</v>
      </c>
      <c r="S1196" s="136" t="s">
        <v>62</v>
      </c>
      <c r="T1196" s="123">
        <f t="shared" ref="T1196:T1197" ca="1" si="1526">IF($J1196=$G$2,ROUND(ROUND($R1196,2)*IF($R$9="Preço Unitário (R$)",1,1+$AA1196),2),0)</f>
        <v>187.85</v>
      </c>
      <c r="U1196" s="126">
        <f t="shared" ref="U1196:U1197" ca="1" si="1527">IF($A1196="S",VTOTAL1,IF($A1196=0,0,ROUND(SomaAgrup,2)))</f>
        <v>751.4</v>
      </c>
      <c r="V1196" s="1"/>
      <c r="W1196" s="39" t="str">
        <f ca="1">IF(OR($A1196=0,$A1196="S",$A1196&gt;CFF!$A$9),"",MAX(W$11:OFFSET(W1196,-1,0))+1)</f>
        <v/>
      </c>
      <c r="X1196" s="4" t="str">
        <f t="shared" ref="X1196:X1197" si="1528">IF(AND($J1196=$G$2,$N1196&lt;&gt;"",$M1196&lt;&gt;""),CONCATENATE($M1196,"-",$N1196))</f>
        <v>Rec. Humanos-001</v>
      </c>
      <c r="Y1196" s="39">
        <f t="shared" ref="Y1196:Y1197" ca="1" si="1529">IF(X1196&lt;&gt;FALSE,MATCH(X1196,OFFSET(Banco,0,0,,1),0))</f>
        <v>3</v>
      </c>
      <c r="Z1196" s="1"/>
      <c r="AA1196" s="133">
        <f>IF($J1196=$G$2,ROUND(IF(ISNUMBER(S1196),S1196,IF(LEFT(S1196,2)="DI",HLOOKUP(S1196,DADOS!$T$29:$X$30,2,FALSE),0)),4),"")</f>
        <v>0.25</v>
      </c>
      <c r="AB1196" s="2"/>
    </row>
    <row r="1197" spans="1:28">
      <c r="A1197" t="str">
        <f t="shared" si="1515"/>
        <v>S</v>
      </c>
      <c r="B1197">
        <f t="shared" si="1516"/>
        <v>0</v>
      </c>
      <c r="C1197">
        <f t="shared" ca="1" si="1517"/>
        <v>13</v>
      </c>
      <c r="D1197">
        <f t="shared" ca="1" si="1518"/>
        <v>6</v>
      </c>
      <c r="E1197">
        <f t="shared" ca="1" si="1519"/>
        <v>0</v>
      </c>
      <c r="F1197">
        <f t="shared" ca="1" si="1520"/>
        <v>0</v>
      </c>
      <c r="G1197">
        <f t="shared" ca="1" si="1521"/>
        <v>2</v>
      </c>
      <c r="H1197">
        <f ca="1">IF(OR($A1197="S",$A1197=0),0,MATCH(0,OFFSET($B1197,1,$A1197,ROW($A$1504)-ROW($A1197)),0))</f>
        <v>0</v>
      </c>
      <c r="I1197">
        <f ca="1">IF(OR($A1197="S",$A1197=0),0,MATCH(OFFSET($B1197,0,$A1197)+1,OFFSET($B1197,1,$A1197,ROW($A$1504)-ROW($A1197)),0))</f>
        <v>0</v>
      </c>
      <c r="J1197" s="132" t="s">
        <v>29</v>
      </c>
      <c r="K1197" s="121" t="str">
        <f t="shared" ca="1" si="1522"/>
        <v>13.6.2.</v>
      </c>
      <c r="L1197" s="137" t="str">
        <f t="shared" ca="1" si="1523"/>
        <v>CRESS</v>
      </c>
      <c r="M1197" s="122" t="s">
        <v>78</v>
      </c>
      <c r="N1197" s="139" t="s">
        <v>152</v>
      </c>
      <c r="O1197" s="137" t="str">
        <f ca="1">IF(NOT(ISERROR($Y1197)),IF($Y1197&lt;&gt;FALSE,INDEX(Banco,$Y1197,5),""),"")</f>
        <v>Assistente Social</v>
      </c>
      <c r="P1197" s="138" t="str">
        <f t="shared" ca="1" si="1524"/>
        <v>Horas</v>
      </c>
      <c r="Q1197" s="134">
        <v>16</v>
      </c>
      <c r="R1197" s="124">
        <f t="shared" ca="1" si="1525"/>
        <v>133.81</v>
      </c>
      <c r="S1197" s="136" t="s">
        <v>62</v>
      </c>
      <c r="T1197" s="123">
        <f t="shared" ca="1" si="1526"/>
        <v>167.26</v>
      </c>
      <c r="U1197" s="126">
        <f t="shared" ca="1" si="1527"/>
        <v>2676.16</v>
      </c>
      <c r="V1197" s="1"/>
      <c r="W1197" s="39" t="str">
        <f ca="1">IF(OR($A1197=0,$A1197="S",$A1197&gt;CFF!$A$9),"",MAX(W$11:OFFSET(W1197,-1,0))+1)</f>
        <v/>
      </c>
      <c r="X1197" s="4" t="str">
        <f t="shared" si="1528"/>
        <v>Rec. Humanos-002</v>
      </c>
      <c r="Y1197" s="39">
        <f t="shared" ca="1" si="1529"/>
        <v>4</v>
      </c>
      <c r="Z1197" s="1"/>
      <c r="AA1197" s="133">
        <f>IF($J1197=$G$2,ROUND(IF(ISNUMBER(S1197),S1197,IF(LEFT(S1197,2)="DI",HLOOKUP(S1197,DADOS!$T$29:$X$30,2,FALSE),0)),4),"")</f>
        <v>0.25</v>
      </c>
      <c r="AB1197" s="2"/>
    </row>
    <row r="1198" spans="1:28">
      <c r="A1198">
        <f>CHOOSE(1+LOG(1+2*(J1198=$C$2)+4*(J1198=$D$2)+8*(J1198=$E$2)+16*(J1198=$F$2)+32*(J1198=$G$2),2),0,1,2,3,4,"S")</f>
        <v>2</v>
      </c>
      <c r="B1198">
        <f ca="1">IF(OR(A1198="S",A1198=0),0,IF(ISERROR(I1198),H1198,SMALL(H1198:I1198,1)))</f>
        <v>4</v>
      </c>
      <c r="C1198">
        <f ca="1">IF($A1198=1,OFFSET(C1198,-1,0)+1,OFFSET(C1198,-1,0))</f>
        <v>13</v>
      </c>
      <c r="D1198">
        <f ca="1">IF($A1198=1,0,IF($A1198=2,OFFSET(D1198,-1,0)+1,OFFSET(D1198,-1,0)))</f>
        <v>7</v>
      </c>
      <c r="E1198">
        <f ca="1">IF(AND($A1198&lt;=2,$A1198&lt;&gt;0),0,IF($A1198=3,OFFSET(E1198,-1,0)+1,OFFSET(E1198,-1,0)))</f>
        <v>0</v>
      </c>
      <c r="F1198">
        <f ca="1">IF(AND($A1198&lt;=3,$A1198&lt;&gt;0),0,IF($A1198=4,OFFSET(F1198,-1,0)+1,OFFSET(F1198,-1,0)))</f>
        <v>0</v>
      </c>
      <c r="G1198">
        <f ca="1">IF(AND($A1198&lt;=4,$A1198&lt;&gt;0),0,IF($A1198="S",OFFSET(G1198,-1,0)+1,OFFSET(G1198,-1,0)))</f>
        <v>0</v>
      </c>
      <c r="H1198">
        <f ca="1">IF(OR($A1198="S",$A1198=0),0,MATCH(0,OFFSET($B1198,1,$A1198,ROW($A$1504)-ROW($A1198)),0))</f>
        <v>8</v>
      </c>
      <c r="I1198">
        <f ca="1">IF(OR($A1198="S",$A1198=0),0,MATCH(OFFSET($B1198,0,$A1198)+1,OFFSET($B1198,1,$A1198,ROW($A$1504)-ROW($A1198)),0))</f>
        <v>4</v>
      </c>
      <c r="J1198" s="132" t="s">
        <v>68</v>
      </c>
      <c r="K1198" s="121" t="str">
        <f ca="1">IF($A1198=0,"-",CONCATENATE(C1198&amp;".",IF(AND($A$5&gt;=2,$A1198&gt;=2),D1198&amp;".",""),IF(AND($A$5&gt;=3,$A1198&gt;=3),E1198&amp;".",""),IF(AND($A$5&gt;=4,$A1198&gt;=4),F1198&amp;".",""),IF($A1198="S",G1198&amp;".","")))</f>
        <v>13.7.</v>
      </c>
      <c r="L1198" s="137" t="str">
        <f ca="1">IF(NOT(ISERROR($Y1198)),IF($Y1198&lt;&gt;FALSE,INDEX(Banco,$Y1198,4),""),"")</f>
        <v/>
      </c>
      <c r="M1198" s="122"/>
      <c r="N1198" s="139"/>
      <c r="O1198" s="137" t="s">
        <v>434</v>
      </c>
      <c r="P1198" s="138" t="str">
        <f ca="1">IF(NOT(ISERROR($Y1198)),IF($Y1198&lt;&gt;FALSE,INDEX(Banco,$Y1198,6),""),"")</f>
        <v/>
      </c>
      <c r="Q1198" s="134"/>
      <c r="R1198" s="124">
        <f ca="1">IF(NOT(ISERROR($Y1198)),IF($Y1198&lt;&gt;FALSE,INDEX(Banco,$Y1198,7),0),0)</f>
        <v>0</v>
      </c>
      <c r="S1198" s="136" t="s">
        <v>62</v>
      </c>
      <c r="T1198" s="123">
        <f>IF($J1198=$G$2,ROUND(ROUND($R1198,2)*IF($R$9="Preço Unitário (R$)",1,1+$AA1198),2),0)</f>
        <v>0</v>
      </c>
      <c r="U1198" s="126">
        <f ca="1">IF($A1198="S",VTOTAL1,IF($A1198=0,0,ROUND(SomaAgrup,2)))</f>
        <v>24551.46</v>
      </c>
      <c r="V1198" s="1"/>
      <c r="W1198" s="39">
        <f ca="1">IF(OR($A1198=0,$A1198="S",$A1198&gt;CFF!$A$9),"",MAX(W$11:OFFSET(W1198,-1,0))+1)</f>
        <v>106</v>
      </c>
      <c r="X1198" s="4" t="b">
        <f>IF(AND($J1198=$G$2,$N1198&lt;&gt;"",$M1198&lt;&gt;""),CONCATENATE($M1198,"-",$N1198))</f>
        <v>0</v>
      </c>
      <c r="Y1198" s="39" t="b">
        <f ca="1">IF(X1198&lt;&gt;FALSE,MATCH(X1198,OFFSET(Banco,0,0,,1),0))</f>
        <v>0</v>
      </c>
      <c r="Z1198" s="1"/>
      <c r="AA1198" s="133" t="str">
        <f>IF($J1198=$G$2,ROUND(IF(ISNUMBER(S1198),S1198,IF(LEFT(S1198,2)="DI",HLOOKUP(S1198,DADOS!$T$29:$X$30,2,FALSE),0)),4),"")</f>
        <v/>
      </c>
      <c r="AB1198" s="2"/>
    </row>
    <row r="1199" spans="1:28">
      <c r="A1199" t="str">
        <f t="shared" ref="A1199:A1208" si="1530">CHOOSE(1+LOG(1+2*(J1199=$C$2)+4*(J1199=$D$2)+8*(J1199=$E$2)+16*(J1199=$F$2)+32*(J1199=$G$2),2),0,1,2,3,4,"S")</f>
        <v>S</v>
      </c>
      <c r="B1199">
        <f t="shared" ref="B1199:B1208" si="1531">IF(OR(A1199="S",A1199=0),0,IF(ISERROR(I1199),H1199,SMALL(H1199:I1199,1)))</f>
        <v>0</v>
      </c>
      <c r="C1199">
        <f ca="1">IF($A1199=1,OFFSET(C1199,-1,0)+1,OFFSET(C1199,-1,0))</f>
        <v>13</v>
      </c>
      <c r="D1199">
        <f ca="1">IF($A1199=1,0,IF($A1199=2,OFFSET(D1199,-1,0)+1,OFFSET(D1199,-1,0)))</f>
        <v>7</v>
      </c>
      <c r="E1199">
        <f ca="1">IF(AND($A1199&lt;=2,$A1199&lt;&gt;0),0,IF($A1199=3,OFFSET(E1199,-1,0)+1,OFFSET(E1199,-1,0)))</f>
        <v>0</v>
      </c>
      <c r="F1199">
        <f ca="1">IF(AND($A1199&lt;=3,$A1199&lt;&gt;0),0,IF($A1199=4,OFFSET(F1199,-1,0)+1,OFFSET(F1199,-1,0)))</f>
        <v>0</v>
      </c>
      <c r="G1199">
        <f ca="1">IF(AND($A1199&lt;=4,$A1199&lt;&gt;0),0,IF($A1199="S",OFFSET(G1199,-1,0)+1,OFFSET(G1199,-1,0)))</f>
        <v>1</v>
      </c>
      <c r="H1199">
        <f ca="1">IF(OR($A1199="S",$A1199=0),0,MATCH(0,OFFSET($B1199,1,$A1199,ROW($A$1504)-ROW($A1199)),0))</f>
        <v>0</v>
      </c>
      <c r="I1199">
        <f ca="1">IF(OR($A1199="S",$A1199=0),0,MATCH(OFFSET($B1199,0,$A1199)+1,OFFSET($B1199,1,$A1199,ROW($A$1504)-ROW($A1199)),0))</f>
        <v>0</v>
      </c>
      <c r="J1199" s="132" t="s">
        <v>29</v>
      </c>
      <c r="K1199" s="121" t="str">
        <f t="shared" ref="K1199:K1208" ca="1" si="1532">IF($A1199=0,"-",CONCATENATE(C1199&amp;".",IF(AND($A$5&gt;=2,$A1199&gt;=2),D1199&amp;".",""),IF(AND($A$5&gt;=3,$A1199&gt;=3),E1199&amp;".",""),IF(AND($A$5&gt;=4,$A1199&gt;=4),F1199&amp;".",""),IF($A1199="S",G1199&amp;".","")))</f>
        <v>13.7.1.</v>
      </c>
      <c r="L1199" s="137" t="str">
        <f ca="1">IF(NOT(ISERROR($Y1199)),IF($Y1199&lt;&gt;FALSE,INDEX(Banco,$Y1199,4),""),"")</f>
        <v>CRESS</v>
      </c>
      <c r="M1199" s="122" t="s">
        <v>78</v>
      </c>
      <c r="N1199" s="139" t="s">
        <v>152</v>
      </c>
      <c r="O1199" s="137" t="str">
        <f ca="1">IF(NOT(ISERROR($Y1199)),IF($Y1199&lt;&gt;FALSE,INDEX(Banco,$Y1199,5),""),"")</f>
        <v>Assistente Social</v>
      </c>
      <c r="P1199" s="138" t="str">
        <f ca="1">IF(NOT(ISERROR($Y1199)),IF($Y1199&lt;&gt;FALSE,INDEX(Banco,$Y1199,6),""),"")</f>
        <v>Horas</v>
      </c>
      <c r="Q1199" s="134">
        <v>6</v>
      </c>
      <c r="R1199" s="124">
        <f ca="1">IF(NOT(ISERROR($Y1199)),IF($Y1199&lt;&gt;FALSE,INDEX(Banco,$Y1199,7),0),0)</f>
        <v>133.81</v>
      </c>
      <c r="S1199" s="136" t="s">
        <v>62</v>
      </c>
      <c r="T1199" s="123">
        <f ca="1">IF($J1199=$G$2,ROUND(ROUND($R1199,2)*IF($R$9="Preço Unitário (R$)",1,1+$AA1199),2),0)</f>
        <v>167.26</v>
      </c>
      <c r="U1199" s="126">
        <f ca="1">IF($A1199="S",VTOTAL1,IF($A1199=0,0,ROUND(SomaAgrup,2)))</f>
        <v>1003.56</v>
      </c>
      <c r="V1199" s="1"/>
      <c r="W1199" s="39" t="str">
        <f ca="1">IF(OR($A1199=0,$A1199="S",$A1199&gt;CFF!$A$9),"",MAX(W$11:OFFSET(W1199,-1,0))+1)</f>
        <v/>
      </c>
      <c r="X1199" s="4" t="str">
        <f>IF(AND($J1199=$G$2,$N1199&lt;&gt;"",$M1199&lt;&gt;""),CONCATENATE($M1199,"-",$N1199))</f>
        <v>Rec. Humanos-002</v>
      </c>
      <c r="Y1199" s="39">
        <f t="shared" ref="Y1199:Y1208" ca="1" si="1533">IF(X1199&lt;&gt;FALSE,MATCH(X1199,OFFSET(Banco,0,0,,1),0))</f>
        <v>4</v>
      </c>
      <c r="Z1199" s="1"/>
      <c r="AA1199" s="133">
        <f>IF($J1199=$G$2,ROUND(IF(ISNUMBER(S1199),S1199,IF(LEFT(S1199,2)="DI",HLOOKUP(S1199,DADOS!$T$29:$X$30,2,FALSE),0)),4),"")</f>
        <v>0.25</v>
      </c>
      <c r="AB1199" s="2"/>
    </row>
    <row r="1200" spans="1:28">
      <c r="A1200" t="str">
        <f t="shared" si="1530"/>
        <v>S</v>
      </c>
      <c r="B1200">
        <f t="shared" si="1531"/>
        <v>0</v>
      </c>
      <c r="C1200">
        <f ca="1">IF($A1200=1,OFFSET(C1200,-1,0)+1,OFFSET(C1200,-1,0))</f>
        <v>13</v>
      </c>
      <c r="D1200">
        <f ca="1">IF($A1200=1,0,IF($A1200=2,OFFSET(D1200,-1,0)+1,OFFSET(D1200,-1,0)))</f>
        <v>7</v>
      </c>
      <c r="E1200">
        <f ca="1">IF(AND($A1200&lt;=2,$A1200&lt;&gt;0),0,IF($A1200=3,OFFSET(E1200,-1,0)+1,OFFSET(E1200,-1,0)))</f>
        <v>0</v>
      </c>
      <c r="F1200">
        <f ca="1">IF(AND($A1200&lt;=3,$A1200&lt;&gt;0),0,IF($A1200=4,OFFSET(F1200,-1,0)+1,OFFSET(F1200,-1,0)))</f>
        <v>0</v>
      </c>
      <c r="G1200">
        <f ca="1">IF(AND($A1200&lt;=4,$A1200&lt;&gt;0),0,IF($A1200="S",OFFSET(G1200,-1,0)+1,OFFSET(G1200,-1,0)))</f>
        <v>2</v>
      </c>
      <c r="H1200">
        <f ca="1">IF(OR($A1200="S",$A1200=0),0,MATCH(0,OFFSET($B1200,1,$A1200,ROW($A$1504)-ROW($A1200)),0))</f>
        <v>0</v>
      </c>
      <c r="I1200">
        <f ca="1">IF(OR($A1200="S",$A1200=0),0,MATCH(OFFSET($B1200,0,$A1200)+1,OFFSET($B1200,1,$A1200,ROW($A$1504)-ROW($A1200)),0))</f>
        <v>0</v>
      </c>
      <c r="J1200" s="132" t="s">
        <v>29</v>
      </c>
      <c r="K1200" s="121" t="str">
        <f t="shared" ca="1" si="1532"/>
        <v>13.7.2.</v>
      </c>
      <c r="L1200" s="137" t="str">
        <f ca="1">IF(NOT(ISERROR($Y1200)),IF($Y1200&lt;&gt;FALSE,INDEX(Banco,$Y1200,4),""),"")</f>
        <v>Cotação</v>
      </c>
      <c r="M1200" s="122" t="s">
        <v>78</v>
      </c>
      <c r="N1200" s="139" t="s">
        <v>151</v>
      </c>
      <c r="O1200" s="137" t="str">
        <f ca="1">IF(NOT(ISERROR($Y1200)),IF($Y1200&lt;&gt;FALSE,INDEX(Banco,$Y1200,5),""),"")</f>
        <v xml:space="preserve">Administrador (Técnico de Apoio) </v>
      </c>
      <c r="P1200" s="138" t="str">
        <f ca="1">IF(NOT(ISERROR($Y1200)),IF($Y1200&lt;&gt;FALSE,INDEX(Banco,$Y1200,6),""),"")</f>
        <v>Horas</v>
      </c>
      <c r="Q1200" s="134">
        <v>6</v>
      </c>
      <c r="R1200" s="124">
        <f ca="1">IF(NOT(ISERROR($Y1200)),IF($Y1200&lt;&gt;FALSE,INDEX(Banco,$Y1200,7),0),0)</f>
        <v>103.65</v>
      </c>
      <c r="S1200" s="136" t="s">
        <v>62</v>
      </c>
      <c r="T1200" s="123">
        <f ca="1">IF($J1200=$G$2,ROUND(ROUND($R1200,2)*IF($R$9="Preço Unitário (R$)",1,1+$AA1200),2),0)</f>
        <v>129.56</v>
      </c>
      <c r="U1200" s="126">
        <f ca="1">IF($A1200="S",VTOTAL1,IF($A1200=0,0,ROUND(SomaAgrup,2)))</f>
        <v>777.36</v>
      </c>
      <c r="V1200" s="1"/>
      <c r="W1200" s="39" t="str">
        <f ca="1">IF(OR($A1200=0,$A1200="S",$A1200&gt;CFF!$A$9),"",MAX(W$11:OFFSET(W1200,-1,0))+1)</f>
        <v/>
      </c>
      <c r="X1200" s="4" t="str">
        <f>IF(AND($J1200=$G$2,$N1200&lt;&gt;"",$M1200&lt;&gt;""),CONCATENATE($M1200,"-",$N1200))</f>
        <v>Rec. Humanos-003</v>
      </c>
      <c r="Y1200" s="39">
        <f t="shared" ca="1" si="1533"/>
        <v>5</v>
      </c>
      <c r="Z1200" s="1"/>
      <c r="AA1200" s="133">
        <f>IF($J1200=$G$2,ROUND(IF(ISNUMBER(S1200),S1200,IF(LEFT(S1200,2)="DI",HLOOKUP(S1200,DADOS!$T$29:$X$30,2,FALSE),0)),4),"")</f>
        <v>0.25</v>
      </c>
      <c r="AB1200" s="2"/>
    </row>
    <row r="1201" spans="1:28">
      <c r="A1201" t="str">
        <f t="shared" si="1530"/>
        <v>S</v>
      </c>
      <c r="B1201">
        <f t="shared" si="1531"/>
        <v>0</v>
      </c>
      <c r="C1201">
        <f ca="1">IF($A1201=1,OFFSET(C1201,-1,0)+1,OFFSET(C1201,-1,0))</f>
        <v>13</v>
      </c>
      <c r="D1201">
        <f ca="1">IF($A1201=1,0,IF($A1201=2,OFFSET(D1201,-1,0)+1,OFFSET(D1201,-1,0)))</f>
        <v>7</v>
      </c>
      <c r="E1201">
        <f ca="1">IF(AND($A1201&lt;=2,$A1201&lt;&gt;0),0,IF($A1201=3,OFFSET(E1201,-1,0)+1,OFFSET(E1201,-1,0)))</f>
        <v>0</v>
      </c>
      <c r="F1201">
        <f ca="1">IF(AND($A1201&lt;=3,$A1201&lt;&gt;0),0,IF($A1201=4,OFFSET(F1201,-1,0)+1,OFFSET(F1201,-1,0)))</f>
        <v>0</v>
      </c>
      <c r="G1201">
        <f ca="1">IF(AND($A1201&lt;=4,$A1201&lt;&gt;0),0,IF($A1201="S",OFFSET(G1201,-1,0)+1,OFFSET(G1201,-1,0)))</f>
        <v>3</v>
      </c>
      <c r="H1201">
        <f ca="1">IF(OR($A1201="S",$A1201=0),0,MATCH(0,OFFSET($B1201,1,$A1201,ROW($A$1504)-ROW($A1201)),0))</f>
        <v>0</v>
      </c>
      <c r="I1201">
        <f ca="1">IF(OR($A1201="S",$A1201=0),0,MATCH(OFFSET($B1201,0,$A1201)+1,OFFSET($B1201,1,$A1201,ROW($A$1504)-ROW($A1201)),0))</f>
        <v>0</v>
      </c>
      <c r="J1201" s="132" t="s">
        <v>29</v>
      </c>
      <c r="K1201" s="121" t="str">
        <f t="shared" ca="1" si="1532"/>
        <v>13.7.3.</v>
      </c>
      <c r="L1201" s="137" t="str">
        <f ca="1">IF(NOT(ISERROR($Y1201)),IF($Y1201&lt;&gt;FALSE,INDEX(Banco,$Y1201,4),""),"")</f>
        <v>SENAI</v>
      </c>
      <c r="M1201" s="122" t="s">
        <v>80</v>
      </c>
      <c r="N1201" s="139" t="s">
        <v>222</v>
      </c>
      <c r="O1201" s="137" t="str">
        <f ca="1">IF(NOT(ISERROR($Y1201)),IF($Y1201&lt;&gt;FALSE,INDEX(Banco,$Y1201,5),""),"")</f>
        <v>Panificação (curso completo)</v>
      </c>
      <c r="P1201" s="138" t="str">
        <f ca="1">IF(NOT(ISERROR($Y1201)),IF($Y1201&lt;&gt;FALSE,INDEX(Banco,$Y1201,6),""),"")</f>
        <v>Vagas</v>
      </c>
      <c r="Q1201" s="134">
        <v>26</v>
      </c>
      <c r="R1201" s="124">
        <f ca="1">IF(NOT(ISERROR($Y1201)),IF($Y1201&lt;&gt;FALSE,INDEX(Banco,$Y1201,7),0),0)</f>
        <v>700.63</v>
      </c>
      <c r="S1201" s="136" t="s">
        <v>62</v>
      </c>
      <c r="T1201" s="123">
        <f ca="1">IF($J1201=$G$2,ROUND(ROUND($R1201,2)*IF($R$9="Preço Unitário (R$)",1,1+$AA1201),2),0)</f>
        <v>875.79</v>
      </c>
      <c r="U1201" s="126">
        <f ca="1">IF($A1201="S",VTOTAL1,IF($A1201=0,0,ROUND(SomaAgrup,2)))</f>
        <v>22770.54</v>
      </c>
      <c r="V1201" s="1"/>
      <c r="W1201" s="39" t="str">
        <f ca="1">IF(OR($A1201=0,$A1201="S",$A1201&gt;CFF!$A$9),"",MAX(W$11:OFFSET(W1201,-1,0))+1)</f>
        <v/>
      </c>
      <c r="X1201" s="4" t="str">
        <f>IF(AND($J1201=$G$2,$N1201&lt;&gt;"",$M1201&lt;&gt;""),CONCATENATE($M1201,"-",$N1201))</f>
        <v>Serv. Terc.-043</v>
      </c>
      <c r="Y1201" s="39">
        <f t="shared" ca="1" si="1533"/>
        <v>123</v>
      </c>
      <c r="Z1201" s="1"/>
      <c r="AA1201" s="133">
        <f>IF($J1201=$G$2,ROUND(IF(ISNUMBER(S1201),S1201,IF(LEFT(S1201,2)="DI",HLOOKUP(S1201,DADOS!$T$29:$X$30,2,FALSE),0)),4),"")</f>
        <v>0.25</v>
      </c>
      <c r="AB1201" s="2"/>
    </row>
    <row r="1202" spans="1:28">
      <c r="A1202">
        <f>CHOOSE(1+LOG(1+2*(J1202=$C$2)+4*(J1202=$D$2)+8*(J1202=$E$2)+16*(J1202=$F$2)+32*(J1202=$G$2),2),0,1,2,3,4,"S")</f>
        <v>2</v>
      </c>
      <c r="B1202">
        <f ca="1">IF(OR(A1202="S",A1202=0),0,IF(ISERROR(I1202),H1202,SMALL(H1202:I1202,1)))</f>
        <v>4</v>
      </c>
      <c r="C1202">
        <f ca="1">IF($A1202=1,OFFSET(C1202,-1,0)+1,OFFSET(C1202,-1,0))</f>
        <v>13</v>
      </c>
      <c r="D1202">
        <f ca="1">IF($A1202=1,0,IF($A1202=2,OFFSET(D1202,-1,0)+1,OFFSET(D1202,-1,0)))</f>
        <v>8</v>
      </c>
      <c r="E1202">
        <f ca="1">IF(AND($A1202&lt;=2,$A1202&lt;&gt;0),0,IF($A1202=3,OFFSET(E1202,-1,0)+1,OFFSET(E1202,-1,0)))</f>
        <v>0</v>
      </c>
      <c r="F1202">
        <f ca="1">IF(AND($A1202&lt;=3,$A1202&lt;&gt;0),0,IF($A1202=4,OFFSET(F1202,-1,0)+1,OFFSET(F1202,-1,0)))</f>
        <v>0</v>
      </c>
      <c r="G1202">
        <f ca="1">IF(AND($A1202&lt;=4,$A1202&lt;&gt;0),0,IF($A1202="S",OFFSET(G1202,-1,0)+1,OFFSET(G1202,-1,0)))</f>
        <v>0</v>
      </c>
      <c r="H1202">
        <f ca="1">IF(OR($A1202="S",$A1202=0),0,MATCH(0,OFFSET($B1202,1,$A1202,ROW($A$1504)-ROW($A1202)),0))</f>
        <v>4</v>
      </c>
      <c r="I1202" t="e">
        <f ca="1">IF(OR($A1202="S",$A1202=0),0,MATCH(OFFSET($B1202,0,$A1202)+1,OFFSET($B1202,1,$A1202,ROW($A$1504)-ROW($A1202)),0))</f>
        <v>#N/A</v>
      </c>
      <c r="J1202" s="132" t="s">
        <v>68</v>
      </c>
      <c r="K1202" s="121" t="str">
        <f ca="1">IF($A1202=0,"-",CONCATENATE(C1202&amp;".",IF(AND($A$5&gt;=2,$A1202&gt;=2),D1202&amp;".",""),IF(AND($A$5&gt;=3,$A1202&gt;=3),E1202&amp;".",""),IF(AND($A$5&gt;=4,$A1202&gt;=4),F1202&amp;".",""),IF($A1202="S",G1202&amp;".","")))</f>
        <v>13.8.</v>
      </c>
      <c r="L1202" s="137" t="str">
        <f ca="1">IF(NOT(ISERROR($Y1202)),IF($Y1202&lt;&gt;FALSE,INDEX(Banco,$Y1202,4),""),"")</f>
        <v/>
      </c>
      <c r="M1202" s="122"/>
      <c r="N1202" s="139"/>
      <c r="O1202" s="137" t="s">
        <v>435</v>
      </c>
      <c r="P1202" s="138" t="str">
        <f ca="1">IF(NOT(ISERROR($Y1202)),IF($Y1202&lt;&gt;FALSE,INDEX(Banco,$Y1202,6),""),"")</f>
        <v/>
      </c>
      <c r="Q1202" s="134"/>
      <c r="R1202" s="124">
        <f ca="1">IF(NOT(ISERROR($Y1202)),IF($Y1202&lt;&gt;FALSE,INDEX(Banco,$Y1202,7),0),0)</f>
        <v>0</v>
      </c>
      <c r="S1202" s="136" t="s">
        <v>62</v>
      </c>
      <c r="T1202" s="123">
        <f>IF($J1202=$G$2,ROUND(ROUND($R1202,2)*IF($R$9="Preço Unitário (R$)",1,1+$AA1202),2),0)</f>
        <v>0</v>
      </c>
      <c r="U1202" s="126">
        <f ca="1">IF($A1202="S",VTOTAL1,IF($A1202=0,0,ROUND(SomaAgrup,2)))</f>
        <v>28092.32</v>
      </c>
      <c r="V1202" s="1"/>
      <c r="W1202" s="39">
        <f ca="1">IF(OR($A1202=0,$A1202="S",$A1202&gt;CFF!$A$9),"",MAX(W$11:OFFSET(W1202,-1,0))+1)</f>
        <v>107</v>
      </c>
      <c r="X1202" s="4" t="b">
        <f>IF(AND($J1202=$G$2,$N1202&lt;&gt;"",$M1202&lt;&gt;""),CONCATENATE($M1202,"-",$N1202))</f>
        <v>0</v>
      </c>
      <c r="Y1202" s="39" t="b">
        <f ca="1">IF(X1202&lt;&gt;FALSE,MATCH(X1202,OFFSET(Banco,0,0,,1),0))</f>
        <v>0</v>
      </c>
      <c r="Z1202" s="1"/>
      <c r="AA1202" s="133" t="str">
        <f>IF($J1202=$G$2,ROUND(IF(ISNUMBER(S1202),S1202,IF(LEFT(S1202,2)="DI",HLOOKUP(S1202,DADOS!$T$29:$X$30,2,FALSE),0)),4),"")</f>
        <v/>
      </c>
      <c r="AB1202" s="2"/>
    </row>
    <row r="1203" spans="1:28">
      <c r="A1203" t="str">
        <f t="shared" si="1530"/>
        <v>S</v>
      </c>
      <c r="B1203">
        <f t="shared" si="1531"/>
        <v>0</v>
      </c>
      <c r="C1203">
        <f t="shared" ref="C1203:C1218" ca="1" si="1534">IF($A1203=1,OFFSET(C1203,-1,0)+1,OFFSET(C1203,-1,0))</f>
        <v>13</v>
      </c>
      <c r="D1203">
        <f t="shared" ref="D1203:D1218" ca="1" si="1535">IF($A1203=1,0,IF($A1203=2,OFFSET(D1203,-1,0)+1,OFFSET(D1203,-1,0)))</f>
        <v>8</v>
      </c>
      <c r="E1203">
        <f t="shared" ref="E1203:E1218" ca="1" si="1536">IF(AND($A1203&lt;=2,$A1203&lt;&gt;0),0,IF($A1203=3,OFFSET(E1203,-1,0)+1,OFFSET(E1203,-1,0)))</f>
        <v>0</v>
      </c>
      <c r="F1203">
        <f t="shared" ref="F1203:F1218" ca="1" si="1537">IF(AND($A1203&lt;=3,$A1203&lt;&gt;0),0,IF($A1203=4,OFFSET(F1203,-1,0)+1,OFFSET(F1203,-1,0)))</f>
        <v>0</v>
      </c>
      <c r="G1203">
        <f t="shared" ref="G1203:G1218" ca="1" si="1538">IF(AND($A1203&lt;=4,$A1203&lt;&gt;0),0,IF($A1203="S",OFFSET(G1203,-1,0)+1,OFFSET(G1203,-1,0)))</f>
        <v>1</v>
      </c>
      <c r="H1203">
        <f ca="1">IF(OR($A1203="S",$A1203=0),0,MATCH(0,OFFSET($B1203,1,$A1203,ROW($A$1504)-ROW($A1203)),0))</f>
        <v>0</v>
      </c>
      <c r="I1203">
        <f ca="1">IF(OR($A1203="S",$A1203=0),0,MATCH(OFFSET($B1203,0,$A1203)+1,OFFSET($B1203,1,$A1203,ROW($A$1504)-ROW($A1203)),0))</f>
        <v>0</v>
      </c>
      <c r="J1203" s="132" t="s">
        <v>29</v>
      </c>
      <c r="K1203" s="121" t="str">
        <f t="shared" ca="1" si="1532"/>
        <v>13.8.1.</v>
      </c>
      <c r="L1203" s="137" t="str">
        <f t="shared" ref="L1203:L1218" ca="1" si="1539">IF(NOT(ISERROR($Y1203)),IF($Y1203&lt;&gt;FALSE,INDEX(Banco,$Y1203,4),""),"")</f>
        <v>CRESS</v>
      </c>
      <c r="M1203" s="122" t="s">
        <v>78</v>
      </c>
      <c r="N1203" s="139" t="s">
        <v>152</v>
      </c>
      <c r="O1203" s="137" t="str">
        <f ca="1">IF(NOT(ISERROR($Y1203)),IF($Y1203&lt;&gt;FALSE,INDEX(Banco,$Y1203,5),""),"")</f>
        <v>Assistente Social</v>
      </c>
      <c r="P1203" s="138" t="str">
        <f t="shared" ref="P1203:P1218" ca="1" si="1540">IF(NOT(ISERROR($Y1203)),IF($Y1203&lt;&gt;FALSE,INDEX(Banco,$Y1203,6),""),"")</f>
        <v>Horas</v>
      </c>
      <c r="Q1203" s="134">
        <v>7</v>
      </c>
      <c r="R1203" s="124">
        <f t="shared" ref="R1203:R1218" ca="1" si="1541">IF(NOT(ISERROR($Y1203)),IF($Y1203&lt;&gt;FALSE,INDEX(Banco,$Y1203,7),0),0)</f>
        <v>133.81</v>
      </c>
      <c r="S1203" s="136" t="s">
        <v>62</v>
      </c>
      <c r="T1203" s="123">
        <f t="shared" ref="T1203:T1218" ca="1" si="1542">IF($J1203=$G$2,ROUND(ROUND($R1203,2)*IF($R$9="Preço Unitário (R$)",1,1+$AA1203),2),0)</f>
        <v>167.26</v>
      </c>
      <c r="U1203" s="126">
        <f t="shared" ref="U1203:U1218" ca="1" si="1543">IF($A1203="S",VTOTAL1,IF($A1203=0,0,ROUND(SomaAgrup,2)))</f>
        <v>1170.82</v>
      </c>
      <c r="V1203" s="1"/>
      <c r="W1203" s="39" t="str">
        <f ca="1">IF(OR($A1203=0,$A1203="S",$A1203&gt;CFF!$A$9),"",MAX(W$11:OFFSET(W1203,-1,0))+1)</f>
        <v/>
      </c>
      <c r="X1203" s="4" t="str">
        <f t="shared" ref="X1203:X1218" si="1544">IF(AND($J1203=$G$2,$N1203&lt;&gt;"",$M1203&lt;&gt;""),CONCATENATE($M1203,"-",$N1203))</f>
        <v>Rec. Humanos-002</v>
      </c>
      <c r="Y1203" s="39">
        <f t="shared" ca="1" si="1533"/>
        <v>4</v>
      </c>
      <c r="Z1203" s="1"/>
      <c r="AA1203" s="133">
        <f>IF($J1203=$G$2,ROUND(IF(ISNUMBER(S1203),S1203,IF(LEFT(S1203,2)="DI",HLOOKUP(S1203,DADOS!$T$29:$X$30,2,FALSE),0)),4),"")</f>
        <v>0.25</v>
      </c>
      <c r="AB1203" s="2"/>
    </row>
    <row r="1204" spans="1:28">
      <c r="A1204" t="str">
        <f t="shared" si="1530"/>
        <v>S</v>
      </c>
      <c r="B1204">
        <f t="shared" si="1531"/>
        <v>0</v>
      </c>
      <c r="C1204">
        <f t="shared" ca="1" si="1534"/>
        <v>13</v>
      </c>
      <c r="D1204">
        <f t="shared" ca="1" si="1535"/>
        <v>8</v>
      </c>
      <c r="E1204">
        <f t="shared" ca="1" si="1536"/>
        <v>0</v>
      </c>
      <c r="F1204">
        <f t="shared" ca="1" si="1537"/>
        <v>0</v>
      </c>
      <c r="G1204">
        <f t="shared" ca="1" si="1538"/>
        <v>2</v>
      </c>
      <c r="H1204">
        <f ca="1">IF(OR($A1204="S",$A1204=0),0,MATCH(0,OFFSET($B1204,1,$A1204,ROW($A$1504)-ROW($A1204)),0))</f>
        <v>0</v>
      </c>
      <c r="I1204">
        <f ca="1">IF(OR($A1204="S",$A1204=0),0,MATCH(OFFSET($B1204,0,$A1204)+1,OFFSET($B1204,1,$A1204,ROW($A$1504)-ROW($A1204)),0))</f>
        <v>0</v>
      </c>
      <c r="J1204" s="132" t="s">
        <v>29</v>
      </c>
      <c r="K1204" s="121" t="str">
        <f t="shared" ca="1" si="1532"/>
        <v>13.8.2.</v>
      </c>
      <c r="L1204" s="137" t="str">
        <f t="shared" ca="1" si="1539"/>
        <v>Cotação</v>
      </c>
      <c r="M1204" s="122" t="s">
        <v>78</v>
      </c>
      <c r="N1204" s="139" t="s">
        <v>151</v>
      </c>
      <c r="O1204" s="137" t="str">
        <f ca="1">IF(NOT(ISERROR($Y1204)),IF($Y1204&lt;&gt;FALSE,INDEX(Banco,$Y1204,5),""),"")</f>
        <v xml:space="preserve">Administrador (Técnico de Apoio) </v>
      </c>
      <c r="P1204" s="138" t="str">
        <f t="shared" ca="1" si="1540"/>
        <v>Horas</v>
      </c>
      <c r="Q1204" s="134">
        <v>5</v>
      </c>
      <c r="R1204" s="124">
        <f t="shared" ca="1" si="1541"/>
        <v>103.65</v>
      </c>
      <c r="S1204" s="136" t="s">
        <v>62</v>
      </c>
      <c r="T1204" s="123">
        <f t="shared" ca="1" si="1542"/>
        <v>129.56</v>
      </c>
      <c r="U1204" s="126">
        <f t="shared" ca="1" si="1543"/>
        <v>647.79999999999995</v>
      </c>
      <c r="V1204" s="1"/>
      <c r="W1204" s="39" t="str">
        <f ca="1">IF(OR($A1204=0,$A1204="S",$A1204&gt;CFF!$A$9),"",MAX(W$11:OFFSET(W1204,-1,0))+1)</f>
        <v/>
      </c>
      <c r="X1204" s="4" t="str">
        <f t="shared" si="1544"/>
        <v>Rec. Humanos-003</v>
      </c>
      <c r="Y1204" s="39">
        <f t="shared" ca="1" si="1533"/>
        <v>5</v>
      </c>
      <c r="Z1204" s="1"/>
      <c r="AA1204" s="133">
        <f>IF($J1204=$G$2,ROUND(IF(ISNUMBER(S1204),S1204,IF(LEFT(S1204,2)="DI",HLOOKUP(S1204,DADOS!$T$29:$X$30,2,FALSE),0)),4),"")</f>
        <v>0.25</v>
      </c>
      <c r="AB1204" s="2"/>
    </row>
    <row r="1205" spans="1:28">
      <c r="A1205" t="str">
        <f t="shared" si="1530"/>
        <v>S</v>
      </c>
      <c r="B1205">
        <f t="shared" si="1531"/>
        <v>0</v>
      </c>
      <c r="C1205">
        <f t="shared" ca="1" si="1534"/>
        <v>13</v>
      </c>
      <c r="D1205">
        <f t="shared" ca="1" si="1535"/>
        <v>8</v>
      </c>
      <c r="E1205">
        <f t="shared" ca="1" si="1536"/>
        <v>0</v>
      </c>
      <c r="F1205">
        <f t="shared" ca="1" si="1537"/>
        <v>0</v>
      </c>
      <c r="G1205">
        <f t="shared" ca="1" si="1538"/>
        <v>3</v>
      </c>
      <c r="H1205">
        <f ca="1">IF(OR($A1205="S",$A1205=0),0,MATCH(0,OFFSET($B1205,1,$A1205,ROW($A$1504)-ROW($A1205)),0))</f>
        <v>0</v>
      </c>
      <c r="I1205">
        <f ca="1">IF(OR($A1205="S",$A1205=0),0,MATCH(OFFSET($B1205,0,$A1205)+1,OFFSET($B1205,1,$A1205,ROW($A$1504)-ROW($A1205)),0))</f>
        <v>0</v>
      </c>
      <c r="J1205" s="132" t="s">
        <v>29</v>
      </c>
      <c r="K1205" s="121" t="str">
        <f t="shared" ca="1" si="1532"/>
        <v>13.8.3.</v>
      </c>
      <c r="L1205" s="137" t="str">
        <f t="shared" ca="1" si="1539"/>
        <v>SENAI</v>
      </c>
      <c r="M1205" s="122" t="s">
        <v>80</v>
      </c>
      <c r="N1205" s="139" t="s">
        <v>222</v>
      </c>
      <c r="O1205" s="137" t="str">
        <f ca="1">IF(NOT(ISERROR($Y1205)),IF($Y1205&lt;&gt;FALSE,INDEX(Banco,$Y1205,5),""),"")</f>
        <v>Panificação (curso completo)</v>
      </c>
      <c r="P1205" s="138" t="str">
        <f t="shared" ca="1" si="1540"/>
        <v>Vagas</v>
      </c>
      <c r="Q1205" s="134">
        <v>30</v>
      </c>
      <c r="R1205" s="124">
        <f t="shared" ca="1" si="1541"/>
        <v>700.63</v>
      </c>
      <c r="S1205" s="136" t="s">
        <v>62</v>
      </c>
      <c r="T1205" s="123">
        <f t="shared" ca="1" si="1542"/>
        <v>875.79</v>
      </c>
      <c r="U1205" s="126">
        <f t="shared" ca="1" si="1543"/>
        <v>26273.7</v>
      </c>
      <c r="V1205" s="1"/>
      <c r="W1205" s="39" t="str">
        <f ca="1">IF(OR($A1205=0,$A1205="S",$A1205&gt;CFF!$A$9),"",MAX(W$11:OFFSET(W1205,-1,0))+1)</f>
        <v/>
      </c>
      <c r="X1205" s="4" t="str">
        <f t="shared" si="1544"/>
        <v>Serv. Terc.-043</v>
      </c>
      <c r="Y1205" s="39">
        <f t="shared" ca="1" si="1533"/>
        <v>123</v>
      </c>
      <c r="Z1205" s="1"/>
      <c r="AA1205" s="133">
        <f>IF($J1205=$G$2,ROUND(IF(ISNUMBER(S1205),S1205,IF(LEFT(S1205,2)="DI",HLOOKUP(S1205,DADOS!$T$29:$X$30,2,FALSE),0)),4),"")</f>
        <v>0.25</v>
      </c>
      <c r="AB1205" s="2"/>
    </row>
    <row r="1206" spans="1:28">
      <c r="A1206">
        <f t="shared" si="1530"/>
        <v>1</v>
      </c>
      <c r="B1206">
        <f t="shared" ca="1" si="1531"/>
        <v>138</v>
      </c>
      <c r="C1206">
        <f ca="1">IF($A1206=1,OFFSET(C1206,-1,0)+1,OFFSET(C1206,-1,0))</f>
        <v>14</v>
      </c>
      <c r="D1206">
        <f ca="1">IF($A1206=1,0,IF($A1206=2,OFFSET(D1206,-1,0)+1,OFFSET(D1206,-1,0)))</f>
        <v>0</v>
      </c>
      <c r="E1206">
        <f ca="1">IF(AND($A1206&lt;=2,$A1206&lt;&gt;0),0,IF($A1206=3,OFFSET(E1206,-1,0)+1,OFFSET(E1206,-1,0)))</f>
        <v>0</v>
      </c>
      <c r="F1206">
        <f ca="1">IF(AND($A1206&lt;=3,$A1206&lt;&gt;0),0,IF($A1206=4,OFFSET(F1206,-1,0)+1,OFFSET(F1206,-1,0)))</f>
        <v>0</v>
      </c>
      <c r="G1206">
        <f ca="1">IF(AND($A1206&lt;=4,$A1206&lt;&gt;0),0,IF($A1206="S",OFFSET(G1206,-1,0)+1,OFFSET(G1206,-1,0)))</f>
        <v>0</v>
      </c>
      <c r="H1206">
        <f ca="1">IF(OR($A1206="S",$A1206=0),0,MATCH(0,OFFSET($B1206,1,$A1206,ROW($A$1504)-ROW($A1206)),0))</f>
        <v>298</v>
      </c>
      <c r="I1206">
        <f ca="1">IF(OR($A1206="S",$A1206=0),0,MATCH(OFFSET($B1206,0,$A1206)+1,OFFSET($B1206,1,$A1206,ROW($A$1504)-ROW($A1206)),0))</f>
        <v>138</v>
      </c>
      <c r="J1206" s="132" t="s">
        <v>67</v>
      </c>
      <c r="K1206" s="121" t="str">
        <f t="shared" ca="1" si="1532"/>
        <v>14.</v>
      </c>
      <c r="L1206" s="137" t="str">
        <f ca="1">IF(NOT(ISERROR($Y1206)),IF($Y1206&lt;&gt;FALSE,INDEX(Banco,$Y1206,4),""),"")</f>
        <v/>
      </c>
      <c r="M1206" s="122"/>
      <c r="N1206" s="139"/>
      <c r="O1206" s="137" t="s">
        <v>340</v>
      </c>
      <c r="P1206" s="138" t="str">
        <f ca="1">IF(NOT(ISERROR($Y1206)),IF($Y1206&lt;&gt;FALSE,INDEX(Banco,$Y1206,6),""),"")</f>
        <v/>
      </c>
      <c r="Q1206" s="134"/>
      <c r="R1206" s="124">
        <f ca="1">IF(NOT(ISERROR($Y1206)),IF($Y1206&lt;&gt;FALSE,INDEX(Banco,$Y1206,7),0),0)</f>
        <v>0</v>
      </c>
      <c r="S1206" s="136" t="s">
        <v>62</v>
      </c>
      <c r="T1206" s="123">
        <f>IF($J1206=$G$2,ROUND(ROUND($R1206,2)*IF($R$9="Preço Unitário (R$)",1,1+$AA1206),2),0)</f>
        <v>0</v>
      </c>
      <c r="U1206" s="126">
        <f ca="1">IF($A1206="S",VTOTAL1,IF($A1206=0,0,ROUND(SomaAgrup,2)))</f>
        <v>105730.16</v>
      </c>
      <c r="V1206" s="1"/>
      <c r="W1206" s="39">
        <f ca="1">IF(OR($A1206=0,$A1206="S",$A1206&gt;CFF!$A$9),"",MAX(W$11:OFFSET(W1206,-1,0))+1)</f>
        <v>108</v>
      </c>
      <c r="X1206" s="4" t="b">
        <f>IF(AND($J1206=$G$2,$N1206&lt;&gt;"",$M1206&lt;&gt;""),CONCATENATE($M1206,"-",$N1206))</f>
        <v>0</v>
      </c>
      <c r="Y1206" s="39" t="b">
        <f t="shared" ca="1" si="1533"/>
        <v>0</v>
      </c>
      <c r="Z1206" s="1"/>
      <c r="AA1206" s="133" t="str">
        <f>IF($J1206=$G$2,ROUND(IF(ISNUMBER(S1206),S1206,IF(LEFT(S1206,2)="DI",HLOOKUP(S1206,DADOS!$T$29:$X$30,2,FALSE),0)),4),"")</f>
        <v/>
      </c>
      <c r="AB1206" s="2"/>
    </row>
    <row r="1207" spans="1:28">
      <c r="A1207">
        <f>CHOOSE(1+LOG(1+2*(J1207=$C$2)+4*(J1207=$D$2)+8*(J1207=$E$2)+16*(J1207=$F$2)+32*(J1207=$G$2),2),0,1,2,3,4,"S")</f>
        <v>2</v>
      </c>
      <c r="B1207">
        <f ca="1">IF(OR(A1207="S",A1207=0),0,IF(ISERROR(I1207),H1207,SMALL(H1207:I1207,1)))</f>
        <v>24</v>
      </c>
      <c r="C1207">
        <f ca="1">IF($A1207=1,OFFSET(C1207,-1,0)+1,OFFSET(C1207,-1,0))</f>
        <v>14</v>
      </c>
      <c r="D1207">
        <f ca="1">IF($A1207=1,0,IF($A1207=2,OFFSET(D1207,-1,0)+1,OFFSET(D1207,-1,0)))</f>
        <v>1</v>
      </c>
      <c r="E1207">
        <f ca="1">IF(AND($A1207&lt;=2,$A1207&lt;&gt;0),0,IF($A1207=3,OFFSET(E1207,-1,0)+1,OFFSET(E1207,-1,0)))</f>
        <v>0</v>
      </c>
      <c r="F1207">
        <f ca="1">IF(AND($A1207&lt;=3,$A1207&lt;&gt;0),0,IF($A1207=4,OFFSET(F1207,-1,0)+1,OFFSET(F1207,-1,0)))</f>
        <v>0</v>
      </c>
      <c r="G1207">
        <f ca="1">IF(AND($A1207&lt;=4,$A1207&lt;&gt;0),0,IF($A1207="S",OFFSET(G1207,-1,0)+1,OFFSET(G1207,-1,0)))</f>
        <v>0</v>
      </c>
      <c r="H1207">
        <f ca="1">IF(OR($A1207="S",$A1207=0),0,MATCH(0,OFFSET($B1207,1,$A1207,ROW($A$1504)-ROW($A1207)),0))</f>
        <v>137</v>
      </c>
      <c r="I1207">
        <f ca="1">IF(OR($A1207="S",$A1207=0),0,MATCH(OFFSET($B1207,0,$A1207)+1,OFFSET($B1207,1,$A1207,ROW($A$1504)-ROW($A1207)),0))</f>
        <v>24</v>
      </c>
      <c r="J1207" s="132" t="s">
        <v>68</v>
      </c>
      <c r="K1207" s="121" t="str">
        <f ca="1">IF($A1207=0,"-",CONCATENATE(C1207&amp;".",IF(AND($A$5&gt;=2,$A1207&gt;=2),D1207&amp;".",""),IF(AND($A$5&gt;=3,$A1207&gt;=3),E1207&amp;".",""),IF(AND($A$5&gt;=4,$A1207&gt;=4),F1207&amp;".",""),IF($A1207="S",G1207&amp;".","")))</f>
        <v>14.1.</v>
      </c>
      <c r="L1207" s="137" t="str">
        <f ca="1">IF(NOT(ISERROR($Y1207)),IF($Y1207&lt;&gt;FALSE,INDEX(Banco,$Y1207,4),""),"")</f>
        <v/>
      </c>
      <c r="M1207" s="122"/>
      <c r="N1207" s="139"/>
      <c r="O1207" s="137" t="s">
        <v>436</v>
      </c>
      <c r="P1207" s="138" t="str">
        <f ca="1">IF(NOT(ISERROR($Y1207)),IF($Y1207&lt;&gt;FALSE,INDEX(Banco,$Y1207,6),""),"")</f>
        <v/>
      </c>
      <c r="Q1207" s="134"/>
      <c r="R1207" s="124">
        <f ca="1">IF(NOT(ISERROR($Y1207)),IF($Y1207&lt;&gt;FALSE,INDEX(Banco,$Y1207,7),0),0)</f>
        <v>0</v>
      </c>
      <c r="S1207" s="136" t="s">
        <v>62</v>
      </c>
      <c r="T1207" s="123">
        <f>IF($J1207=$G$2,ROUND(ROUND($R1207,2)*IF($R$9="Preço Unitário (R$)",1,1+$AA1207),2),0)</f>
        <v>0</v>
      </c>
      <c r="U1207" s="126">
        <f ca="1">IF($A1207="S",VTOTAL1,IF($A1207=0,0,ROUND(SomaAgrup,2)))</f>
        <v>25934.21</v>
      </c>
      <c r="V1207" s="1"/>
      <c r="W1207" s="39">
        <f ca="1">IF(OR($A1207=0,$A1207="S",$A1207&gt;CFF!$A$9),"",MAX(W$11:OFFSET(W1207,-1,0))+1)</f>
        <v>109</v>
      </c>
      <c r="X1207" s="4" t="b">
        <f>IF(AND($J1207=$G$2,$N1207&lt;&gt;"",$M1207&lt;&gt;""),CONCATENATE($M1207,"-",$N1207))</f>
        <v>0</v>
      </c>
      <c r="Y1207" s="39" t="b">
        <f ca="1">IF(X1207&lt;&gt;FALSE,MATCH(X1207,OFFSET(Banco,0,0,,1),0))</f>
        <v>0</v>
      </c>
      <c r="Z1207" s="1"/>
      <c r="AA1207" s="133" t="str">
        <f>IF($J1207=$G$2,ROUND(IF(ISNUMBER(S1207),S1207,IF(LEFT(S1207,2)="DI",HLOOKUP(S1207,DADOS!$T$29:$X$30,2,FALSE),0)),4),"")</f>
        <v/>
      </c>
      <c r="AB1207" s="2"/>
    </row>
    <row r="1208" spans="1:28">
      <c r="A1208" t="str">
        <f t="shared" si="1530"/>
        <v>S</v>
      </c>
      <c r="B1208">
        <f t="shared" si="1531"/>
        <v>0</v>
      </c>
      <c r="C1208">
        <f t="shared" ca="1" si="1534"/>
        <v>14</v>
      </c>
      <c r="D1208">
        <f t="shared" ca="1" si="1535"/>
        <v>1</v>
      </c>
      <c r="E1208">
        <f t="shared" ca="1" si="1536"/>
        <v>0</v>
      </c>
      <c r="F1208">
        <f t="shared" ca="1" si="1537"/>
        <v>0</v>
      </c>
      <c r="G1208">
        <f t="shared" ca="1" si="1538"/>
        <v>1</v>
      </c>
      <c r="H1208">
        <f ca="1">IF(OR($A1208="S",$A1208=0),0,MATCH(0,OFFSET($B1208,1,$A1208,ROW($A$1504)-ROW($A1208)),0))</f>
        <v>0</v>
      </c>
      <c r="I1208">
        <f ca="1">IF(OR($A1208="S",$A1208=0),0,MATCH(OFFSET($B1208,0,$A1208)+1,OFFSET($B1208,1,$A1208,ROW($A$1504)-ROW($A1208)),0))</f>
        <v>0</v>
      </c>
      <c r="J1208" s="132" t="s">
        <v>29</v>
      </c>
      <c r="K1208" s="121" t="str">
        <f t="shared" ca="1" si="1532"/>
        <v>14.1.1.</v>
      </c>
      <c r="L1208" s="137" t="str">
        <f t="shared" ca="1" si="1539"/>
        <v>CRESS</v>
      </c>
      <c r="M1208" s="122" t="s">
        <v>78</v>
      </c>
      <c r="N1208" s="139" t="s">
        <v>149</v>
      </c>
      <c r="O1208" s="137" t="str">
        <f t="shared" ref="O1208:O1230" ca="1" si="1545">IF(NOT(ISERROR($Y1208)),IF($Y1208&lt;&gt;FALSE,INDEX(Banco,$Y1208,5),""),"")</f>
        <v>Responsável Técnica</v>
      </c>
      <c r="P1208" s="138" t="str">
        <f t="shared" ca="1" si="1540"/>
        <v>Horas</v>
      </c>
      <c r="Q1208" s="134">
        <v>10</v>
      </c>
      <c r="R1208" s="124">
        <f t="shared" ca="1" si="1541"/>
        <v>150.28</v>
      </c>
      <c r="S1208" s="136" t="s">
        <v>62</v>
      </c>
      <c r="T1208" s="123">
        <f t="shared" ca="1" si="1542"/>
        <v>187.85</v>
      </c>
      <c r="U1208" s="126">
        <f t="shared" ca="1" si="1543"/>
        <v>1878.5</v>
      </c>
      <c r="V1208" s="1"/>
      <c r="W1208" s="39" t="str">
        <f ca="1">IF(OR($A1208=0,$A1208="S",$A1208&gt;CFF!$A$9),"",MAX(W$11:OFFSET(W1208,-1,0))+1)</f>
        <v/>
      </c>
      <c r="X1208" s="4" t="str">
        <f t="shared" si="1544"/>
        <v>Rec. Humanos-001</v>
      </c>
      <c r="Y1208" s="39">
        <f t="shared" ca="1" si="1533"/>
        <v>3</v>
      </c>
      <c r="Z1208" s="1"/>
      <c r="AA1208" s="133">
        <f>IF($J1208=$G$2,ROUND(IF(ISNUMBER(S1208),S1208,IF(LEFT(S1208,2)="DI",HLOOKUP(S1208,DADOS!$T$29:$X$30,2,FALSE),0)),4),"")</f>
        <v>0.25</v>
      </c>
      <c r="AB1208" s="2"/>
    </row>
    <row r="1209" spans="1:28">
      <c r="A1209" t="str">
        <f t="shared" ref="A1209:A1218" si="1546">CHOOSE(1+LOG(1+2*(J1209=$C$2)+4*(J1209=$D$2)+8*(J1209=$E$2)+16*(J1209=$F$2)+32*(J1209=$G$2),2),0,1,2,3,4,"S")</f>
        <v>S</v>
      </c>
      <c r="B1209">
        <f t="shared" ref="B1209:B1218" si="1547">IF(OR(A1209="S",A1209=0),0,IF(ISERROR(I1209),H1209,SMALL(H1209:I1209,1)))</f>
        <v>0</v>
      </c>
      <c r="C1209">
        <f t="shared" ca="1" si="1534"/>
        <v>14</v>
      </c>
      <c r="D1209">
        <f t="shared" ca="1" si="1535"/>
        <v>1</v>
      </c>
      <c r="E1209">
        <f t="shared" ca="1" si="1536"/>
        <v>0</v>
      </c>
      <c r="F1209">
        <f t="shared" ca="1" si="1537"/>
        <v>0</v>
      </c>
      <c r="G1209">
        <f t="shared" ca="1" si="1538"/>
        <v>2</v>
      </c>
      <c r="H1209">
        <f ca="1">IF(OR($A1209="S",$A1209=0),0,MATCH(0,OFFSET($B1209,1,$A1209,ROW($A$1504)-ROW($A1209)),0))</f>
        <v>0</v>
      </c>
      <c r="I1209">
        <f ca="1">IF(OR($A1209="S",$A1209=0),0,MATCH(OFFSET($B1209,0,$A1209)+1,OFFSET($B1209,1,$A1209,ROW($A$1504)-ROW($A1209)),0))</f>
        <v>0</v>
      </c>
      <c r="J1209" s="132" t="s">
        <v>29</v>
      </c>
      <c r="K1209" s="121" t="str">
        <f t="shared" ref="K1209:K1218" ca="1" si="1548">IF($A1209=0,"-",CONCATENATE(C1209&amp;".",IF(AND($A$5&gt;=2,$A1209&gt;=2),D1209&amp;".",""),IF(AND($A$5&gt;=3,$A1209&gt;=3),E1209&amp;".",""),IF(AND($A$5&gt;=4,$A1209&gt;=4),F1209&amp;".",""),IF($A1209="S",G1209&amp;".","")))</f>
        <v>14.1.2.</v>
      </c>
      <c r="L1209" s="137" t="str">
        <f t="shared" ca="1" si="1539"/>
        <v>CRESS</v>
      </c>
      <c r="M1209" s="122" t="s">
        <v>78</v>
      </c>
      <c r="N1209" s="139" t="s">
        <v>152</v>
      </c>
      <c r="O1209" s="137" t="str">
        <f t="shared" ca="1" si="1545"/>
        <v>Assistente Social</v>
      </c>
      <c r="P1209" s="138" t="str">
        <f t="shared" ca="1" si="1540"/>
        <v>Horas</v>
      </c>
      <c r="Q1209" s="134">
        <v>6</v>
      </c>
      <c r="R1209" s="124">
        <f t="shared" ca="1" si="1541"/>
        <v>133.81</v>
      </c>
      <c r="S1209" s="136" t="s">
        <v>62</v>
      </c>
      <c r="T1209" s="123">
        <f t="shared" ca="1" si="1542"/>
        <v>167.26</v>
      </c>
      <c r="U1209" s="126">
        <f t="shared" ca="1" si="1543"/>
        <v>1003.56</v>
      </c>
      <c r="V1209" s="1"/>
      <c r="W1209" s="39" t="str">
        <f ca="1">IF(OR($A1209=0,$A1209="S",$A1209&gt;CFF!$A$9),"",MAX(W$11:OFFSET(W1209,-1,0))+1)</f>
        <v/>
      </c>
      <c r="X1209" s="4" t="str">
        <f t="shared" si="1544"/>
        <v>Rec. Humanos-002</v>
      </c>
      <c r="Y1209" s="39">
        <f t="shared" ref="Y1209:Y1218" ca="1" si="1549">IF(X1209&lt;&gt;FALSE,MATCH(X1209,OFFSET(Banco,0,0,,1),0))</f>
        <v>4</v>
      </c>
      <c r="Z1209" s="1"/>
      <c r="AA1209" s="133">
        <f>IF($J1209=$G$2,ROUND(IF(ISNUMBER(S1209),S1209,IF(LEFT(S1209,2)="DI",HLOOKUP(S1209,DADOS!$T$29:$X$30,2,FALSE),0)),4),"")</f>
        <v>0.25</v>
      </c>
      <c r="AB1209" s="2"/>
    </row>
    <row r="1210" spans="1:28">
      <c r="A1210" t="str">
        <f t="shared" si="1546"/>
        <v>S</v>
      </c>
      <c r="B1210">
        <f t="shared" si="1547"/>
        <v>0</v>
      </c>
      <c r="C1210">
        <f t="shared" ca="1" si="1534"/>
        <v>14</v>
      </c>
      <c r="D1210">
        <f t="shared" ca="1" si="1535"/>
        <v>1</v>
      </c>
      <c r="E1210">
        <f t="shared" ca="1" si="1536"/>
        <v>0</v>
      </c>
      <c r="F1210">
        <f t="shared" ca="1" si="1537"/>
        <v>0</v>
      </c>
      <c r="G1210">
        <f t="shared" ca="1" si="1538"/>
        <v>3</v>
      </c>
      <c r="H1210">
        <f ca="1">IF(OR($A1210="S",$A1210=0),0,MATCH(0,OFFSET($B1210,1,$A1210,ROW($A$1504)-ROW($A1210)),0))</f>
        <v>0</v>
      </c>
      <c r="I1210">
        <f ca="1">IF(OR($A1210="S",$A1210=0),0,MATCH(OFFSET($B1210,0,$A1210)+1,OFFSET($B1210,1,$A1210,ROW($A$1504)-ROW($A1210)),0))</f>
        <v>0</v>
      </c>
      <c r="J1210" s="132" t="s">
        <v>29</v>
      </c>
      <c r="K1210" s="121" t="str">
        <f t="shared" ca="1" si="1548"/>
        <v>14.1.3.</v>
      </c>
      <c r="L1210" s="137" t="str">
        <f t="shared" ca="1" si="1539"/>
        <v>Cotação</v>
      </c>
      <c r="M1210" s="122" t="s">
        <v>78</v>
      </c>
      <c r="N1210" s="139" t="s">
        <v>151</v>
      </c>
      <c r="O1210" s="137" t="str">
        <f t="shared" ca="1" si="1545"/>
        <v xml:space="preserve">Administrador (Técnico de Apoio) </v>
      </c>
      <c r="P1210" s="138" t="str">
        <f t="shared" ca="1" si="1540"/>
        <v>Horas</v>
      </c>
      <c r="Q1210" s="134">
        <v>6</v>
      </c>
      <c r="R1210" s="124">
        <f t="shared" ca="1" si="1541"/>
        <v>103.65</v>
      </c>
      <c r="S1210" s="136" t="s">
        <v>62</v>
      </c>
      <c r="T1210" s="123">
        <f t="shared" ca="1" si="1542"/>
        <v>129.56</v>
      </c>
      <c r="U1210" s="126">
        <f t="shared" ca="1" si="1543"/>
        <v>777.36</v>
      </c>
      <c r="V1210" s="1"/>
      <c r="W1210" s="39" t="str">
        <f ca="1">IF(OR($A1210=0,$A1210="S",$A1210&gt;CFF!$A$9),"",MAX(W$11:OFFSET(W1210,-1,0))+1)</f>
        <v/>
      </c>
      <c r="X1210" s="4" t="str">
        <f t="shared" si="1544"/>
        <v>Rec. Humanos-003</v>
      </c>
      <c r="Y1210" s="39">
        <f t="shared" ca="1" si="1549"/>
        <v>5</v>
      </c>
      <c r="Z1210" s="1"/>
      <c r="AA1210" s="133">
        <f>IF($J1210=$G$2,ROUND(IF(ISNUMBER(S1210),S1210,IF(LEFT(S1210,2)="DI",HLOOKUP(S1210,DADOS!$T$29:$X$30,2,FALSE),0)),4),"")</f>
        <v>0.25</v>
      </c>
      <c r="AB1210" s="2"/>
    </row>
    <row r="1211" spans="1:28">
      <c r="A1211" t="str">
        <f t="shared" si="1546"/>
        <v>S</v>
      </c>
      <c r="B1211">
        <f t="shared" si="1547"/>
        <v>0</v>
      </c>
      <c r="C1211">
        <f t="shared" ca="1" si="1534"/>
        <v>14</v>
      </c>
      <c r="D1211">
        <f t="shared" ca="1" si="1535"/>
        <v>1</v>
      </c>
      <c r="E1211">
        <f t="shared" ca="1" si="1536"/>
        <v>0</v>
      </c>
      <c r="F1211">
        <f t="shared" ca="1" si="1537"/>
        <v>0</v>
      </c>
      <c r="G1211">
        <f t="shared" ca="1" si="1538"/>
        <v>4</v>
      </c>
      <c r="H1211">
        <f ca="1">IF(OR($A1211="S",$A1211=0),0,MATCH(0,OFFSET($B1211,1,$A1211,ROW($A$1504)-ROW($A1211)),0))</f>
        <v>0</v>
      </c>
      <c r="I1211">
        <f ca="1">IF(OR($A1211="S",$A1211=0),0,MATCH(OFFSET($B1211,0,$A1211)+1,OFFSET($B1211,1,$A1211,ROW($A$1504)-ROW($A1211)),0))</f>
        <v>0</v>
      </c>
      <c r="J1211" s="132" t="s">
        <v>29</v>
      </c>
      <c r="K1211" s="121" t="str">
        <f t="shared" ca="1" si="1548"/>
        <v>14.1.4.</v>
      </c>
      <c r="L1211" s="137" t="str">
        <f t="shared" ca="1" si="1539"/>
        <v>SINE</v>
      </c>
      <c r="M1211" s="122" t="s">
        <v>78</v>
      </c>
      <c r="N1211" s="139" t="s">
        <v>153</v>
      </c>
      <c r="O1211" s="137" t="str">
        <f t="shared" ca="1" si="1545"/>
        <v>Estagiários</v>
      </c>
      <c r="P1211" s="138" t="str">
        <f t="shared" ca="1" si="1540"/>
        <v>Horas</v>
      </c>
      <c r="Q1211" s="134">
        <v>16</v>
      </c>
      <c r="R1211" s="124">
        <f t="shared" ca="1" si="1541"/>
        <v>9.7899999999999991</v>
      </c>
      <c r="S1211" s="136" t="s">
        <v>62</v>
      </c>
      <c r="T1211" s="123">
        <f t="shared" ca="1" si="1542"/>
        <v>12.24</v>
      </c>
      <c r="U1211" s="126">
        <f t="shared" ca="1" si="1543"/>
        <v>195.84</v>
      </c>
      <c r="V1211" s="1"/>
      <c r="W1211" s="39" t="str">
        <f ca="1">IF(OR($A1211=0,$A1211="S",$A1211&gt;CFF!$A$9),"",MAX(W$11:OFFSET(W1211,-1,0))+1)</f>
        <v/>
      </c>
      <c r="X1211" s="4" t="str">
        <f t="shared" si="1544"/>
        <v>Rec. Humanos-004</v>
      </c>
      <c r="Y1211" s="39">
        <f t="shared" ca="1" si="1549"/>
        <v>6</v>
      </c>
      <c r="Z1211" s="1"/>
      <c r="AA1211" s="133">
        <f>IF($J1211=$G$2,ROUND(IF(ISNUMBER(S1211),S1211,IF(LEFT(S1211,2)="DI",HLOOKUP(S1211,DADOS!$T$29:$X$30,2,FALSE),0)),4),"")</f>
        <v>0.25</v>
      </c>
      <c r="AB1211" s="2"/>
    </row>
    <row r="1212" spans="1:28">
      <c r="A1212" t="str">
        <f t="shared" si="1546"/>
        <v>S</v>
      </c>
      <c r="B1212">
        <f t="shared" si="1547"/>
        <v>0</v>
      </c>
      <c r="C1212">
        <f t="shared" ca="1" si="1534"/>
        <v>14</v>
      </c>
      <c r="D1212">
        <f t="shared" ca="1" si="1535"/>
        <v>1</v>
      </c>
      <c r="E1212">
        <f t="shared" ca="1" si="1536"/>
        <v>0</v>
      </c>
      <c r="F1212">
        <f t="shared" ca="1" si="1537"/>
        <v>0</v>
      </c>
      <c r="G1212">
        <f t="shared" ca="1" si="1538"/>
        <v>5</v>
      </c>
      <c r="H1212">
        <f ca="1">IF(OR($A1212="S",$A1212=0),0,MATCH(0,OFFSET($B1212,1,$A1212,ROW($A$1504)-ROW($A1212)),0))</f>
        <v>0</v>
      </c>
      <c r="I1212">
        <f ca="1">IF(OR($A1212="S",$A1212=0),0,MATCH(OFFSET($B1212,0,$A1212)+1,OFFSET($B1212,1,$A1212,ROW($A$1504)-ROW($A1212)),0))</f>
        <v>0</v>
      </c>
      <c r="J1212" s="132" t="s">
        <v>29</v>
      </c>
      <c r="K1212" s="121" t="str">
        <f t="shared" ca="1" si="1548"/>
        <v>14.1.5.</v>
      </c>
      <c r="L1212" s="137" t="str">
        <f t="shared" ca="1" si="1539"/>
        <v>Cotação</v>
      </c>
      <c r="M1212" s="122" t="s">
        <v>80</v>
      </c>
      <c r="N1212" s="139" t="s">
        <v>149</v>
      </c>
      <c r="O1212" s="137" t="str">
        <f t="shared" ca="1" si="1545"/>
        <v>Fotocópias</v>
      </c>
      <c r="P1212" s="138" t="str">
        <f t="shared" ca="1" si="1540"/>
        <v>Unidade</v>
      </c>
      <c r="Q1212" s="134">
        <v>300</v>
      </c>
      <c r="R1212" s="124">
        <f t="shared" ca="1" si="1541"/>
        <v>0.3</v>
      </c>
      <c r="S1212" s="136" t="s">
        <v>62</v>
      </c>
      <c r="T1212" s="123">
        <f t="shared" ca="1" si="1542"/>
        <v>0.38</v>
      </c>
      <c r="U1212" s="126">
        <f t="shared" ca="1" si="1543"/>
        <v>114</v>
      </c>
      <c r="V1212" s="1"/>
      <c r="W1212" s="39" t="str">
        <f ca="1">IF(OR($A1212=0,$A1212="S",$A1212&gt;CFF!$A$9),"",MAX(W$11:OFFSET(W1212,-1,0))+1)</f>
        <v/>
      </c>
      <c r="X1212" s="4" t="str">
        <f t="shared" si="1544"/>
        <v>Serv. Terc.-001</v>
      </c>
      <c r="Y1212" s="39">
        <f t="shared" ca="1" si="1549"/>
        <v>81</v>
      </c>
      <c r="Z1212" s="1"/>
      <c r="AA1212" s="133">
        <f>IF($J1212=$G$2,ROUND(IF(ISNUMBER(S1212),S1212,IF(LEFT(S1212,2)="DI",HLOOKUP(S1212,DADOS!$T$29:$X$30,2,FALSE),0)),4),"")</f>
        <v>0.25</v>
      </c>
      <c r="AB1212" s="2"/>
    </row>
    <row r="1213" spans="1:28">
      <c r="A1213" t="str">
        <f>CHOOSE(1+LOG(1+2*(J1213=$C$2)+4*(J1213=$D$2)+8*(J1213=$E$2)+16*(J1213=$F$2)+32*(J1213=$G$2),2),0,1,2,3,4,"S")</f>
        <v>S</v>
      </c>
      <c r="B1213">
        <f>IF(OR(A1213="S",A1213=0),0,IF(ISERROR(I1213),H1213,SMALL(H1213:I1213,1)))</f>
        <v>0</v>
      </c>
      <c r="C1213">
        <f ca="1">IF($A1213=1,OFFSET(C1213,-1,0)+1,OFFSET(C1213,-1,0))</f>
        <v>14</v>
      </c>
      <c r="D1213">
        <f ca="1">IF($A1213=1,0,IF($A1213=2,OFFSET(D1213,-1,0)+1,OFFSET(D1213,-1,0)))</f>
        <v>1</v>
      </c>
      <c r="E1213">
        <f ca="1">IF(AND($A1213&lt;=2,$A1213&lt;&gt;0),0,IF($A1213=3,OFFSET(E1213,-1,0)+1,OFFSET(E1213,-1,0)))</f>
        <v>0</v>
      </c>
      <c r="F1213">
        <f ca="1">IF(AND($A1213&lt;=3,$A1213&lt;&gt;0),0,IF($A1213=4,OFFSET(F1213,-1,0)+1,OFFSET(F1213,-1,0)))</f>
        <v>0</v>
      </c>
      <c r="G1213">
        <f ca="1">IF(AND($A1213&lt;=4,$A1213&lt;&gt;0),0,IF($A1213="S",OFFSET(G1213,-1,0)+1,OFFSET(G1213,-1,0)))</f>
        <v>6</v>
      </c>
      <c r="H1213">
        <f ca="1">IF(OR($A1213="S",$A1213=0),0,MATCH(0,OFFSET($B1213,1,$A1213,ROW($A$1504)-ROW($A1213)),0))</f>
        <v>0</v>
      </c>
      <c r="I1213">
        <f ca="1">IF(OR($A1213="S",$A1213=0),0,MATCH(OFFSET($B1213,0,$A1213)+1,OFFSET($B1213,1,$A1213,ROW($A$1504)-ROW($A1213)),0))</f>
        <v>0</v>
      </c>
      <c r="J1213" s="132" t="s">
        <v>29</v>
      </c>
      <c r="K1213" s="121" t="str">
        <f ca="1">IF($A1213=0,"-",CONCATENATE(C1213&amp;".",IF(AND($A$5&gt;=2,$A1213&gt;=2),D1213&amp;".",""),IF(AND($A$5&gt;=3,$A1213&gt;=3),E1213&amp;".",""),IF(AND($A$5&gt;=4,$A1213&gt;=4),F1213&amp;".",""),IF($A1213="S",G1213&amp;".","")))</f>
        <v>14.1.6.</v>
      </c>
      <c r="L1213" s="137" t="str">
        <f ca="1">IF(NOT(ISERROR($Y1213)),IF($Y1213&lt;&gt;FALSE,INDEX(Banco,$Y1213,4),""),"")</f>
        <v>Cotação</v>
      </c>
      <c r="M1213" s="122" t="s">
        <v>80</v>
      </c>
      <c r="N1213" s="139" t="s">
        <v>256</v>
      </c>
      <c r="O1213" s="137" t="str">
        <f ca="1">IF(NOT(ISERROR($Y1213)),IF($Y1213&lt;&gt;FALSE,INDEX(Banco,$Y1213,5),""),"")</f>
        <v>Instrutor/Monitor (Educação Fisíca)</v>
      </c>
      <c r="P1213" s="138" t="str">
        <f ca="1">IF(NOT(ISERROR($Y1213)),IF($Y1213&lt;&gt;FALSE,INDEX(Banco,$Y1213,6),""),"")</f>
        <v>Horas</v>
      </c>
      <c r="Q1213" s="134">
        <v>3</v>
      </c>
      <c r="R1213" s="124">
        <f ca="1">IF(NOT(ISERROR($Y1213)),IF($Y1213&lt;&gt;FALSE,INDEX(Banco,$Y1213,7),0),0)</f>
        <v>100</v>
      </c>
      <c r="S1213" s="136" t="s">
        <v>62</v>
      </c>
      <c r="T1213" s="123">
        <f ca="1">IF($J1213=$G$2,ROUND(ROUND($R1213,2)*IF($R$9="Preço Unitário (R$)",1,1+$AA1213),2),0)</f>
        <v>125</v>
      </c>
      <c r="U1213" s="126">
        <f ca="1">IF($A1213="S",VTOTAL1,IF($A1213=0,0,ROUND(SomaAgrup,2)))</f>
        <v>375</v>
      </c>
      <c r="V1213" s="1"/>
      <c r="W1213" s="39" t="str">
        <f ca="1">IF(OR($A1213=0,$A1213="S",$A1213&gt;CFF!$A$9),"",MAX(W$11:OFFSET(W1213,-1,0))+1)</f>
        <v/>
      </c>
      <c r="X1213" s="4" t="str">
        <f>IF(AND($J1213=$G$2,$N1213&lt;&gt;"",$M1213&lt;&gt;""),CONCATENATE($M1213,"-",$N1213))</f>
        <v>Serv. Terc.-017</v>
      </c>
      <c r="Y1213" s="39">
        <f ca="1">IF(X1213&lt;&gt;FALSE,MATCH(X1213,OFFSET(Banco,0,0,,1),0))</f>
        <v>97</v>
      </c>
      <c r="Z1213" s="1"/>
      <c r="AA1213" s="133">
        <f>IF($J1213=$G$2,ROUND(IF(ISNUMBER(S1213),S1213,IF(LEFT(S1213,2)="DI",HLOOKUP(S1213,DADOS!$T$29:$X$30,2,FALSE),0)),4),"")</f>
        <v>0.25</v>
      </c>
      <c r="AB1213" s="2"/>
    </row>
    <row r="1214" spans="1:28">
      <c r="A1214" t="str">
        <f t="shared" si="1546"/>
        <v>S</v>
      </c>
      <c r="B1214">
        <f t="shared" si="1547"/>
        <v>0</v>
      </c>
      <c r="C1214">
        <f t="shared" ca="1" si="1534"/>
        <v>14</v>
      </c>
      <c r="D1214">
        <f t="shared" ca="1" si="1535"/>
        <v>1</v>
      </c>
      <c r="E1214">
        <f t="shared" ca="1" si="1536"/>
        <v>0</v>
      </c>
      <c r="F1214">
        <f t="shared" ca="1" si="1537"/>
        <v>0</v>
      </c>
      <c r="G1214">
        <f t="shared" ca="1" si="1538"/>
        <v>7</v>
      </c>
      <c r="H1214">
        <f ca="1">IF(OR($A1214="S",$A1214=0),0,MATCH(0,OFFSET($B1214,1,$A1214,ROW($A$1504)-ROW($A1214)),0))</f>
        <v>0</v>
      </c>
      <c r="I1214">
        <f ca="1">IF(OR($A1214="S",$A1214=0),0,MATCH(OFFSET($B1214,0,$A1214)+1,OFFSET($B1214,1,$A1214,ROW($A$1504)-ROW($A1214)),0))</f>
        <v>0</v>
      </c>
      <c r="J1214" s="132" t="s">
        <v>29</v>
      </c>
      <c r="K1214" s="121" t="str">
        <f t="shared" ca="1" si="1548"/>
        <v>14.1.7.</v>
      </c>
      <c r="L1214" s="137" t="str">
        <f t="shared" ca="1" si="1539"/>
        <v>Cotação</v>
      </c>
      <c r="M1214" s="122" t="s">
        <v>80</v>
      </c>
      <c r="N1214" s="139" t="s">
        <v>152</v>
      </c>
      <c r="O1214" s="137" t="str">
        <f t="shared" ca="1" si="1545"/>
        <v>Carro de som com gravação de vinheta</v>
      </c>
      <c r="P1214" s="138" t="str">
        <f t="shared" ca="1" si="1540"/>
        <v>Horas</v>
      </c>
      <c r="Q1214" s="134">
        <v>3</v>
      </c>
      <c r="R1214" s="124">
        <f t="shared" ca="1" si="1541"/>
        <v>200</v>
      </c>
      <c r="S1214" s="136" t="s">
        <v>62</v>
      </c>
      <c r="T1214" s="123">
        <f t="shared" ca="1" si="1542"/>
        <v>250</v>
      </c>
      <c r="U1214" s="126">
        <f t="shared" ca="1" si="1543"/>
        <v>750</v>
      </c>
      <c r="V1214" s="1"/>
      <c r="W1214" s="39" t="str">
        <f ca="1">IF(OR($A1214=0,$A1214="S",$A1214&gt;CFF!$A$9),"",MAX(W$11:OFFSET(W1214,-1,0))+1)</f>
        <v/>
      </c>
      <c r="X1214" s="4" t="str">
        <f t="shared" si="1544"/>
        <v>Serv. Terc.-002</v>
      </c>
      <c r="Y1214" s="39">
        <f t="shared" ca="1" si="1549"/>
        <v>82</v>
      </c>
      <c r="Z1214" s="1"/>
      <c r="AA1214" s="133">
        <f>IF($J1214=$G$2,ROUND(IF(ISNUMBER(S1214),S1214,IF(LEFT(S1214,2)="DI",HLOOKUP(S1214,DADOS!$T$29:$X$30,2,FALSE),0)),4),"")</f>
        <v>0.25</v>
      </c>
      <c r="AB1214" s="2"/>
    </row>
    <row r="1215" spans="1:28">
      <c r="A1215" t="str">
        <f t="shared" si="1546"/>
        <v>S</v>
      </c>
      <c r="B1215">
        <f t="shared" si="1547"/>
        <v>0</v>
      </c>
      <c r="C1215">
        <f t="shared" ca="1" si="1534"/>
        <v>14</v>
      </c>
      <c r="D1215">
        <f t="shared" ca="1" si="1535"/>
        <v>1</v>
      </c>
      <c r="E1215">
        <f t="shared" ca="1" si="1536"/>
        <v>0</v>
      </c>
      <c r="F1215">
        <f t="shared" ca="1" si="1537"/>
        <v>0</v>
      </c>
      <c r="G1215">
        <f t="shared" ca="1" si="1538"/>
        <v>8</v>
      </c>
      <c r="H1215">
        <f ca="1">IF(OR($A1215="S",$A1215=0),0,MATCH(0,OFFSET($B1215,1,$A1215,ROW($A$1504)-ROW($A1215)),0))</f>
        <v>0</v>
      </c>
      <c r="I1215">
        <f ca="1">IF(OR($A1215="S",$A1215=0),0,MATCH(OFFSET($B1215,0,$A1215)+1,OFFSET($B1215,1,$A1215,ROW($A$1504)-ROW($A1215)),0))</f>
        <v>0</v>
      </c>
      <c r="J1215" s="132" t="s">
        <v>29</v>
      </c>
      <c r="K1215" s="121" t="str">
        <f t="shared" ca="1" si="1548"/>
        <v>14.1.8.</v>
      </c>
      <c r="L1215" s="137" t="str">
        <f t="shared" ca="1" si="1539"/>
        <v>Cotação</v>
      </c>
      <c r="M1215" s="122" t="s">
        <v>80</v>
      </c>
      <c r="N1215" s="139" t="s">
        <v>151</v>
      </c>
      <c r="O1215" s="137" t="str">
        <f t="shared" ca="1" si="1545"/>
        <v>Locação de mesas</v>
      </c>
      <c r="P1215" s="138" t="str">
        <f t="shared" ca="1" si="1540"/>
        <v>Unidade</v>
      </c>
      <c r="Q1215" s="134">
        <v>20</v>
      </c>
      <c r="R1215" s="124">
        <f t="shared" ca="1" si="1541"/>
        <v>3</v>
      </c>
      <c r="S1215" s="136" t="s">
        <v>62</v>
      </c>
      <c r="T1215" s="123">
        <f t="shared" ca="1" si="1542"/>
        <v>3.75</v>
      </c>
      <c r="U1215" s="126">
        <f t="shared" ca="1" si="1543"/>
        <v>75</v>
      </c>
      <c r="V1215" s="1"/>
      <c r="W1215" s="39" t="str">
        <f ca="1">IF(OR($A1215=0,$A1215="S",$A1215&gt;CFF!$A$9),"",MAX(W$11:OFFSET(W1215,-1,0))+1)</f>
        <v/>
      </c>
      <c r="X1215" s="4" t="str">
        <f t="shared" si="1544"/>
        <v>Serv. Terc.-003</v>
      </c>
      <c r="Y1215" s="39">
        <f t="shared" ca="1" si="1549"/>
        <v>83</v>
      </c>
      <c r="Z1215" s="1"/>
      <c r="AA1215" s="133">
        <f>IF($J1215=$G$2,ROUND(IF(ISNUMBER(S1215),S1215,IF(LEFT(S1215,2)="DI",HLOOKUP(S1215,DADOS!$T$29:$X$30,2,FALSE),0)),4),"")</f>
        <v>0.25</v>
      </c>
      <c r="AB1215" s="2"/>
    </row>
    <row r="1216" spans="1:28">
      <c r="A1216" t="str">
        <f t="shared" si="1546"/>
        <v>S</v>
      </c>
      <c r="B1216">
        <f t="shared" si="1547"/>
        <v>0</v>
      </c>
      <c r="C1216">
        <f t="shared" ca="1" si="1534"/>
        <v>14</v>
      </c>
      <c r="D1216">
        <f t="shared" ca="1" si="1535"/>
        <v>1</v>
      </c>
      <c r="E1216">
        <f t="shared" ca="1" si="1536"/>
        <v>0</v>
      </c>
      <c r="F1216">
        <f t="shared" ca="1" si="1537"/>
        <v>0</v>
      </c>
      <c r="G1216">
        <f t="shared" ca="1" si="1538"/>
        <v>9</v>
      </c>
      <c r="H1216">
        <f ca="1">IF(OR($A1216="S",$A1216=0),0,MATCH(0,OFFSET($B1216,1,$A1216,ROW($A$1504)-ROW($A1216)),0))</f>
        <v>0</v>
      </c>
      <c r="I1216">
        <f ca="1">IF(OR($A1216="S",$A1216=0),0,MATCH(OFFSET($B1216,0,$A1216)+1,OFFSET($B1216,1,$A1216,ROW($A$1504)-ROW($A1216)),0))</f>
        <v>0</v>
      </c>
      <c r="J1216" s="132" t="s">
        <v>29</v>
      </c>
      <c r="K1216" s="121" t="str">
        <f t="shared" ca="1" si="1548"/>
        <v>14.1.9.</v>
      </c>
      <c r="L1216" s="137" t="str">
        <f t="shared" ca="1" si="1539"/>
        <v>Cotação</v>
      </c>
      <c r="M1216" s="122" t="s">
        <v>80</v>
      </c>
      <c r="N1216" s="139" t="s">
        <v>153</v>
      </c>
      <c r="O1216" s="137" t="str">
        <f t="shared" ca="1" si="1545"/>
        <v>Locação de cadeiras</v>
      </c>
      <c r="P1216" s="138" t="str">
        <f t="shared" ca="1" si="1540"/>
        <v>Unidade</v>
      </c>
      <c r="Q1216" s="134">
        <v>400</v>
      </c>
      <c r="R1216" s="124">
        <f t="shared" ca="1" si="1541"/>
        <v>2</v>
      </c>
      <c r="S1216" s="136" t="s">
        <v>62</v>
      </c>
      <c r="T1216" s="123">
        <f t="shared" ca="1" si="1542"/>
        <v>2.5</v>
      </c>
      <c r="U1216" s="126">
        <f t="shared" ca="1" si="1543"/>
        <v>1000</v>
      </c>
      <c r="V1216" s="1"/>
      <c r="W1216" s="39" t="str">
        <f ca="1">IF(OR($A1216=0,$A1216="S",$A1216&gt;CFF!$A$9),"",MAX(W$11:OFFSET(W1216,-1,0))+1)</f>
        <v/>
      </c>
      <c r="X1216" s="4" t="str">
        <f t="shared" si="1544"/>
        <v>Serv. Terc.-004</v>
      </c>
      <c r="Y1216" s="39">
        <f t="shared" ca="1" si="1549"/>
        <v>84</v>
      </c>
      <c r="Z1216" s="1"/>
      <c r="AA1216" s="133">
        <f>IF($J1216=$G$2,ROUND(IF(ISNUMBER(S1216),S1216,IF(LEFT(S1216,2)="DI",HLOOKUP(S1216,DADOS!$T$29:$X$30,2,FALSE),0)),4),"")</f>
        <v>0.25</v>
      </c>
      <c r="AB1216" s="2"/>
    </row>
    <row r="1217" spans="1:28">
      <c r="A1217" t="str">
        <f t="shared" si="1546"/>
        <v>S</v>
      </c>
      <c r="B1217">
        <f t="shared" si="1547"/>
        <v>0</v>
      </c>
      <c r="C1217">
        <f t="shared" ca="1" si="1534"/>
        <v>14</v>
      </c>
      <c r="D1217">
        <f t="shared" ca="1" si="1535"/>
        <v>1</v>
      </c>
      <c r="E1217">
        <f t="shared" ca="1" si="1536"/>
        <v>0</v>
      </c>
      <c r="F1217">
        <f t="shared" ca="1" si="1537"/>
        <v>0</v>
      </c>
      <c r="G1217">
        <f t="shared" ca="1" si="1538"/>
        <v>10</v>
      </c>
      <c r="H1217">
        <f ca="1">IF(OR($A1217="S",$A1217=0),0,MATCH(0,OFFSET($B1217,1,$A1217,ROW($A$1504)-ROW($A1217)),0))</f>
        <v>0</v>
      </c>
      <c r="I1217">
        <f ca="1">IF(OR($A1217="S",$A1217=0),0,MATCH(OFFSET($B1217,0,$A1217)+1,OFFSET($B1217,1,$A1217,ROW($A$1504)-ROW($A1217)),0))</f>
        <v>0</v>
      </c>
      <c r="J1217" s="132" t="s">
        <v>29</v>
      </c>
      <c r="K1217" s="121" t="str">
        <f t="shared" ca="1" si="1548"/>
        <v>14.1.10.</v>
      </c>
      <c r="L1217" s="137" t="str">
        <f t="shared" ca="1" si="1539"/>
        <v>Cotação</v>
      </c>
      <c r="M1217" s="122" t="s">
        <v>80</v>
      </c>
      <c r="N1217" s="139" t="s">
        <v>154</v>
      </c>
      <c r="O1217" s="137" t="str">
        <f t="shared" ca="1" si="1545"/>
        <v>Locação de caixa térmica</v>
      </c>
      <c r="P1217" s="138" t="str">
        <f t="shared" ca="1" si="1540"/>
        <v>Unidade</v>
      </c>
      <c r="Q1217" s="134">
        <v>2</v>
      </c>
      <c r="R1217" s="124">
        <f t="shared" ca="1" si="1541"/>
        <v>40</v>
      </c>
      <c r="S1217" s="136" t="s">
        <v>62</v>
      </c>
      <c r="T1217" s="123">
        <f t="shared" ca="1" si="1542"/>
        <v>50</v>
      </c>
      <c r="U1217" s="126">
        <f t="shared" ca="1" si="1543"/>
        <v>100</v>
      </c>
      <c r="V1217" s="1"/>
      <c r="W1217" s="39" t="str">
        <f ca="1">IF(OR($A1217=0,$A1217="S",$A1217&gt;CFF!$A$9),"",MAX(W$11:OFFSET(W1217,-1,0))+1)</f>
        <v/>
      </c>
      <c r="X1217" s="4" t="str">
        <f t="shared" si="1544"/>
        <v>Serv. Terc.-005</v>
      </c>
      <c r="Y1217" s="39">
        <f t="shared" ca="1" si="1549"/>
        <v>85</v>
      </c>
      <c r="Z1217" s="1"/>
      <c r="AA1217" s="133">
        <f>IF($J1217=$G$2,ROUND(IF(ISNUMBER(S1217),S1217,IF(LEFT(S1217,2)="DI",HLOOKUP(S1217,DADOS!$T$29:$X$30,2,FALSE),0)),4),"")</f>
        <v>0.25</v>
      </c>
      <c r="AB1217" s="2"/>
    </row>
    <row r="1218" spans="1:28">
      <c r="A1218" t="str">
        <f t="shared" si="1546"/>
        <v>S</v>
      </c>
      <c r="B1218">
        <f t="shared" si="1547"/>
        <v>0</v>
      </c>
      <c r="C1218">
        <f t="shared" ca="1" si="1534"/>
        <v>14</v>
      </c>
      <c r="D1218">
        <f t="shared" ca="1" si="1535"/>
        <v>1</v>
      </c>
      <c r="E1218">
        <f t="shared" ca="1" si="1536"/>
        <v>0</v>
      </c>
      <c r="F1218">
        <f t="shared" ca="1" si="1537"/>
        <v>0</v>
      </c>
      <c r="G1218">
        <f t="shared" ca="1" si="1538"/>
        <v>11</v>
      </c>
      <c r="H1218">
        <f ca="1">IF(OR($A1218="S",$A1218=0),0,MATCH(0,OFFSET($B1218,1,$A1218,ROW($A$1504)-ROW($A1218)),0))</f>
        <v>0</v>
      </c>
      <c r="I1218">
        <f ca="1">IF(OR($A1218="S",$A1218=0),0,MATCH(OFFSET($B1218,0,$A1218)+1,OFFSET($B1218,1,$A1218,ROW($A$1504)-ROW($A1218)),0))</f>
        <v>0</v>
      </c>
      <c r="J1218" s="132" t="s">
        <v>29</v>
      </c>
      <c r="K1218" s="121" t="str">
        <f t="shared" ca="1" si="1548"/>
        <v>14.1.11.</v>
      </c>
      <c r="L1218" s="137" t="str">
        <f t="shared" ca="1" si="1539"/>
        <v>Cotação</v>
      </c>
      <c r="M1218" s="122" t="s">
        <v>80</v>
      </c>
      <c r="N1218" s="139" t="s">
        <v>155</v>
      </c>
      <c r="O1218" s="137" t="str">
        <f t="shared" ca="1" si="1545"/>
        <v>Locação de tendas</v>
      </c>
      <c r="P1218" s="138" t="str">
        <f t="shared" ca="1" si="1540"/>
        <v>Unidade</v>
      </c>
      <c r="Q1218" s="134">
        <v>3</v>
      </c>
      <c r="R1218" s="124">
        <f t="shared" ca="1" si="1541"/>
        <v>250</v>
      </c>
      <c r="S1218" s="136" t="s">
        <v>62</v>
      </c>
      <c r="T1218" s="123">
        <f t="shared" ca="1" si="1542"/>
        <v>312.5</v>
      </c>
      <c r="U1218" s="126">
        <f t="shared" ca="1" si="1543"/>
        <v>937.5</v>
      </c>
      <c r="V1218" s="1"/>
      <c r="W1218" s="39" t="str">
        <f ca="1">IF(OR($A1218=0,$A1218="S",$A1218&gt;CFF!$A$9),"",MAX(W$11:OFFSET(W1218,-1,0))+1)</f>
        <v/>
      </c>
      <c r="X1218" s="4" t="str">
        <f t="shared" si="1544"/>
        <v>Serv. Terc.-006</v>
      </c>
      <c r="Y1218" s="39">
        <f t="shared" ca="1" si="1549"/>
        <v>86</v>
      </c>
      <c r="Z1218" s="1"/>
      <c r="AA1218" s="133">
        <f>IF($J1218=$G$2,ROUND(IF(ISNUMBER(S1218),S1218,IF(LEFT(S1218,2)="DI",HLOOKUP(S1218,DADOS!$T$29:$X$30,2,FALSE),0)),4),"")</f>
        <v>0.25</v>
      </c>
      <c r="AB1218" s="2"/>
    </row>
    <row r="1219" spans="1:28">
      <c r="A1219" t="str">
        <f t="shared" ref="A1219:A1235" si="1550">CHOOSE(1+LOG(1+2*(J1219=$C$2)+4*(J1219=$D$2)+8*(J1219=$E$2)+16*(J1219=$F$2)+32*(J1219=$G$2),2),0,1,2,3,4,"S")</f>
        <v>S</v>
      </c>
      <c r="B1219">
        <f t="shared" ref="B1219:B1235" si="1551">IF(OR(A1219="S",A1219=0),0,IF(ISERROR(I1219),H1219,SMALL(H1219:I1219,1)))</f>
        <v>0</v>
      </c>
      <c r="C1219">
        <f t="shared" ref="C1219:C1230" ca="1" si="1552">IF($A1219=1,OFFSET(C1219,-1,0)+1,OFFSET(C1219,-1,0))</f>
        <v>14</v>
      </c>
      <c r="D1219">
        <f t="shared" ref="D1219:D1230" ca="1" si="1553">IF($A1219=1,0,IF($A1219=2,OFFSET(D1219,-1,0)+1,OFFSET(D1219,-1,0)))</f>
        <v>1</v>
      </c>
      <c r="E1219">
        <f t="shared" ref="E1219:E1230" ca="1" si="1554">IF(AND($A1219&lt;=2,$A1219&lt;&gt;0),0,IF($A1219=3,OFFSET(E1219,-1,0)+1,OFFSET(E1219,-1,0)))</f>
        <v>0</v>
      </c>
      <c r="F1219">
        <f t="shared" ref="F1219:F1230" ca="1" si="1555">IF(AND($A1219&lt;=3,$A1219&lt;&gt;0),0,IF($A1219=4,OFFSET(F1219,-1,0)+1,OFFSET(F1219,-1,0)))</f>
        <v>0</v>
      </c>
      <c r="G1219">
        <f t="shared" ref="G1219:G1230" ca="1" si="1556">IF(AND($A1219&lt;=4,$A1219&lt;&gt;0),0,IF($A1219="S",OFFSET(G1219,-1,0)+1,OFFSET(G1219,-1,0)))</f>
        <v>12</v>
      </c>
      <c r="H1219">
        <f ca="1">IF(OR($A1219="S",$A1219=0),0,MATCH(0,OFFSET($B1219,1,$A1219,ROW($A$1504)-ROW($A1219)),0))</f>
        <v>0</v>
      </c>
      <c r="I1219">
        <f ca="1">IF(OR($A1219="S",$A1219=0),0,MATCH(OFFSET($B1219,0,$A1219)+1,OFFSET($B1219,1,$A1219,ROW($A$1504)-ROW($A1219)),0))</f>
        <v>0</v>
      </c>
      <c r="J1219" s="132" t="s">
        <v>29</v>
      </c>
      <c r="K1219" s="121" t="str">
        <f t="shared" ref="K1219:K1235" ca="1" si="1557">IF($A1219=0,"-",CONCATENATE(C1219&amp;".",IF(AND($A$5&gt;=2,$A1219&gt;=2),D1219&amp;".",""),IF(AND($A$5&gt;=3,$A1219&gt;=3),E1219&amp;".",""),IF(AND($A$5&gt;=4,$A1219&gt;=4),F1219&amp;".",""),IF($A1219="S",G1219&amp;".","")))</f>
        <v>14.1.12.</v>
      </c>
      <c r="L1219" s="137" t="str">
        <f t="shared" ref="L1219:L1230" ca="1" si="1558">IF(NOT(ISERROR($Y1219)),IF($Y1219&lt;&gt;FALSE,INDEX(Banco,$Y1219,4),""),"")</f>
        <v>Cotação</v>
      </c>
      <c r="M1219" s="122" t="s">
        <v>80</v>
      </c>
      <c r="N1219" s="139" t="s">
        <v>157</v>
      </c>
      <c r="O1219" s="137" t="str">
        <f t="shared" ca="1" si="1545"/>
        <v>Locação de pula-pula com monitor</v>
      </c>
      <c r="P1219" s="138" t="str">
        <f t="shared" ref="P1219:P1230" ca="1" si="1559">IF(NOT(ISERROR($Y1219)),IF($Y1219&lt;&gt;FALSE,INDEX(Banco,$Y1219,6),""),"")</f>
        <v>Unidade</v>
      </c>
      <c r="Q1219" s="134">
        <v>2</v>
      </c>
      <c r="R1219" s="124">
        <f t="shared" ref="R1219:R1230" ca="1" si="1560">IF(NOT(ISERROR($Y1219)),IF($Y1219&lt;&gt;FALSE,INDEX(Banco,$Y1219,7),0),0)</f>
        <v>220</v>
      </c>
      <c r="S1219" s="136" t="s">
        <v>62</v>
      </c>
      <c r="T1219" s="123">
        <f t="shared" ref="T1219:T1230" ca="1" si="1561">IF($J1219=$G$2,ROUND(ROUND($R1219,2)*IF($R$9="Preço Unitário (R$)",1,1+$AA1219),2),0)</f>
        <v>275</v>
      </c>
      <c r="U1219" s="126">
        <f t="shared" ref="U1219:U1230" ca="1" si="1562">IF($A1219="S",VTOTAL1,IF($A1219=0,0,ROUND(SomaAgrup,2)))</f>
        <v>550</v>
      </c>
      <c r="V1219" s="1"/>
      <c r="W1219" s="39" t="str">
        <f ca="1">IF(OR($A1219=0,$A1219="S",$A1219&gt;CFF!$A$9),"",MAX(W$11:OFFSET(W1219,-1,0))+1)</f>
        <v/>
      </c>
      <c r="X1219" s="4" t="str">
        <f t="shared" ref="X1219:X1230" si="1563">IF(AND($J1219=$G$2,$N1219&lt;&gt;"",$M1219&lt;&gt;""),CONCATENATE($M1219,"-",$N1219))</f>
        <v>Serv. Terc.-008</v>
      </c>
      <c r="Y1219" s="39">
        <f t="shared" ref="Y1219:Y1235" ca="1" si="1564">IF(X1219&lt;&gt;FALSE,MATCH(X1219,OFFSET(Banco,0,0,,1),0))</f>
        <v>88</v>
      </c>
      <c r="Z1219" s="1"/>
      <c r="AA1219" s="133">
        <f>IF($J1219=$G$2,ROUND(IF(ISNUMBER(S1219),S1219,IF(LEFT(S1219,2)="DI",HLOOKUP(S1219,DADOS!$T$29:$X$30,2,FALSE),0)),4),"")</f>
        <v>0.25</v>
      </c>
      <c r="AB1219" s="2"/>
    </row>
    <row r="1220" spans="1:28">
      <c r="A1220" t="str">
        <f t="shared" si="1550"/>
        <v>S</v>
      </c>
      <c r="B1220">
        <f t="shared" si="1551"/>
        <v>0</v>
      </c>
      <c r="C1220">
        <f t="shared" ca="1" si="1552"/>
        <v>14</v>
      </c>
      <c r="D1220">
        <f t="shared" ca="1" si="1553"/>
        <v>1</v>
      </c>
      <c r="E1220">
        <f t="shared" ca="1" si="1554"/>
        <v>0</v>
      </c>
      <c r="F1220">
        <f t="shared" ca="1" si="1555"/>
        <v>0</v>
      </c>
      <c r="G1220">
        <f t="shared" ca="1" si="1556"/>
        <v>13</v>
      </c>
      <c r="H1220">
        <f ca="1">IF(OR($A1220="S",$A1220=0),0,MATCH(0,OFFSET($B1220,1,$A1220,ROW($A$1504)-ROW($A1220)),0))</f>
        <v>0</v>
      </c>
      <c r="I1220">
        <f ca="1">IF(OR($A1220="S",$A1220=0),0,MATCH(OFFSET($B1220,0,$A1220)+1,OFFSET($B1220,1,$A1220,ROW($A$1504)-ROW($A1220)),0))</f>
        <v>0</v>
      </c>
      <c r="J1220" s="132" t="s">
        <v>29</v>
      </c>
      <c r="K1220" s="121" t="str">
        <f t="shared" ca="1" si="1557"/>
        <v>14.1.13.</v>
      </c>
      <c r="L1220" s="137" t="str">
        <f t="shared" ca="1" si="1558"/>
        <v>Cotação</v>
      </c>
      <c r="M1220" s="122" t="s">
        <v>80</v>
      </c>
      <c r="N1220" s="139" t="s">
        <v>161</v>
      </c>
      <c r="O1220" s="137" t="str">
        <f t="shared" ca="1" si="1545"/>
        <v>Água (garrafão de 20 litros)</v>
      </c>
      <c r="P1220" s="138" t="str">
        <f t="shared" ca="1" si="1559"/>
        <v>Unidade</v>
      </c>
      <c r="Q1220" s="134">
        <v>2</v>
      </c>
      <c r="R1220" s="124">
        <f t="shared" ca="1" si="1560"/>
        <v>10</v>
      </c>
      <c r="S1220" s="136" t="s">
        <v>62</v>
      </c>
      <c r="T1220" s="123">
        <f t="shared" ca="1" si="1561"/>
        <v>12.5</v>
      </c>
      <c r="U1220" s="126">
        <f t="shared" ca="1" si="1562"/>
        <v>25</v>
      </c>
      <c r="V1220" s="1"/>
      <c r="W1220" s="39" t="str">
        <f ca="1">IF(OR($A1220=0,$A1220="S",$A1220&gt;CFF!$A$9),"",MAX(W$11:OFFSET(W1220,-1,0))+1)</f>
        <v/>
      </c>
      <c r="X1220" s="4" t="str">
        <f t="shared" si="1563"/>
        <v>Serv. Terc.-012</v>
      </c>
      <c r="Y1220" s="39">
        <f t="shared" ca="1" si="1564"/>
        <v>92</v>
      </c>
      <c r="Z1220" s="1"/>
      <c r="AA1220" s="133">
        <f>IF($J1220=$G$2,ROUND(IF(ISNUMBER(S1220),S1220,IF(LEFT(S1220,2)="DI",HLOOKUP(S1220,DADOS!$T$29:$X$30,2,FALSE),0)),4),"")</f>
        <v>0.25</v>
      </c>
      <c r="AB1220" s="2"/>
    </row>
    <row r="1221" spans="1:28">
      <c r="A1221" t="str">
        <f t="shared" si="1550"/>
        <v>S</v>
      </c>
      <c r="B1221">
        <f t="shared" si="1551"/>
        <v>0</v>
      </c>
      <c r="C1221">
        <f t="shared" ca="1" si="1552"/>
        <v>14</v>
      </c>
      <c r="D1221">
        <f t="shared" ca="1" si="1553"/>
        <v>1</v>
      </c>
      <c r="E1221">
        <f t="shared" ca="1" si="1554"/>
        <v>0</v>
      </c>
      <c r="F1221">
        <f t="shared" ca="1" si="1555"/>
        <v>0</v>
      </c>
      <c r="G1221">
        <f t="shared" ca="1" si="1556"/>
        <v>14</v>
      </c>
      <c r="H1221">
        <f ca="1">IF(OR($A1221="S",$A1221=0),0,MATCH(0,OFFSET($B1221,1,$A1221,ROW($A$1504)-ROW($A1221)),0))</f>
        <v>0</v>
      </c>
      <c r="I1221">
        <f ca="1">IF(OR($A1221="S",$A1221=0),0,MATCH(OFFSET($B1221,0,$A1221)+1,OFFSET($B1221,1,$A1221,ROW($A$1504)-ROW($A1221)),0))</f>
        <v>0</v>
      </c>
      <c r="J1221" s="132" t="s">
        <v>29</v>
      </c>
      <c r="K1221" s="121" t="str">
        <f t="shared" ca="1" si="1557"/>
        <v>14.1.14.</v>
      </c>
      <c r="L1221" s="137" t="str">
        <f t="shared" ca="1" si="1558"/>
        <v xml:space="preserve">Cotação </v>
      </c>
      <c r="M1221" s="122" t="s">
        <v>80</v>
      </c>
      <c r="N1221" s="139" t="s">
        <v>160</v>
      </c>
      <c r="O1221" s="137" t="str">
        <f t="shared" ca="1" si="1545"/>
        <v>Barra de gelo</v>
      </c>
      <c r="P1221" s="138" t="str">
        <f t="shared" ca="1" si="1559"/>
        <v>Unidade</v>
      </c>
      <c r="Q1221" s="134">
        <v>4</v>
      </c>
      <c r="R1221" s="124">
        <f t="shared" ca="1" si="1560"/>
        <v>12</v>
      </c>
      <c r="S1221" s="136" t="s">
        <v>62</v>
      </c>
      <c r="T1221" s="123">
        <f t="shared" ca="1" si="1561"/>
        <v>15</v>
      </c>
      <c r="U1221" s="126">
        <f t="shared" ca="1" si="1562"/>
        <v>60</v>
      </c>
      <c r="V1221" s="1"/>
      <c r="W1221" s="39" t="str">
        <f ca="1">IF(OR($A1221=0,$A1221="S",$A1221&gt;CFF!$A$9),"",MAX(W$11:OFFSET(W1221,-1,0))+1)</f>
        <v/>
      </c>
      <c r="X1221" s="4" t="str">
        <f t="shared" si="1563"/>
        <v>Serv. Terc.-011</v>
      </c>
      <c r="Y1221" s="39">
        <f t="shared" ca="1" si="1564"/>
        <v>91</v>
      </c>
      <c r="Z1221" s="1"/>
      <c r="AA1221" s="133">
        <f>IF($J1221=$G$2,ROUND(IF(ISNUMBER(S1221),S1221,IF(LEFT(S1221,2)="DI",HLOOKUP(S1221,DADOS!$T$29:$X$30,2,FALSE),0)),4),"")</f>
        <v>0.25</v>
      </c>
      <c r="AB1221" s="2"/>
    </row>
    <row r="1222" spans="1:28">
      <c r="A1222" t="str">
        <f t="shared" si="1550"/>
        <v>S</v>
      </c>
      <c r="B1222">
        <f t="shared" si="1551"/>
        <v>0</v>
      </c>
      <c r="C1222">
        <f t="shared" ca="1" si="1552"/>
        <v>14</v>
      </c>
      <c r="D1222">
        <f t="shared" ca="1" si="1553"/>
        <v>1</v>
      </c>
      <c r="E1222">
        <f t="shared" ca="1" si="1554"/>
        <v>0</v>
      </c>
      <c r="F1222">
        <f t="shared" ca="1" si="1555"/>
        <v>0</v>
      </c>
      <c r="G1222">
        <f t="shared" ca="1" si="1556"/>
        <v>15</v>
      </c>
      <c r="H1222">
        <f ca="1">IF(OR($A1222="S",$A1222=0),0,MATCH(0,OFFSET($B1222,1,$A1222,ROW($A$1504)-ROW($A1222)),0))</f>
        <v>0</v>
      </c>
      <c r="I1222">
        <f ca="1">IF(OR($A1222="S",$A1222=0),0,MATCH(OFFSET($B1222,0,$A1222)+1,OFFSET($B1222,1,$A1222,ROW($A$1504)-ROW($A1222)),0))</f>
        <v>0</v>
      </c>
      <c r="J1222" s="132" t="s">
        <v>29</v>
      </c>
      <c r="K1222" s="121" t="str">
        <f t="shared" ca="1" si="1557"/>
        <v>14.1.15.</v>
      </c>
      <c r="L1222" s="137" t="str">
        <f t="shared" ca="1" si="1558"/>
        <v>Cotação</v>
      </c>
      <c r="M1222" s="122" t="s">
        <v>80</v>
      </c>
      <c r="N1222" s="139" t="s">
        <v>150</v>
      </c>
      <c r="O1222" s="137" t="str">
        <f t="shared" ca="1" si="1545"/>
        <v>Sucos</v>
      </c>
      <c r="P1222" s="138" t="str">
        <f t="shared" ca="1" si="1559"/>
        <v>Unidade</v>
      </c>
      <c r="Q1222" s="134">
        <v>12</v>
      </c>
      <c r="R1222" s="124">
        <f t="shared" ca="1" si="1560"/>
        <v>6.4</v>
      </c>
      <c r="S1222" s="136" t="s">
        <v>62</v>
      </c>
      <c r="T1222" s="123">
        <f t="shared" ca="1" si="1561"/>
        <v>8</v>
      </c>
      <c r="U1222" s="126">
        <f t="shared" ca="1" si="1562"/>
        <v>96</v>
      </c>
      <c r="V1222" s="1"/>
      <c r="W1222" s="39" t="str">
        <f ca="1">IF(OR($A1222=0,$A1222="S",$A1222&gt;CFF!$A$9),"",MAX(W$11:OFFSET(W1222,-1,0))+1)</f>
        <v/>
      </c>
      <c r="X1222" s="4" t="str">
        <f t="shared" si="1563"/>
        <v>Serv. Terc.-013</v>
      </c>
      <c r="Y1222" s="39">
        <f t="shared" ca="1" si="1564"/>
        <v>93</v>
      </c>
      <c r="Z1222" s="1"/>
      <c r="AA1222" s="133">
        <f>IF($J1222=$G$2,ROUND(IF(ISNUMBER(S1222),S1222,IF(LEFT(S1222,2)="DI",HLOOKUP(S1222,DADOS!$T$29:$X$30,2,FALSE),0)),4),"")</f>
        <v>0.25</v>
      </c>
      <c r="AB1222" s="2"/>
    </row>
    <row r="1223" spans="1:28">
      <c r="A1223" t="str">
        <f>CHOOSE(1+LOG(1+2*(J1223=$C$2)+4*(J1223=$D$2)+8*(J1223=$E$2)+16*(J1223=$F$2)+32*(J1223=$G$2),2),0,1,2,3,4,"S")</f>
        <v>S</v>
      </c>
      <c r="B1223">
        <f>IF(OR(A1223="S",A1223=0),0,IF(ISERROR(I1223),H1223,SMALL(H1223:I1223,1)))</f>
        <v>0</v>
      </c>
      <c r="C1223">
        <f t="shared" ca="1" si="1552"/>
        <v>14</v>
      </c>
      <c r="D1223">
        <f t="shared" ca="1" si="1553"/>
        <v>1</v>
      </c>
      <c r="E1223">
        <f t="shared" ca="1" si="1554"/>
        <v>0</v>
      </c>
      <c r="F1223">
        <f t="shared" ca="1" si="1555"/>
        <v>0</v>
      </c>
      <c r="G1223">
        <f t="shared" ca="1" si="1556"/>
        <v>16</v>
      </c>
      <c r="H1223">
        <f ca="1">IF(OR($A1223="S",$A1223=0),0,MATCH(0,OFFSET($B1223,1,$A1223,ROW($A$1504)-ROW($A1223)),0))</f>
        <v>0</v>
      </c>
      <c r="I1223">
        <f ca="1">IF(OR($A1223="S",$A1223=0),0,MATCH(OFFSET($B1223,0,$A1223)+1,OFFSET($B1223,1,$A1223,ROW($A$1504)-ROW($A1223)),0))</f>
        <v>0</v>
      </c>
      <c r="J1223" s="132" t="s">
        <v>29</v>
      </c>
      <c r="K1223" s="121" t="str">
        <f ca="1">IF($A1223=0,"-",CONCATENATE(C1223&amp;".",IF(AND($A$5&gt;=2,$A1223&gt;=2),D1223&amp;".",""),IF(AND($A$5&gt;=3,$A1223&gt;=3),E1223&amp;".",""),IF(AND($A$5&gt;=4,$A1223&gt;=4),F1223&amp;".",""),IF($A1223="S",G1223&amp;".","")))</f>
        <v>14.1.16.</v>
      </c>
      <c r="L1223" s="137" t="str">
        <f t="shared" ca="1" si="1558"/>
        <v>Cotação</v>
      </c>
      <c r="M1223" s="122" t="s">
        <v>80</v>
      </c>
      <c r="N1223" s="139" t="s">
        <v>171</v>
      </c>
      <c r="O1223" s="137" t="str">
        <f ca="1">IF(NOT(ISERROR($Y1223)),IF($Y1223&lt;&gt;FALSE,INDEX(Banco,$Y1223,5),""),"")</f>
        <v xml:space="preserve">Refrigerantes (02 litros) </v>
      </c>
      <c r="P1223" s="138" t="str">
        <f t="shared" ca="1" si="1559"/>
        <v>Unidade</v>
      </c>
      <c r="Q1223" s="134">
        <v>20</v>
      </c>
      <c r="R1223" s="124">
        <f t="shared" ca="1" si="1560"/>
        <v>6</v>
      </c>
      <c r="S1223" s="136" t="s">
        <v>62</v>
      </c>
      <c r="T1223" s="123">
        <f t="shared" ca="1" si="1561"/>
        <v>7.5</v>
      </c>
      <c r="U1223" s="126">
        <f t="shared" ca="1" si="1562"/>
        <v>150</v>
      </c>
      <c r="V1223" s="1"/>
      <c r="W1223" s="39" t="str">
        <f ca="1">IF(OR($A1223=0,$A1223="S",$A1223&gt;CFF!$A$9),"",MAX(W$11:OFFSET(W1223,-1,0))+1)</f>
        <v/>
      </c>
      <c r="X1223" s="4" t="str">
        <f t="shared" si="1563"/>
        <v>Serv. Terc.-027</v>
      </c>
      <c r="Y1223" s="39">
        <f ca="1">IF(X1223&lt;&gt;FALSE,MATCH(X1223,OFFSET(Banco,0,0,,1),0))</f>
        <v>107</v>
      </c>
      <c r="Z1223" s="1"/>
      <c r="AA1223" s="133">
        <f>IF($J1223=$G$2,ROUND(IF(ISNUMBER(S1223),S1223,IF(LEFT(S1223,2)="DI",HLOOKUP(S1223,DADOS!$T$29:$X$30,2,FALSE),0)),4),"")</f>
        <v>0.25</v>
      </c>
      <c r="AB1223" s="2"/>
    </row>
    <row r="1224" spans="1:28">
      <c r="A1224" t="str">
        <f t="shared" si="1550"/>
        <v>S</v>
      </c>
      <c r="B1224">
        <f t="shared" si="1551"/>
        <v>0</v>
      </c>
      <c r="C1224">
        <f t="shared" ca="1" si="1552"/>
        <v>14</v>
      </c>
      <c r="D1224">
        <f t="shared" ca="1" si="1553"/>
        <v>1</v>
      </c>
      <c r="E1224">
        <f t="shared" ca="1" si="1554"/>
        <v>0</v>
      </c>
      <c r="F1224">
        <f t="shared" ca="1" si="1555"/>
        <v>0</v>
      </c>
      <c r="G1224">
        <f t="shared" ca="1" si="1556"/>
        <v>17</v>
      </c>
      <c r="H1224">
        <f ca="1">IF(OR($A1224="S",$A1224=0),0,MATCH(0,OFFSET($B1224,1,$A1224,ROW($A$1504)-ROW($A1224)),0))</f>
        <v>0</v>
      </c>
      <c r="I1224">
        <f ca="1">IF(OR($A1224="S",$A1224=0),0,MATCH(OFFSET($B1224,0,$A1224)+1,OFFSET($B1224,1,$A1224,ROW($A$1504)-ROW($A1224)),0))</f>
        <v>0</v>
      </c>
      <c r="J1224" s="132" t="s">
        <v>29</v>
      </c>
      <c r="K1224" s="121" t="str">
        <f t="shared" ca="1" si="1557"/>
        <v>14.1.17.</v>
      </c>
      <c r="L1224" s="137" t="str">
        <f t="shared" ca="1" si="1558"/>
        <v xml:space="preserve">Cotação </v>
      </c>
      <c r="M1224" s="122" t="s">
        <v>80</v>
      </c>
      <c r="N1224" s="139" t="s">
        <v>159</v>
      </c>
      <c r="O1224" s="137" t="str">
        <f t="shared" ca="1" si="1545"/>
        <v>Brindes ( descrição nos orçamentos e PTS)</v>
      </c>
      <c r="P1224" s="138" t="str">
        <f t="shared" ca="1" si="1559"/>
        <v>Unidade</v>
      </c>
      <c r="Q1224" s="134">
        <v>8</v>
      </c>
      <c r="R1224" s="124">
        <f t="shared" ca="1" si="1560"/>
        <v>120</v>
      </c>
      <c r="S1224" s="136" t="s">
        <v>62</v>
      </c>
      <c r="T1224" s="123">
        <f t="shared" ca="1" si="1561"/>
        <v>150</v>
      </c>
      <c r="U1224" s="126">
        <f t="shared" ca="1" si="1562"/>
        <v>1200</v>
      </c>
      <c r="V1224" s="1"/>
      <c r="W1224" s="39" t="str">
        <f ca="1">IF(OR($A1224=0,$A1224="S",$A1224&gt;CFF!$A$9),"",MAX(W$11:OFFSET(W1224,-1,0))+1)</f>
        <v/>
      </c>
      <c r="X1224" s="4" t="str">
        <f t="shared" si="1563"/>
        <v>Serv. Terc.-010</v>
      </c>
      <c r="Y1224" s="39">
        <f t="shared" ca="1" si="1564"/>
        <v>90</v>
      </c>
      <c r="Z1224" s="1"/>
      <c r="AA1224" s="133">
        <f>IF($J1224=$G$2,ROUND(IF(ISNUMBER(S1224),S1224,IF(LEFT(S1224,2)="DI",HLOOKUP(S1224,DADOS!$T$29:$X$30,2,FALSE),0)),4),"")</f>
        <v>0.25</v>
      </c>
      <c r="AB1224" s="2"/>
    </row>
    <row r="1225" spans="1:28">
      <c r="A1225" t="str">
        <f t="shared" si="1550"/>
        <v>S</v>
      </c>
      <c r="B1225">
        <f t="shared" si="1551"/>
        <v>0</v>
      </c>
      <c r="C1225">
        <f t="shared" ca="1" si="1552"/>
        <v>14</v>
      </c>
      <c r="D1225">
        <f t="shared" ca="1" si="1553"/>
        <v>1</v>
      </c>
      <c r="E1225">
        <f t="shared" ca="1" si="1554"/>
        <v>0</v>
      </c>
      <c r="F1225">
        <f t="shared" ca="1" si="1555"/>
        <v>0</v>
      </c>
      <c r="G1225">
        <f t="shared" ca="1" si="1556"/>
        <v>18</v>
      </c>
      <c r="H1225">
        <f ca="1">IF(OR($A1225="S",$A1225=0),0,MATCH(0,OFFSET($B1225,1,$A1225,ROW($A$1504)-ROW($A1225)),0))</f>
        <v>0</v>
      </c>
      <c r="I1225">
        <f ca="1">IF(OR($A1225="S",$A1225=0),0,MATCH(OFFSET($B1225,0,$A1225)+1,OFFSET($B1225,1,$A1225,ROW($A$1504)-ROW($A1225)),0))</f>
        <v>0</v>
      </c>
      <c r="J1225" s="132" t="s">
        <v>29</v>
      </c>
      <c r="K1225" s="121" t="str">
        <f t="shared" ca="1" si="1557"/>
        <v>14.1.18.</v>
      </c>
      <c r="L1225" s="137" t="str">
        <f t="shared" ca="1" si="1558"/>
        <v>Cotação</v>
      </c>
      <c r="M1225" s="122" t="s">
        <v>80</v>
      </c>
      <c r="N1225" s="139" t="s">
        <v>162</v>
      </c>
      <c r="O1225" s="137" t="str">
        <f t="shared" ca="1" si="1545"/>
        <v>Coffee break (salgados)</v>
      </c>
      <c r="P1225" s="138" t="str">
        <f t="shared" ca="1" si="1559"/>
        <v>Centro</v>
      </c>
      <c r="Q1225" s="134">
        <v>15</v>
      </c>
      <c r="R1225" s="124">
        <f t="shared" ca="1" si="1560"/>
        <v>65</v>
      </c>
      <c r="S1225" s="136" t="s">
        <v>62</v>
      </c>
      <c r="T1225" s="123">
        <f t="shared" ca="1" si="1561"/>
        <v>81.25</v>
      </c>
      <c r="U1225" s="126">
        <f t="shared" ca="1" si="1562"/>
        <v>1218.75</v>
      </c>
      <c r="V1225" s="1"/>
      <c r="W1225" s="39" t="str">
        <f ca="1">IF(OR($A1225=0,$A1225="S",$A1225&gt;CFF!$A$9),"",MAX(W$11:OFFSET(W1225,-1,0))+1)</f>
        <v/>
      </c>
      <c r="X1225" s="4" t="str">
        <f t="shared" si="1563"/>
        <v>Serv. Terc.-015</v>
      </c>
      <c r="Y1225" s="39">
        <f t="shared" ca="1" si="1564"/>
        <v>95</v>
      </c>
      <c r="Z1225" s="1"/>
      <c r="AA1225" s="133">
        <f>IF($J1225=$G$2,ROUND(IF(ISNUMBER(S1225),S1225,IF(LEFT(S1225,2)="DI",HLOOKUP(S1225,DADOS!$T$29:$X$30,2,FALSE),0)),4),"")</f>
        <v>0.25</v>
      </c>
      <c r="AB1225" s="2"/>
    </row>
    <row r="1226" spans="1:28">
      <c r="A1226" t="str">
        <f t="shared" si="1550"/>
        <v>S</v>
      </c>
      <c r="B1226">
        <f t="shared" si="1551"/>
        <v>0</v>
      </c>
      <c r="C1226">
        <f t="shared" ca="1" si="1552"/>
        <v>14</v>
      </c>
      <c r="D1226">
        <f t="shared" ca="1" si="1553"/>
        <v>1</v>
      </c>
      <c r="E1226">
        <f t="shared" ca="1" si="1554"/>
        <v>0</v>
      </c>
      <c r="F1226">
        <f t="shared" ca="1" si="1555"/>
        <v>0</v>
      </c>
      <c r="G1226">
        <f t="shared" ca="1" si="1556"/>
        <v>19</v>
      </c>
      <c r="H1226">
        <f ca="1">IF(OR($A1226="S",$A1226=0),0,MATCH(0,OFFSET($B1226,1,$A1226,ROW($A$1504)-ROW($A1226)),0))</f>
        <v>0</v>
      </c>
      <c r="I1226">
        <f ca="1">IF(OR($A1226="S",$A1226=0),0,MATCH(OFFSET($B1226,0,$A1226)+1,OFFSET($B1226,1,$A1226,ROW($A$1504)-ROW($A1226)),0))</f>
        <v>0</v>
      </c>
      <c r="J1226" s="132" t="s">
        <v>29</v>
      </c>
      <c r="K1226" s="121" t="str">
        <f t="shared" ca="1" si="1557"/>
        <v>14.1.19.</v>
      </c>
      <c r="L1226" s="137" t="str">
        <f t="shared" ca="1" si="1558"/>
        <v>Cotação</v>
      </c>
      <c r="M1226" s="122" t="s">
        <v>79</v>
      </c>
      <c r="N1226" s="139" t="s">
        <v>163</v>
      </c>
      <c r="O1226" s="137" t="str">
        <f t="shared" ca="1" si="1545"/>
        <v>Guloseimas (balas e pirulito)</v>
      </c>
      <c r="P1226" s="138" t="str">
        <f t="shared" ca="1" si="1559"/>
        <v>Pacote</v>
      </c>
      <c r="Q1226" s="134">
        <v>8</v>
      </c>
      <c r="R1226" s="124">
        <f t="shared" ca="1" si="1560"/>
        <v>12</v>
      </c>
      <c r="S1226" s="136" t="s">
        <v>62</v>
      </c>
      <c r="T1226" s="123">
        <f t="shared" ca="1" si="1561"/>
        <v>15</v>
      </c>
      <c r="U1226" s="126">
        <f t="shared" ca="1" si="1562"/>
        <v>120</v>
      </c>
      <c r="V1226" s="1"/>
      <c r="W1226" s="39" t="str">
        <f ca="1">IF(OR($A1226=0,$A1226="S",$A1226&gt;CFF!$A$9),"",MAX(W$11:OFFSET(W1226,-1,0))+1)</f>
        <v/>
      </c>
      <c r="X1226" s="4" t="str">
        <f t="shared" si="1563"/>
        <v>Rec. Materiais-020</v>
      </c>
      <c r="Y1226" s="39">
        <f t="shared" ca="1" si="1564"/>
        <v>29</v>
      </c>
      <c r="Z1226" s="1"/>
      <c r="AA1226" s="133">
        <f>IF($J1226=$G$2,ROUND(IF(ISNUMBER(S1226),S1226,IF(LEFT(S1226,2)="DI",HLOOKUP(S1226,DADOS!$T$29:$X$30,2,FALSE),0)),4),"")</f>
        <v>0.25</v>
      </c>
      <c r="AB1226" s="2"/>
    </row>
    <row r="1227" spans="1:28">
      <c r="A1227" t="str">
        <f>CHOOSE(1+LOG(1+2*(J1227=$C$2)+4*(J1227=$D$2)+8*(J1227=$E$2)+16*(J1227=$F$2)+32*(J1227=$G$2),2),0,1,2,3,4,"S")</f>
        <v>S</v>
      </c>
      <c r="B1227">
        <f>IF(OR(A1227="S",A1227=0),0,IF(ISERROR(I1227),H1227,SMALL(H1227:I1227,1)))</f>
        <v>0</v>
      </c>
      <c r="C1227">
        <f t="shared" ca="1" si="1552"/>
        <v>14</v>
      </c>
      <c r="D1227">
        <f t="shared" ca="1" si="1553"/>
        <v>1</v>
      </c>
      <c r="E1227">
        <f t="shared" ca="1" si="1554"/>
        <v>0</v>
      </c>
      <c r="F1227">
        <f t="shared" ca="1" si="1555"/>
        <v>0</v>
      </c>
      <c r="G1227">
        <f t="shared" ca="1" si="1556"/>
        <v>20</v>
      </c>
      <c r="H1227">
        <f ca="1">IF(OR($A1227="S",$A1227=0),0,MATCH(0,OFFSET($B1227,1,$A1227,ROW($A$1504)-ROW($A1227)),0))</f>
        <v>0</v>
      </c>
      <c r="I1227">
        <f ca="1">IF(OR($A1227="S",$A1227=0),0,MATCH(OFFSET($B1227,0,$A1227)+1,OFFSET($B1227,1,$A1227,ROW($A$1504)-ROW($A1227)),0))</f>
        <v>0</v>
      </c>
      <c r="J1227" s="132" t="s">
        <v>29</v>
      </c>
      <c r="K1227" s="121" t="str">
        <f ca="1">IF($A1227=0,"-",CONCATENATE(C1227&amp;".",IF(AND($A$5&gt;=2,$A1227&gt;=2),D1227&amp;".",""),IF(AND($A$5&gt;=3,$A1227&gt;=3),E1227&amp;".",""),IF(AND($A$5&gt;=4,$A1227&gt;=4),F1227&amp;".",""),IF($A1227="S",G1227&amp;".","")))</f>
        <v>14.1.20.</v>
      </c>
      <c r="L1227" s="137" t="str">
        <f t="shared" ca="1" si="1558"/>
        <v>COREN</v>
      </c>
      <c r="M1227" s="122" t="s">
        <v>80</v>
      </c>
      <c r="N1227" s="139" t="s">
        <v>246</v>
      </c>
      <c r="O1227" s="137" t="str">
        <f ca="1">IF(NOT(ISERROR($Y1227)),IF($Y1227&lt;&gt;FALSE,INDEX(Banco,$Y1227,5),""),"")</f>
        <v>Enfermeiro padrão</v>
      </c>
      <c r="P1227" s="138" t="str">
        <f t="shared" ca="1" si="1559"/>
        <v>Unidade</v>
      </c>
      <c r="Q1227" s="134">
        <v>4</v>
      </c>
      <c r="R1227" s="124">
        <f t="shared" ca="1" si="1560"/>
        <v>123.02</v>
      </c>
      <c r="S1227" s="136" t="s">
        <v>62</v>
      </c>
      <c r="T1227" s="123">
        <f t="shared" ca="1" si="1561"/>
        <v>153.78</v>
      </c>
      <c r="U1227" s="126">
        <f t="shared" ca="1" si="1562"/>
        <v>615.12</v>
      </c>
      <c r="V1227" s="1"/>
      <c r="W1227" s="39" t="str">
        <f ca="1">IF(OR($A1227=0,$A1227="S",$A1227&gt;CFF!$A$9),"",MAX(W$11:OFFSET(W1227,-1,0))+1)</f>
        <v/>
      </c>
      <c r="X1227" s="4" t="str">
        <f t="shared" si="1563"/>
        <v>Serv. Terc.-080</v>
      </c>
      <c r="Y1227" s="39">
        <f ca="1">IF(X1227&lt;&gt;FALSE,MATCH(X1227,OFFSET(Banco,0,0,,1),0))</f>
        <v>160</v>
      </c>
      <c r="Z1227" s="1"/>
      <c r="AA1227" s="133">
        <f>IF($J1227=$G$2,ROUND(IF(ISNUMBER(S1227),S1227,IF(LEFT(S1227,2)="DI",HLOOKUP(S1227,DADOS!$T$29:$X$30,2,FALSE),0)),4),"")</f>
        <v>0.25</v>
      </c>
      <c r="AB1227" s="2"/>
    </row>
    <row r="1228" spans="1:28">
      <c r="A1228" t="str">
        <f t="shared" si="1550"/>
        <v>S</v>
      </c>
      <c r="B1228">
        <f t="shared" si="1551"/>
        <v>0</v>
      </c>
      <c r="C1228">
        <f t="shared" ca="1" si="1552"/>
        <v>14</v>
      </c>
      <c r="D1228">
        <f t="shared" ca="1" si="1553"/>
        <v>1</v>
      </c>
      <c r="E1228">
        <f t="shared" ca="1" si="1554"/>
        <v>0</v>
      </c>
      <c r="F1228">
        <f t="shared" ca="1" si="1555"/>
        <v>0</v>
      </c>
      <c r="G1228">
        <f t="shared" ca="1" si="1556"/>
        <v>21</v>
      </c>
      <c r="H1228">
        <f ca="1">IF(OR($A1228="S",$A1228=0),0,MATCH(0,OFFSET($B1228,1,$A1228,ROW($A$1504)-ROW($A1228)),0))</f>
        <v>0</v>
      </c>
      <c r="I1228">
        <f ca="1">IF(OR($A1228="S",$A1228=0),0,MATCH(OFFSET($B1228,0,$A1228)+1,OFFSET($B1228,1,$A1228,ROW($A$1504)-ROW($A1228)),0))</f>
        <v>0</v>
      </c>
      <c r="J1228" s="132" t="s">
        <v>29</v>
      </c>
      <c r="K1228" s="121" t="str">
        <f t="shared" ca="1" si="1557"/>
        <v>14.1.21.</v>
      </c>
      <c r="L1228" s="137" t="str">
        <f t="shared" ca="1" si="1558"/>
        <v>Cotação</v>
      </c>
      <c r="M1228" s="122" t="s">
        <v>79</v>
      </c>
      <c r="N1228" s="139" t="s">
        <v>165</v>
      </c>
      <c r="O1228" s="137" t="str">
        <f t="shared" ca="1" si="1545"/>
        <v>Papel de presente</v>
      </c>
      <c r="P1228" s="138" t="str">
        <f t="shared" ca="1" si="1559"/>
        <v>Folhas</v>
      </c>
      <c r="Q1228" s="134">
        <v>16</v>
      </c>
      <c r="R1228" s="124">
        <f t="shared" ca="1" si="1560"/>
        <v>1.5</v>
      </c>
      <c r="S1228" s="136" t="s">
        <v>62</v>
      </c>
      <c r="T1228" s="123">
        <f t="shared" ca="1" si="1561"/>
        <v>1.88</v>
      </c>
      <c r="U1228" s="126">
        <f t="shared" ca="1" si="1562"/>
        <v>30.08</v>
      </c>
      <c r="V1228" s="1"/>
      <c r="W1228" s="39" t="str">
        <f ca="1">IF(OR($A1228=0,$A1228="S",$A1228&gt;CFF!$A$9),"",MAX(W$11:OFFSET(W1228,-1,0))+1)</f>
        <v/>
      </c>
      <c r="X1228" s="4" t="str">
        <f t="shared" si="1563"/>
        <v>Rec. Materiais-021</v>
      </c>
      <c r="Y1228" s="39">
        <f t="shared" ca="1" si="1564"/>
        <v>30</v>
      </c>
      <c r="Z1228" s="1"/>
      <c r="AA1228" s="133">
        <f>IF($J1228=$G$2,ROUND(IF(ISNUMBER(S1228),S1228,IF(LEFT(S1228,2)="DI",HLOOKUP(S1228,DADOS!$T$29:$X$30,2,FALSE),0)),4),"")</f>
        <v>0.25</v>
      </c>
      <c r="AB1228" s="2"/>
    </row>
    <row r="1229" spans="1:28">
      <c r="A1229" t="str">
        <f t="shared" si="1550"/>
        <v>S</v>
      </c>
      <c r="B1229">
        <f t="shared" si="1551"/>
        <v>0</v>
      </c>
      <c r="C1229">
        <f t="shared" ca="1" si="1552"/>
        <v>14</v>
      </c>
      <c r="D1229">
        <f t="shared" ca="1" si="1553"/>
        <v>1</v>
      </c>
      <c r="E1229">
        <f t="shared" ca="1" si="1554"/>
        <v>0</v>
      </c>
      <c r="F1229">
        <f t="shared" ca="1" si="1555"/>
        <v>0</v>
      </c>
      <c r="G1229">
        <f t="shared" ca="1" si="1556"/>
        <v>22</v>
      </c>
      <c r="H1229">
        <f ca="1">IF(OR($A1229="S",$A1229=0),0,MATCH(0,OFFSET($B1229,1,$A1229,ROW($A$1504)-ROW($A1229)),0))</f>
        <v>0</v>
      </c>
      <c r="I1229">
        <f ca="1">IF(OR($A1229="S",$A1229=0),0,MATCH(OFFSET($B1229,0,$A1229)+1,OFFSET($B1229,1,$A1229,ROW($A$1504)-ROW($A1229)),0))</f>
        <v>0</v>
      </c>
      <c r="J1229" s="132" t="s">
        <v>29</v>
      </c>
      <c r="K1229" s="121" t="str">
        <f t="shared" ca="1" si="1557"/>
        <v>14.1.22.</v>
      </c>
      <c r="L1229" s="137" t="str">
        <f t="shared" ca="1" si="1558"/>
        <v>Cotação</v>
      </c>
      <c r="M1229" s="122" t="s">
        <v>79</v>
      </c>
      <c r="N1229" s="139" t="s">
        <v>170</v>
      </c>
      <c r="O1229" s="137" t="str">
        <f t="shared" ca="1" si="1545"/>
        <v>Saco de lixo (100 litros)</v>
      </c>
      <c r="P1229" s="138" t="str">
        <f t="shared" ca="1" si="1559"/>
        <v>Pacote</v>
      </c>
      <c r="Q1229" s="134">
        <v>2</v>
      </c>
      <c r="R1229" s="124">
        <f t="shared" ca="1" si="1560"/>
        <v>15</v>
      </c>
      <c r="S1229" s="136" t="s">
        <v>62</v>
      </c>
      <c r="T1229" s="123">
        <f t="shared" ca="1" si="1561"/>
        <v>18.75</v>
      </c>
      <c r="U1229" s="126">
        <f t="shared" ca="1" si="1562"/>
        <v>37.5</v>
      </c>
      <c r="V1229" s="1"/>
      <c r="W1229" s="39" t="str">
        <f ca="1">IF(OR($A1229=0,$A1229="S",$A1229&gt;CFF!$A$9),"",MAX(W$11:OFFSET(W1229,-1,0))+1)</f>
        <v/>
      </c>
      <c r="X1229" s="4" t="str">
        <f t="shared" si="1563"/>
        <v>Rec. Materiais-026</v>
      </c>
      <c r="Y1229" s="39">
        <f t="shared" ca="1" si="1564"/>
        <v>35</v>
      </c>
      <c r="Z1229" s="1"/>
      <c r="AA1229" s="133">
        <f>IF($J1229=$G$2,ROUND(IF(ISNUMBER(S1229),S1229,IF(LEFT(S1229,2)="DI",HLOOKUP(S1229,DADOS!$T$29:$X$30,2,FALSE),0)),4),"")</f>
        <v>0.25</v>
      </c>
      <c r="AB1229" s="2"/>
    </row>
    <row r="1230" spans="1:28">
      <c r="A1230" t="str">
        <f t="shared" si="1550"/>
        <v>S</v>
      </c>
      <c r="B1230">
        <f t="shared" si="1551"/>
        <v>0</v>
      </c>
      <c r="C1230">
        <f t="shared" ca="1" si="1552"/>
        <v>14</v>
      </c>
      <c r="D1230">
        <f t="shared" ca="1" si="1553"/>
        <v>1</v>
      </c>
      <c r="E1230">
        <f t="shared" ca="1" si="1554"/>
        <v>0</v>
      </c>
      <c r="F1230">
        <f t="shared" ca="1" si="1555"/>
        <v>0</v>
      </c>
      <c r="G1230">
        <f t="shared" ca="1" si="1556"/>
        <v>23</v>
      </c>
      <c r="H1230">
        <f ca="1">IF(OR($A1230="S",$A1230=0),0,MATCH(0,OFFSET($B1230,1,$A1230,ROW($A$1504)-ROW($A1230)),0))</f>
        <v>0</v>
      </c>
      <c r="I1230">
        <f ca="1">IF(OR($A1230="S",$A1230=0),0,MATCH(OFFSET($B1230,0,$A1230)+1,OFFSET($B1230,1,$A1230,ROW($A$1504)-ROW($A1230)),0))</f>
        <v>0</v>
      </c>
      <c r="J1230" s="132" t="s">
        <v>29</v>
      </c>
      <c r="K1230" s="121" t="str">
        <f t="shared" ca="1" si="1557"/>
        <v>14.1.23.</v>
      </c>
      <c r="L1230" s="137" t="str">
        <f t="shared" ca="1" si="1558"/>
        <v>Cotação</v>
      </c>
      <c r="M1230" s="122" t="s">
        <v>80</v>
      </c>
      <c r="N1230" s="139" t="s">
        <v>221</v>
      </c>
      <c r="O1230" s="137" t="str">
        <f t="shared" ca="1" si="1545"/>
        <v>KIT - Material de higiêne bucal</v>
      </c>
      <c r="P1230" s="138" t="str">
        <f t="shared" ca="1" si="1559"/>
        <v>Kits</v>
      </c>
      <c r="Q1230" s="134">
        <v>300</v>
      </c>
      <c r="R1230" s="124">
        <f t="shared" ca="1" si="1560"/>
        <v>39</v>
      </c>
      <c r="S1230" s="136" t="s">
        <v>62</v>
      </c>
      <c r="T1230" s="123">
        <f t="shared" ca="1" si="1561"/>
        <v>48.75</v>
      </c>
      <c r="U1230" s="126">
        <f t="shared" ca="1" si="1562"/>
        <v>14625</v>
      </c>
      <c r="V1230" s="1"/>
      <c r="W1230" s="39" t="str">
        <f ca="1">IF(OR($A1230=0,$A1230="S",$A1230&gt;CFF!$A$9),"",MAX(W$11:OFFSET(W1230,-1,0))+1)</f>
        <v/>
      </c>
      <c r="X1230" s="4" t="str">
        <f t="shared" si="1563"/>
        <v>Serv. Terc.-042</v>
      </c>
      <c r="Y1230" s="39">
        <f t="shared" ca="1" si="1564"/>
        <v>122</v>
      </c>
      <c r="Z1230" s="1"/>
      <c r="AA1230" s="133">
        <f>IF($J1230=$G$2,ROUND(IF(ISNUMBER(S1230),S1230,IF(LEFT(S1230,2)="DI",HLOOKUP(S1230,DADOS!$T$29:$X$30,2,FALSE),0)),4),"")</f>
        <v>0.25</v>
      </c>
      <c r="AB1230" s="2"/>
    </row>
    <row r="1231" spans="1:28">
      <c r="A1231">
        <f>CHOOSE(1+LOG(1+2*(J1231=$C$2)+4*(J1231=$D$2)+8*(J1231=$E$2)+16*(J1231=$F$2)+32*(J1231=$G$2),2),0,1,2,3,4,"S")</f>
        <v>2</v>
      </c>
      <c r="B1231">
        <f ca="1">IF(OR(A1231="S",A1231=0),0,IF(ISERROR(I1231),H1231,SMALL(H1231:I1231,1)))</f>
        <v>3</v>
      </c>
      <c r="C1231">
        <f ca="1">IF($A1231=1,OFFSET(C1231,-1,0)+1,OFFSET(C1231,-1,0))</f>
        <v>14</v>
      </c>
      <c r="D1231">
        <f ca="1">IF($A1231=1,0,IF($A1231=2,OFFSET(D1231,-1,0)+1,OFFSET(D1231,-1,0)))</f>
        <v>2</v>
      </c>
      <c r="E1231">
        <f ca="1">IF(AND($A1231&lt;=2,$A1231&lt;&gt;0),0,IF($A1231=3,OFFSET(E1231,-1,0)+1,OFFSET(E1231,-1,0)))</f>
        <v>0</v>
      </c>
      <c r="F1231">
        <f ca="1">IF(AND($A1231&lt;=3,$A1231&lt;&gt;0),0,IF($A1231=4,OFFSET(F1231,-1,0)+1,OFFSET(F1231,-1,0)))</f>
        <v>0</v>
      </c>
      <c r="G1231">
        <f ca="1">IF(AND($A1231&lt;=4,$A1231&lt;&gt;0),0,IF($A1231="S",OFFSET(G1231,-1,0)+1,OFFSET(G1231,-1,0)))</f>
        <v>0</v>
      </c>
      <c r="H1231">
        <f ca="1">IF(OR($A1231="S",$A1231=0),0,MATCH(0,OFFSET($B1231,1,$A1231,ROW($A$1504)-ROW($A1231)),0))</f>
        <v>113</v>
      </c>
      <c r="I1231">
        <f ca="1">IF(OR($A1231="S",$A1231=0),0,MATCH(OFFSET($B1231,0,$A1231)+1,OFFSET($B1231,1,$A1231,ROW($A$1504)-ROW($A1231)),0))</f>
        <v>3</v>
      </c>
      <c r="J1231" s="132" t="s">
        <v>68</v>
      </c>
      <c r="K1231" s="121" t="str">
        <f ca="1">IF($A1231=0,"-",CONCATENATE(C1231&amp;".",IF(AND($A$5&gt;=2,$A1231&gt;=2),D1231&amp;".",""),IF(AND($A$5&gt;=3,$A1231&gt;=3),E1231&amp;".",""),IF(AND($A$5&gt;=4,$A1231&gt;=4),F1231&amp;".",""),IF($A1231="S",G1231&amp;".","")))</f>
        <v>14.2.</v>
      </c>
      <c r="L1231" s="137" t="str">
        <f ca="1">IF(NOT(ISERROR($Y1231)),IF($Y1231&lt;&gt;FALSE,INDEX(Banco,$Y1231,4),""),"")</f>
        <v/>
      </c>
      <c r="M1231" s="122"/>
      <c r="N1231" s="139"/>
      <c r="O1231" s="137" t="s">
        <v>437</v>
      </c>
      <c r="P1231" s="138" t="str">
        <f ca="1">IF(NOT(ISERROR($Y1231)),IF($Y1231&lt;&gt;FALSE,INDEX(Banco,$Y1231,6),""),"")</f>
        <v/>
      </c>
      <c r="Q1231" s="134"/>
      <c r="R1231" s="124">
        <f ca="1">IF(NOT(ISERROR($Y1231)),IF($Y1231&lt;&gt;FALSE,INDEX(Banco,$Y1231,7),0),0)</f>
        <v>0</v>
      </c>
      <c r="S1231" s="136" t="s">
        <v>62</v>
      </c>
      <c r="T1231" s="123">
        <f>IF($J1231=$G$2,ROUND(ROUND($R1231,2)*IF($R$9="Preço Unitário (R$)",1,1+$AA1231),2),0)</f>
        <v>0</v>
      </c>
      <c r="U1231" s="126">
        <f ca="1">IF($A1231="S",VTOTAL1,IF($A1231=0,0,ROUND(SomaAgrup,2)))</f>
        <v>3427.56</v>
      </c>
      <c r="V1231" s="1"/>
      <c r="W1231" s="39">
        <f ca="1">IF(OR($A1231=0,$A1231="S",$A1231&gt;CFF!$A$9),"",MAX(W$11:OFFSET(W1231,-1,0))+1)</f>
        <v>110</v>
      </c>
      <c r="X1231" s="4" t="b">
        <f>IF(AND($J1231=$G$2,$N1231&lt;&gt;"",$M1231&lt;&gt;""),CONCATENATE($M1231,"-",$N1231))</f>
        <v>0</v>
      </c>
      <c r="Y1231" s="39" t="b">
        <f ca="1">IF(X1231&lt;&gt;FALSE,MATCH(X1231,OFFSET(Banco,0,0,,1),0))</f>
        <v>0</v>
      </c>
      <c r="Z1231" s="1"/>
      <c r="AA1231" s="133" t="str">
        <f>IF($J1231=$G$2,ROUND(IF(ISNUMBER(S1231),S1231,IF(LEFT(S1231,2)="DI",HLOOKUP(S1231,DADOS!$T$29:$X$30,2,FALSE),0)),4),"")</f>
        <v/>
      </c>
      <c r="AB1231" s="2"/>
    </row>
    <row r="1232" spans="1:28">
      <c r="A1232" t="str">
        <f t="shared" ref="A1232:A1233" si="1565">CHOOSE(1+LOG(1+2*(J1232=$C$2)+4*(J1232=$D$2)+8*(J1232=$E$2)+16*(J1232=$F$2)+32*(J1232=$G$2),2),0,1,2,3,4,"S")</f>
        <v>S</v>
      </c>
      <c r="B1232">
        <f t="shared" ref="B1232:B1233" si="1566">IF(OR(A1232="S",A1232=0),0,IF(ISERROR(I1232),H1232,SMALL(H1232:I1232,1)))</f>
        <v>0</v>
      </c>
      <c r="C1232">
        <f t="shared" ref="C1232:C1235" ca="1" si="1567">IF($A1232=1,OFFSET(C1232,-1,0)+1,OFFSET(C1232,-1,0))</f>
        <v>14</v>
      </c>
      <c r="D1232">
        <f t="shared" ref="D1232:D1235" ca="1" si="1568">IF($A1232=1,0,IF($A1232=2,OFFSET(D1232,-1,0)+1,OFFSET(D1232,-1,0)))</f>
        <v>2</v>
      </c>
      <c r="E1232">
        <f t="shared" ref="E1232:E1235" ca="1" si="1569">IF(AND($A1232&lt;=2,$A1232&lt;&gt;0),0,IF($A1232=3,OFFSET(E1232,-1,0)+1,OFFSET(E1232,-1,0)))</f>
        <v>0</v>
      </c>
      <c r="F1232">
        <f t="shared" ref="F1232:F1235" ca="1" si="1570">IF(AND($A1232&lt;=3,$A1232&lt;&gt;0),0,IF($A1232=4,OFFSET(F1232,-1,0)+1,OFFSET(F1232,-1,0)))</f>
        <v>0</v>
      </c>
      <c r="G1232">
        <f t="shared" ref="G1232:G1235" ca="1" si="1571">IF(AND($A1232&lt;=4,$A1232&lt;&gt;0),0,IF($A1232="S",OFFSET(G1232,-1,0)+1,OFFSET(G1232,-1,0)))</f>
        <v>1</v>
      </c>
      <c r="H1232">
        <f ca="1">IF(OR($A1232="S",$A1232=0),0,MATCH(0,OFFSET($B1232,1,$A1232,ROW($A$1504)-ROW($A1232)),0))</f>
        <v>0</v>
      </c>
      <c r="I1232">
        <f ca="1">IF(OR($A1232="S",$A1232=0),0,MATCH(OFFSET($B1232,0,$A1232)+1,OFFSET($B1232,1,$A1232,ROW($A$1504)-ROW($A1232)),0))</f>
        <v>0</v>
      </c>
      <c r="J1232" s="132" t="s">
        <v>29</v>
      </c>
      <c r="K1232" s="121" t="str">
        <f t="shared" ref="K1232:K1233" ca="1" si="1572">IF($A1232=0,"-",CONCATENATE(C1232&amp;".",IF(AND($A$5&gt;=2,$A1232&gt;=2),D1232&amp;".",""),IF(AND($A$5&gt;=3,$A1232&gt;=3),E1232&amp;".",""),IF(AND($A$5&gt;=4,$A1232&gt;=4),F1232&amp;".",""),IF($A1232="S",G1232&amp;".","")))</f>
        <v>14.2.1.</v>
      </c>
      <c r="L1232" s="137" t="str">
        <f t="shared" ref="L1232:L1235" ca="1" si="1573">IF(NOT(ISERROR($Y1232)),IF($Y1232&lt;&gt;FALSE,INDEX(Banco,$Y1232,4),""),"")</f>
        <v>CRESS</v>
      </c>
      <c r="M1232" s="122" t="s">
        <v>78</v>
      </c>
      <c r="N1232" s="139" t="s">
        <v>149</v>
      </c>
      <c r="O1232" s="137" t="str">
        <f ca="1">IF(NOT(ISERROR($Y1232)),IF($Y1232&lt;&gt;FALSE,INDEX(Banco,$Y1232,5),""),"")</f>
        <v>Responsável Técnica</v>
      </c>
      <c r="P1232" s="138" t="str">
        <f t="shared" ref="P1232:P1235" ca="1" si="1574">IF(NOT(ISERROR($Y1232)),IF($Y1232&lt;&gt;FALSE,INDEX(Banco,$Y1232,6),""),"")</f>
        <v>Horas</v>
      </c>
      <c r="Q1232" s="134">
        <v>4</v>
      </c>
      <c r="R1232" s="124">
        <f t="shared" ref="R1232:R1235" ca="1" si="1575">IF(NOT(ISERROR($Y1232)),IF($Y1232&lt;&gt;FALSE,INDEX(Banco,$Y1232,7),0),0)</f>
        <v>150.28</v>
      </c>
      <c r="S1232" s="136" t="s">
        <v>62</v>
      </c>
      <c r="T1232" s="123">
        <f t="shared" ref="T1232:T1235" ca="1" si="1576">IF($J1232=$G$2,ROUND(ROUND($R1232,2)*IF($R$9="Preço Unitário (R$)",1,1+$AA1232),2),0)</f>
        <v>187.85</v>
      </c>
      <c r="U1232" s="126">
        <f t="shared" ref="U1232:U1235" ca="1" si="1577">IF($A1232="S",VTOTAL1,IF($A1232=0,0,ROUND(SomaAgrup,2)))</f>
        <v>751.4</v>
      </c>
      <c r="V1232" s="1"/>
      <c r="W1232" s="39" t="str">
        <f ca="1">IF(OR($A1232=0,$A1232="S",$A1232&gt;CFF!$A$9),"",MAX(W$11:OFFSET(W1232,-1,0))+1)</f>
        <v/>
      </c>
      <c r="X1232" s="4" t="str">
        <f t="shared" ref="X1232:X1235" si="1578">IF(AND($J1232=$G$2,$N1232&lt;&gt;"",$M1232&lt;&gt;""),CONCATENATE($M1232,"-",$N1232))</f>
        <v>Rec. Humanos-001</v>
      </c>
      <c r="Y1232" s="39">
        <f t="shared" ref="Y1232:Y1233" ca="1" si="1579">IF(X1232&lt;&gt;FALSE,MATCH(X1232,OFFSET(Banco,0,0,,1),0))</f>
        <v>3</v>
      </c>
      <c r="Z1232" s="1"/>
      <c r="AA1232" s="133">
        <f>IF($J1232=$G$2,ROUND(IF(ISNUMBER(S1232),S1232,IF(LEFT(S1232,2)="DI",HLOOKUP(S1232,DADOS!$T$29:$X$30,2,FALSE),0)),4),"")</f>
        <v>0.25</v>
      </c>
      <c r="AB1232" s="2"/>
    </row>
    <row r="1233" spans="1:28">
      <c r="A1233" t="str">
        <f t="shared" si="1565"/>
        <v>S</v>
      </c>
      <c r="B1233">
        <f t="shared" si="1566"/>
        <v>0</v>
      </c>
      <c r="C1233">
        <f t="shared" ca="1" si="1567"/>
        <v>14</v>
      </c>
      <c r="D1233">
        <f t="shared" ca="1" si="1568"/>
        <v>2</v>
      </c>
      <c r="E1233">
        <f t="shared" ca="1" si="1569"/>
        <v>0</v>
      </c>
      <c r="F1233">
        <f t="shared" ca="1" si="1570"/>
        <v>0</v>
      </c>
      <c r="G1233">
        <f t="shared" ca="1" si="1571"/>
        <v>2</v>
      </c>
      <c r="H1233">
        <f ca="1">IF(OR($A1233="S",$A1233=0),0,MATCH(0,OFFSET($B1233,1,$A1233,ROW($A$1504)-ROW($A1233)),0))</f>
        <v>0</v>
      </c>
      <c r="I1233">
        <f ca="1">IF(OR($A1233="S",$A1233=0),0,MATCH(OFFSET($B1233,0,$A1233)+1,OFFSET($B1233,1,$A1233,ROW($A$1504)-ROW($A1233)),0))</f>
        <v>0</v>
      </c>
      <c r="J1233" s="132" t="s">
        <v>29</v>
      </c>
      <c r="K1233" s="121" t="str">
        <f t="shared" ca="1" si="1572"/>
        <v>14.2.2.</v>
      </c>
      <c r="L1233" s="137" t="str">
        <f t="shared" ca="1" si="1573"/>
        <v>CRESS</v>
      </c>
      <c r="M1233" s="122" t="s">
        <v>78</v>
      </c>
      <c r="N1233" s="139" t="s">
        <v>152</v>
      </c>
      <c r="O1233" s="137" t="str">
        <f ca="1">IF(NOT(ISERROR($Y1233)),IF($Y1233&lt;&gt;FALSE,INDEX(Banco,$Y1233,5),""),"")</f>
        <v>Assistente Social</v>
      </c>
      <c r="P1233" s="138" t="str">
        <f t="shared" ca="1" si="1574"/>
        <v>Horas</v>
      </c>
      <c r="Q1233" s="134">
        <v>16</v>
      </c>
      <c r="R1233" s="124">
        <f t="shared" ca="1" si="1575"/>
        <v>133.81</v>
      </c>
      <c r="S1233" s="136" t="s">
        <v>62</v>
      </c>
      <c r="T1233" s="123">
        <f t="shared" ca="1" si="1576"/>
        <v>167.26</v>
      </c>
      <c r="U1233" s="126">
        <f t="shared" ca="1" si="1577"/>
        <v>2676.16</v>
      </c>
      <c r="V1233" s="1"/>
      <c r="W1233" s="39" t="str">
        <f ca="1">IF(OR($A1233=0,$A1233="S",$A1233&gt;CFF!$A$9),"",MAX(W$11:OFFSET(W1233,-1,0))+1)</f>
        <v/>
      </c>
      <c r="X1233" s="4" t="str">
        <f t="shared" si="1578"/>
        <v>Rec. Humanos-002</v>
      </c>
      <c r="Y1233" s="39">
        <f t="shared" ca="1" si="1579"/>
        <v>4</v>
      </c>
      <c r="Z1233" s="1"/>
      <c r="AA1233" s="133">
        <f>IF($J1233=$G$2,ROUND(IF(ISNUMBER(S1233),S1233,IF(LEFT(S1233,2)="DI",HLOOKUP(S1233,DADOS!$T$29:$X$30,2,FALSE),0)),4),"")</f>
        <v>0.25</v>
      </c>
      <c r="AB1233" s="2"/>
    </row>
    <row r="1234" spans="1:28">
      <c r="A1234">
        <f>CHOOSE(1+LOG(1+2*(J1234=$C$2)+4*(J1234=$D$2)+8*(J1234=$E$2)+16*(J1234=$F$2)+32*(J1234=$G$2),2),0,1,2,3,4,"S")</f>
        <v>2</v>
      </c>
      <c r="B1234">
        <f ca="1">IF(OR(A1234="S",A1234=0),0,IF(ISERROR(I1234),H1234,SMALL(H1234:I1234,1)))</f>
        <v>20</v>
      </c>
      <c r="C1234">
        <f ca="1">IF($A1234=1,OFFSET(C1234,-1,0)+1,OFFSET(C1234,-1,0))</f>
        <v>14</v>
      </c>
      <c r="D1234">
        <f ca="1">IF($A1234=1,0,IF($A1234=2,OFFSET(D1234,-1,0)+1,OFFSET(D1234,-1,0)))</f>
        <v>3</v>
      </c>
      <c r="E1234">
        <f ca="1">IF(AND($A1234&lt;=2,$A1234&lt;&gt;0),0,IF($A1234=3,OFFSET(E1234,-1,0)+1,OFFSET(E1234,-1,0)))</f>
        <v>0</v>
      </c>
      <c r="F1234">
        <f ca="1">IF(AND($A1234&lt;=3,$A1234&lt;&gt;0),0,IF($A1234=4,OFFSET(F1234,-1,0)+1,OFFSET(F1234,-1,0)))</f>
        <v>0</v>
      </c>
      <c r="G1234">
        <f ca="1">IF(AND($A1234&lt;=4,$A1234&lt;&gt;0),0,IF($A1234="S",OFFSET(G1234,-1,0)+1,OFFSET(G1234,-1,0)))</f>
        <v>0</v>
      </c>
      <c r="H1234">
        <f ca="1">IF(OR($A1234="S",$A1234=0),0,MATCH(0,OFFSET($B1234,1,$A1234,ROW($A$1504)-ROW($A1234)),0))</f>
        <v>110</v>
      </c>
      <c r="I1234">
        <f ca="1">IF(OR($A1234="S",$A1234=0),0,MATCH(OFFSET($B1234,0,$A1234)+1,OFFSET($B1234,1,$A1234,ROW($A$1504)-ROW($A1234)),0))</f>
        <v>20</v>
      </c>
      <c r="J1234" s="132" t="s">
        <v>68</v>
      </c>
      <c r="K1234" s="121" t="str">
        <f ca="1">IF($A1234=0,"-",CONCATENATE(C1234&amp;".",IF(AND($A$5&gt;=2,$A1234&gt;=2),D1234&amp;".",""),IF(AND($A$5&gt;=3,$A1234&gt;=3),E1234&amp;".",""),IF(AND($A$5&gt;=4,$A1234&gt;=4),F1234&amp;".",""),IF($A1234="S",G1234&amp;".","")))</f>
        <v>14.3.</v>
      </c>
      <c r="L1234" s="137" t="str">
        <f ca="1">IF(NOT(ISERROR($Y1234)),IF($Y1234&lt;&gt;FALSE,INDEX(Banco,$Y1234,4),""),"")</f>
        <v/>
      </c>
      <c r="M1234" s="122"/>
      <c r="N1234" s="139"/>
      <c r="O1234" s="137" t="s">
        <v>438</v>
      </c>
      <c r="P1234" s="138" t="str">
        <f ca="1">IF(NOT(ISERROR($Y1234)),IF($Y1234&lt;&gt;FALSE,INDEX(Banco,$Y1234,6),""),"")</f>
        <v/>
      </c>
      <c r="Q1234" s="134"/>
      <c r="R1234" s="124">
        <f ca="1">IF(NOT(ISERROR($Y1234)),IF($Y1234&lt;&gt;FALSE,INDEX(Banco,$Y1234,7),0),0)</f>
        <v>0</v>
      </c>
      <c r="S1234" s="136" t="s">
        <v>62</v>
      </c>
      <c r="T1234" s="123">
        <f>IF($J1234=$G$2,ROUND(ROUND($R1234,2)*IF($R$9="Preço Unitário (R$)",1,1+$AA1234),2),0)</f>
        <v>0</v>
      </c>
      <c r="U1234" s="126">
        <f ca="1">IF($A1234="S",VTOTAL1,IF($A1234=0,0,ROUND(SomaAgrup,2)))</f>
        <v>19284.21</v>
      </c>
      <c r="V1234" s="1"/>
      <c r="W1234" s="39">
        <f ca="1">IF(OR($A1234=0,$A1234="S",$A1234&gt;CFF!$A$9),"",MAX(W$11:OFFSET(W1234,-1,0))+1)</f>
        <v>111</v>
      </c>
      <c r="X1234" s="4" t="b">
        <f>IF(AND($J1234=$G$2,$N1234&lt;&gt;"",$M1234&lt;&gt;""),CONCATENATE($M1234,"-",$N1234))</f>
        <v>0</v>
      </c>
      <c r="Y1234" s="39" t="b">
        <f ca="1">IF(X1234&lt;&gt;FALSE,MATCH(X1234,OFFSET(Banco,0,0,,1),0))</f>
        <v>0</v>
      </c>
      <c r="Z1234" s="1"/>
      <c r="AA1234" s="133" t="str">
        <f>IF($J1234=$G$2,ROUND(IF(ISNUMBER(S1234),S1234,IF(LEFT(S1234,2)="DI",HLOOKUP(S1234,DADOS!$T$29:$X$30,2,FALSE),0)),4),"")</f>
        <v/>
      </c>
      <c r="AB1234" s="2"/>
    </row>
    <row r="1235" spans="1:28">
      <c r="A1235" t="str">
        <f t="shared" si="1550"/>
        <v>S</v>
      </c>
      <c r="B1235">
        <f t="shared" si="1551"/>
        <v>0</v>
      </c>
      <c r="C1235">
        <f t="shared" ca="1" si="1567"/>
        <v>14</v>
      </c>
      <c r="D1235">
        <f t="shared" ca="1" si="1568"/>
        <v>3</v>
      </c>
      <c r="E1235">
        <f t="shared" ca="1" si="1569"/>
        <v>0</v>
      </c>
      <c r="F1235">
        <f t="shared" ca="1" si="1570"/>
        <v>0</v>
      </c>
      <c r="G1235">
        <f t="shared" ca="1" si="1571"/>
        <v>1</v>
      </c>
      <c r="H1235">
        <f ca="1">IF(OR($A1235="S",$A1235=0),0,MATCH(0,OFFSET($B1235,1,$A1235,ROW($A$1504)-ROW($A1235)),0))</f>
        <v>0</v>
      </c>
      <c r="I1235">
        <f ca="1">IF(OR($A1235="S",$A1235=0),0,MATCH(OFFSET($B1235,0,$A1235)+1,OFFSET($B1235,1,$A1235,ROW($A$1504)-ROW($A1235)),0))</f>
        <v>0</v>
      </c>
      <c r="J1235" s="132" t="s">
        <v>29</v>
      </c>
      <c r="K1235" s="121" t="str">
        <f t="shared" ca="1" si="1557"/>
        <v>14.3.1.</v>
      </c>
      <c r="L1235" s="137" t="str">
        <f t="shared" ca="1" si="1573"/>
        <v>CRESS</v>
      </c>
      <c r="M1235" s="122" t="s">
        <v>78</v>
      </c>
      <c r="N1235" s="139" t="s">
        <v>149</v>
      </c>
      <c r="O1235" s="137" t="str">
        <f ca="1">IF(NOT(ISERROR($Y1235)),IF($Y1235&lt;&gt;FALSE,INDEX(Banco,$Y1235,5),""),"")</f>
        <v>Responsável Técnica</v>
      </c>
      <c r="P1235" s="138" t="str">
        <f t="shared" ca="1" si="1574"/>
        <v>Horas</v>
      </c>
      <c r="Q1235" s="134">
        <v>6</v>
      </c>
      <c r="R1235" s="124">
        <f t="shared" ca="1" si="1575"/>
        <v>150.28</v>
      </c>
      <c r="S1235" s="136" t="s">
        <v>62</v>
      </c>
      <c r="T1235" s="123">
        <f t="shared" ca="1" si="1576"/>
        <v>187.85</v>
      </c>
      <c r="U1235" s="126">
        <f t="shared" ca="1" si="1577"/>
        <v>1127.0999999999999</v>
      </c>
      <c r="V1235" s="1"/>
      <c r="W1235" s="39" t="str">
        <f ca="1">IF(OR($A1235=0,$A1235="S",$A1235&gt;CFF!$A$9),"",MAX(W$11:OFFSET(W1235,-1,0))+1)</f>
        <v/>
      </c>
      <c r="X1235" s="4" t="str">
        <f t="shared" si="1578"/>
        <v>Rec. Humanos-001</v>
      </c>
      <c r="Y1235" s="39">
        <f t="shared" ca="1" si="1564"/>
        <v>3</v>
      </c>
      <c r="Z1235" s="1"/>
      <c r="AA1235" s="133">
        <f>IF($J1235=$G$2,ROUND(IF(ISNUMBER(S1235),S1235,IF(LEFT(S1235,2)="DI",HLOOKUP(S1235,DADOS!$T$29:$X$30,2,FALSE),0)),4),"")</f>
        <v>0.25</v>
      </c>
      <c r="AB1235" s="2"/>
    </row>
    <row r="1236" spans="1:28">
      <c r="A1236" t="str">
        <f t="shared" ref="A1236:A1243" si="1580">CHOOSE(1+LOG(1+2*(J1236=$C$2)+4*(J1236=$D$2)+8*(J1236=$E$2)+16*(J1236=$F$2)+32*(J1236=$G$2),2),0,1,2,3,4,"S")</f>
        <v>S</v>
      </c>
      <c r="B1236">
        <f t="shared" ref="B1236:B1243" si="1581">IF(OR(A1236="S",A1236=0),0,IF(ISERROR(I1236),H1236,SMALL(H1236:I1236,1)))</f>
        <v>0</v>
      </c>
      <c r="C1236">
        <f t="shared" ref="C1236:C1242" ca="1" si="1582">IF($A1236=1,OFFSET(C1236,-1,0)+1,OFFSET(C1236,-1,0))</f>
        <v>14</v>
      </c>
      <c r="D1236">
        <f t="shared" ref="D1236:D1242" ca="1" si="1583">IF($A1236=1,0,IF($A1236=2,OFFSET(D1236,-1,0)+1,OFFSET(D1236,-1,0)))</f>
        <v>3</v>
      </c>
      <c r="E1236">
        <f t="shared" ref="E1236:E1242" ca="1" si="1584">IF(AND($A1236&lt;=2,$A1236&lt;&gt;0),0,IF($A1236=3,OFFSET(E1236,-1,0)+1,OFFSET(E1236,-1,0)))</f>
        <v>0</v>
      </c>
      <c r="F1236">
        <f t="shared" ref="F1236:F1242" ca="1" si="1585">IF(AND($A1236&lt;=3,$A1236&lt;&gt;0),0,IF($A1236=4,OFFSET(F1236,-1,0)+1,OFFSET(F1236,-1,0)))</f>
        <v>0</v>
      </c>
      <c r="G1236">
        <f t="shared" ref="G1236:G1242" ca="1" si="1586">IF(AND($A1236&lt;=4,$A1236&lt;&gt;0),0,IF($A1236="S",OFFSET(G1236,-1,0)+1,OFFSET(G1236,-1,0)))</f>
        <v>2</v>
      </c>
      <c r="H1236">
        <f ca="1">IF(OR($A1236="S",$A1236=0),0,MATCH(0,OFFSET($B1236,1,$A1236,ROW($A$1504)-ROW($A1236)),0))</f>
        <v>0</v>
      </c>
      <c r="I1236">
        <f ca="1">IF(OR($A1236="S",$A1236=0),0,MATCH(OFFSET($B1236,0,$A1236)+1,OFFSET($B1236,1,$A1236,ROW($A$1504)-ROW($A1236)),0))</f>
        <v>0</v>
      </c>
      <c r="J1236" s="132" t="s">
        <v>29</v>
      </c>
      <c r="K1236" s="121" t="str">
        <f t="shared" ref="K1236:K1243" ca="1" si="1587">IF($A1236=0,"-",CONCATENATE(C1236&amp;".",IF(AND($A$5&gt;=2,$A1236&gt;=2),D1236&amp;".",""),IF(AND($A$5&gt;=3,$A1236&gt;=3),E1236&amp;".",""),IF(AND($A$5&gt;=4,$A1236&gt;=4),F1236&amp;".",""),IF($A1236="S",G1236&amp;".","")))</f>
        <v>14.3.2.</v>
      </c>
      <c r="L1236" s="137" t="str">
        <f t="shared" ref="L1236:L1242" ca="1" si="1588">IF(NOT(ISERROR($Y1236)),IF($Y1236&lt;&gt;FALSE,INDEX(Banco,$Y1236,4),""),"")</f>
        <v>CRESS</v>
      </c>
      <c r="M1236" s="122" t="s">
        <v>78</v>
      </c>
      <c r="N1236" s="139" t="s">
        <v>152</v>
      </c>
      <c r="O1236" s="137" t="str">
        <f t="shared" ref="O1236:O1253" ca="1" si="1589">IF(NOT(ISERROR($Y1236)),IF($Y1236&lt;&gt;FALSE,INDEX(Banco,$Y1236,5),""),"")</f>
        <v>Assistente Social</v>
      </c>
      <c r="P1236" s="138" t="str">
        <f t="shared" ref="P1236:P1242" ca="1" si="1590">IF(NOT(ISERROR($Y1236)),IF($Y1236&lt;&gt;FALSE,INDEX(Banco,$Y1236,6),""),"")</f>
        <v>Horas</v>
      </c>
      <c r="Q1236" s="134">
        <v>4</v>
      </c>
      <c r="R1236" s="124">
        <f t="shared" ref="R1236:R1242" ca="1" si="1591">IF(NOT(ISERROR($Y1236)),IF($Y1236&lt;&gt;FALSE,INDEX(Banco,$Y1236,7),0),0)</f>
        <v>133.81</v>
      </c>
      <c r="S1236" s="136" t="s">
        <v>62</v>
      </c>
      <c r="T1236" s="123">
        <f t="shared" ref="T1236:T1242" ca="1" si="1592">IF($J1236=$G$2,ROUND(ROUND($R1236,2)*IF($R$9="Preço Unitário (R$)",1,1+$AA1236),2),0)</f>
        <v>167.26</v>
      </c>
      <c r="U1236" s="126">
        <f t="shared" ref="U1236:U1242" ca="1" si="1593">IF($A1236="S",VTOTAL1,IF($A1236=0,0,ROUND(SomaAgrup,2)))</f>
        <v>669.04</v>
      </c>
      <c r="V1236" s="1"/>
      <c r="W1236" s="39" t="str">
        <f ca="1">IF(OR($A1236=0,$A1236="S",$A1236&gt;CFF!$A$9),"",MAX(W$11:OFFSET(W1236,-1,0))+1)</f>
        <v/>
      </c>
      <c r="X1236" s="4" t="str">
        <f t="shared" ref="X1236:X1242" si="1594">IF(AND($J1236=$G$2,$N1236&lt;&gt;"",$M1236&lt;&gt;""),CONCATENATE($M1236,"-",$N1236))</f>
        <v>Rec. Humanos-002</v>
      </c>
      <c r="Y1236" s="39">
        <f t="shared" ref="Y1236:Y1243" ca="1" si="1595">IF(X1236&lt;&gt;FALSE,MATCH(X1236,OFFSET(Banco,0,0,,1),0))</f>
        <v>4</v>
      </c>
      <c r="Z1236" s="1"/>
      <c r="AA1236" s="133">
        <f>IF($J1236=$G$2,ROUND(IF(ISNUMBER(S1236),S1236,IF(LEFT(S1236,2)="DI",HLOOKUP(S1236,DADOS!$T$29:$X$30,2,FALSE),0)),4),"")</f>
        <v>0.25</v>
      </c>
      <c r="AB1236" s="2"/>
    </row>
    <row r="1237" spans="1:28">
      <c r="A1237" t="str">
        <f t="shared" si="1580"/>
        <v>S</v>
      </c>
      <c r="B1237">
        <f t="shared" si="1581"/>
        <v>0</v>
      </c>
      <c r="C1237">
        <f t="shared" ca="1" si="1582"/>
        <v>14</v>
      </c>
      <c r="D1237">
        <f t="shared" ca="1" si="1583"/>
        <v>3</v>
      </c>
      <c r="E1237">
        <f t="shared" ca="1" si="1584"/>
        <v>0</v>
      </c>
      <c r="F1237">
        <f t="shared" ca="1" si="1585"/>
        <v>0</v>
      </c>
      <c r="G1237">
        <f t="shared" ca="1" si="1586"/>
        <v>3</v>
      </c>
      <c r="H1237">
        <f ca="1">IF(OR($A1237="S",$A1237=0),0,MATCH(0,OFFSET($B1237,1,$A1237,ROW($A$1504)-ROW($A1237)),0))</f>
        <v>0</v>
      </c>
      <c r="I1237">
        <f ca="1">IF(OR($A1237="S",$A1237=0),0,MATCH(OFFSET($B1237,0,$A1237)+1,OFFSET($B1237,1,$A1237,ROW($A$1504)-ROW($A1237)),0))</f>
        <v>0</v>
      </c>
      <c r="J1237" s="132" t="s">
        <v>29</v>
      </c>
      <c r="K1237" s="121" t="str">
        <f t="shared" ca="1" si="1587"/>
        <v>14.3.3.</v>
      </c>
      <c r="L1237" s="137" t="str">
        <f t="shared" ca="1" si="1588"/>
        <v>Cotação</v>
      </c>
      <c r="M1237" s="122" t="s">
        <v>78</v>
      </c>
      <c r="N1237" s="139" t="s">
        <v>151</v>
      </c>
      <c r="O1237" s="137" t="str">
        <f t="shared" ca="1" si="1589"/>
        <v xml:space="preserve">Administrador (Técnico de Apoio) </v>
      </c>
      <c r="P1237" s="138" t="str">
        <f t="shared" ca="1" si="1590"/>
        <v>Horas</v>
      </c>
      <c r="Q1237" s="134">
        <v>4</v>
      </c>
      <c r="R1237" s="124">
        <f t="shared" ca="1" si="1591"/>
        <v>103.65</v>
      </c>
      <c r="S1237" s="136" t="s">
        <v>62</v>
      </c>
      <c r="T1237" s="123">
        <f t="shared" ca="1" si="1592"/>
        <v>129.56</v>
      </c>
      <c r="U1237" s="126">
        <f t="shared" ca="1" si="1593"/>
        <v>518.24</v>
      </c>
      <c r="V1237" s="1"/>
      <c r="W1237" s="39" t="str">
        <f ca="1">IF(OR($A1237=0,$A1237="S",$A1237&gt;CFF!$A$9),"",MAX(W$11:OFFSET(W1237,-1,0))+1)</f>
        <v/>
      </c>
      <c r="X1237" s="4" t="str">
        <f t="shared" si="1594"/>
        <v>Rec. Humanos-003</v>
      </c>
      <c r="Y1237" s="39">
        <f t="shared" ca="1" si="1595"/>
        <v>5</v>
      </c>
      <c r="Z1237" s="1"/>
      <c r="AA1237" s="133">
        <f>IF($J1237=$G$2,ROUND(IF(ISNUMBER(S1237),S1237,IF(LEFT(S1237,2)="DI",HLOOKUP(S1237,DADOS!$T$29:$X$30,2,FALSE),0)),4),"")</f>
        <v>0.25</v>
      </c>
      <c r="AB1237" s="2"/>
    </row>
    <row r="1238" spans="1:28">
      <c r="A1238" t="str">
        <f t="shared" si="1580"/>
        <v>S</v>
      </c>
      <c r="B1238">
        <f t="shared" si="1581"/>
        <v>0</v>
      </c>
      <c r="C1238">
        <f t="shared" ca="1" si="1582"/>
        <v>14</v>
      </c>
      <c r="D1238">
        <f t="shared" ca="1" si="1583"/>
        <v>3</v>
      </c>
      <c r="E1238">
        <f t="shared" ca="1" si="1584"/>
        <v>0</v>
      </c>
      <c r="F1238">
        <f t="shared" ca="1" si="1585"/>
        <v>0</v>
      </c>
      <c r="G1238">
        <f t="shared" ca="1" si="1586"/>
        <v>4</v>
      </c>
      <c r="H1238">
        <f ca="1">IF(OR($A1238="S",$A1238=0),0,MATCH(0,OFFSET($B1238,1,$A1238,ROW($A$1504)-ROW($A1238)),0))</f>
        <v>0</v>
      </c>
      <c r="I1238">
        <f ca="1">IF(OR($A1238="S",$A1238=0),0,MATCH(OFFSET($B1238,0,$A1238)+1,OFFSET($B1238,1,$A1238,ROW($A$1504)-ROW($A1238)),0))</f>
        <v>0</v>
      </c>
      <c r="J1238" s="132" t="s">
        <v>29</v>
      </c>
      <c r="K1238" s="121" t="str">
        <f t="shared" ca="1" si="1587"/>
        <v>14.3.4.</v>
      </c>
      <c r="L1238" s="137" t="str">
        <f t="shared" ca="1" si="1588"/>
        <v>SINE</v>
      </c>
      <c r="M1238" s="122" t="s">
        <v>78</v>
      </c>
      <c r="N1238" s="139" t="s">
        <v>153</v>
      </c>
      <c r="O1238" s="137" t="str">
        <f t="shared" ca="1" si="1589"/>
        <v>Estagiários</v>
      </c>
      <c r="P1238" s="138" t="str">
        <f t="shared" ca="1" si="1590"/>
        <v>Horas</v>
      </c>
      <c r="Q1238" s="134">
        <v>8</v>
      </c>
      <c r="R1238" s="124">
        <f t="shared" ca="1" si="1591"/>
        <v>9.7899999999999991</v>
      </c>
      <c r="S1238" s="136" t="s">
        <v>62</v>
      </c>
      <c r="T1238" s="123">
        <f t="shared" ca="1" si="1592"/>
        <v>12.24</v>
      </c>
      <c r="U1238" s="126">
        <f t="shared" ca="1" si="1593"/>
        <v>97.92</v>
      </c>
      <c r="V1238" s="1"/>
      <c r="W1238" s="39" t="str">
        <f ca="1">IF(OR($A1238=0,$A1238="S",$A1238&gt;CFF!$A$9),"",MAX(W$11:OFFSET(W1238,-1,0))+1)</f>
        <v/>
      </c>
      <c r="X1238" s="4" t="str">
        <f t="shared" si="1594"/>
        <v>Rec. Humanos-004</v>
      </c>
      <c r="Y1238" s="39">
        <f t="shared" ca="1" si="1595"/>
        <v>6</v>
      </c>
      <c r="Z1238" s="1"/>
      <c r="AA1238" s="133">
        <f>IF($J1238=$G$2,ROUND(IF(ISNUMBER(S1238),S1238,IF(LEFT(S1238,2)="DI",HLOOKUP(S1238,DADOS!$T$29:$X$30,2,FALSE),0)),4),"")</f>
        <v>0.25</v>
      </c>
      <c r="AB1238" s="2"/>
    </row>
    <row r="1239" spans="1:28">
      <c r="A1239" t="str">
        <f t="shared" si="1580"/>
        <v>S</v>
      </c>
      <c r="B1239">
        <f t="shared" si="1581"/>
        <v>0</v>
      </c>
      <c r="C1239">
        <f t="shared" ca="1" si="1582"/>
        <v>14</v>
      </c>
      <c r="D1239">
        <f t="shared" ca="1" si="1583"/>
        <v>3</v>
      </c>
      <c r="E1239">
        <f t="shared" ca="1" si="1584"/>
        <v>0</v>
      </c>
      <c r="F1239">
        <f t="shared" ca="1" si="1585"/>
        <v>0</v>
      </c>
      <c r="G1239">
        <f t="shared" ca="1" si="1586"/>
        <v>5</v>
      </c>
      <c r="H1239">
        <f ca="1">IF(OR($A1239="S",$A1239=0),0,MATCH(0,OFFSET($B1239,1,$A1239,ROW($A$1504)-ROW($A1239)),0))</f>
        <v>0</v>
      </c>
      <c r="I1239">
        <f ca="1">IF(OR($A1239="S",$A1239=0),0,MATCH(OFFSET($B1239,0,$A1239)+1,OFFSET($B1239,1,$A1239,ROW($A$1504)-ROW($A1239)),0))</f>
        <v>0</v>
      </c>
      <c r="J1239" s="132" t="s">
        <v>29</v>
      </c>
      <c r="K1239" s="121" t="str">
        <f t="shared" ca="1" si="1587"/>
        <v>14.3.5.</v>
      </c>
      <c r="L1239" s="137" t="str">
        <f t="shared" ca="1" si="1588"/>
        <v>Cotação</v>
      </c>
      <c r="M1239" s="122" t="s">
        <v>80</v>
      </c>
      <c r="N1239" s="139" t="s">
        <v>149</v>
      </c>
      <c r="O1239" s="137" t="str">
        <f t="shared" ca="1" si="1589"/>
        <v>Fotocópias</v>
      </c>
      <c r="P1239" s="138" t="str">
        <f t="shared" ca="1" si="1590"/>
        <v>Unidade</v>
      </c>
      <c r="Q1239" s="134">
        <v>150</v>
      </c>
      <c r="R1239" s="124">
        <f t="shared" ca="1" si="1591"/>
        <v>0.3</v>
      </c>
      <c r="S1239" s="136" t="s">
        <v>62</v>
      </c>
      <c r="T1239" s="123">
        <f t="shared" ca="1" si="1592"/>
        <v>0.38</v>
      </c>
      <c r="U1239" s="126">
        <f t="shared" ca="1" si="1593"/>
        <v>57</v>
      </c>
      <c r="V1239" s="1"/>
      <c r="W1239" s="39" t="str">
        <f ca="1">IF(OR($A1239=0,$A1239="S",$A1239&gt;CFF!$A$9),"",MAX(W$11:OFFSET(W1239,-1,0))+1)</f>
        <v/>
      </c>
      <c r="X1239" s="4" t="str">
        <f t="shared" si="1594"/>
        <v>Serv. Terc.-001</v>
      </c>
      <c r="Y1239" s="39">
        <f t="shared" ca="1" si="1595"/>
        <v>81</v>
      </c>
      <c r="Z1239" s="1"/>
      <c r="AA1239" s="133">
        <f>IF($J1239=$G$2,ROUND(IF(ISNUMBER(S1239),S1239,IF(LEFT(S1239,2)="DI",HLOOKUP(S1239,DADOS!$T$29:$X$30,2,FALSE),0)),4),"")</f>
        <v>0.25</v>
      </c>
      <c r="AB1239" s="2"/>
    </row>
    <row r="1240" spans="1:28">
      <c r="A1240" t="str">
        <f>CHOOSE(1+LOG(1+2*(J1240=$C$2)+4*(J1240=$D$2)+8*(J1240=$E$2)+16*(J1240=$F$2)+32*(J1240=$G$2),2),0,1,2,3,4,"S")</f>
        <v>S</v>
      </c>
      <c r="B1240">
        <f>IF(OR(A1240="S",A1240=0),0,IF(ISERROR(I1240),H1240,SMALL(H1240:I1240,1)))</f>
        <v>0</v>
      </c>
      <c r="C1240">
        <f ca="1">IF($A1240=1,OFFSET(C1240,-1,0)+1,OFFSET(C1240,-1,0))</f>
        <v>14</v>
      </c>
      <c r="D1240">
        <f ca="1">IF($A1240=1,0,IF($A1240=2,OFFSET(D1240,-1,0)+1,OFFSET(D1240,-1,0)))</f>
        <v>3</v>
      </c>
      <c r="E1240">
        <f ca="1">IF(AND($A1240&lt;=2,$A1240&lt;&gt;0),0,IF($A1240=3,OFFSET(E1240,-1,0)+1,OFFSET(E1240,-1,0)))</f>
        <v>0</v>
      </c>
      <c r="F1240">
        <f ca="1">IF(AND($A1240&lt;=3,$A1240&lt;&gt;0),0,IF($A1240=4,OFFSET(F1240,-1,0)+1,OFFSET(F1240,-1,0)))</f>
        <v>0</v>
      </c>
      <c r="G1240">
        <f ca="1">IF(AND($A1240&lt;=4,$A1240&lt;&gt;0),0,IF($A1240="S",OFFSET(G1240,-1,0)+1,OFFSET(G1240,-1,0)))</f>
        <v>6</v>
      </c>
      <c r="H1240">
        <f ca="1">IF(OR($A1240="S",$A1240=0),0,MATCH(0,OFFSET($B1240,1,$A1240,ROW($A$1504)-ROW($A1240)),0))</f>
        <v>0</v>
      </c>
      <c r="I1240">
        <f ca="1">IF(OR($A1240="S",$A1240=0),0,MATCH(OFFSET($B1240,0,$A1240)+1,OFFSET($B1240,1,$A1240,ROW($A$1504)-ROW($A1240)),0))</f>
        <v>0</v>
      </c>
      <c r="J1240" s="132" t="s">
        <v>29</v>
      </c>
      <c r="K1240" s="121" t="str">
        <f ca="1">IF($A1240=0,"-",CONCATENATE(C1240&amp;".",IF(AND($A$5&gt;=2,$A1240&gt;=2),D1240&amp;".",""),IF(AND($A$5&gt;=3,$A1240&gt;=3),E1240&amp;".",""),IF(AND($A$5&gt;=4,$A1240&gt;=4),F1240&amp;".",""),IF($A1240="S",G1240&amp;".","")))</f>
        <v>14.3.6.</v>
      </c>
      <c r="L1240" s="137" t="str">
        <f ca="1">IF(NOT(ISERROR($Y1240)),IF($Y1240&lt;&gt;FALSE,INDEX(Banco,$Y1240,4),""),"")</f>
        <v>Cotação</v>
      </c>
      <c r="M1240" s="122" t="s">
        <v>80</v>
      </c>
      <c r="N1240" s="139" t="s">
        <v>256</v>
      </c>
      <c r="O1240" s="137" t="str">
        <f ca="1">IF(NOT(ISERROR($Y1240)),IF($Y1240&lt;&gt;FALSE,INDEX(Banco,$Y1240,5),""),"")</f>
        <v>Instrutor/Monitor (Educação Fisíca)</v>
      </c>
      <c r="P1240" s="138" t="str">
        <f ca="1">IF(NOT(ISERROR($Y1240)),IF($Y1240&lt;&gt;FALSE,INDEX(Banco,$Y1240,6),""),"")</f>
        <v>Horas</v>
      </c>
      <c r="Q1240" s="134">
        <v>3</v>
      </c>
      <c r="R1240" s="124">
        <f ca="1">IF(NOT(ISERROR($Y1240)),IF($Y1240&lt;&gt;FALSE,INDEX(Banco,$Y1240,7),0),0)</f>
        <v>100</v>
      </c>
      <c r="S1240" s="136" t="s">
        <v>62</v>
      </c>
      <c r="T1240" s="123">
        <f ca="1">IF($J1240=$G$2,ROUND(ROUND($R1240,2)*IF($R$9="Preço Unitário (R$)",1,1+$AA1240),2),0)</f>
        <v>125</v>
      </c>
      <c r="U1240" s="126">
        <f ca="1">IF($A1240="S",VTOTAL1,IF($A1240=0,0,ROUND(SomaAgrup,2)))</f>
        <v>375</v>
      </c>
      <c r="V1240" s="1"/>
      <c r="W1240" s="39" t="str">
        <f ca="1">IF(OR($A1240=0,$A1240="S",$A1240&gt;CFF!$A$9),"",MAX(W$11:OFFSET(W1240,-1,0))+1)</f>
        <v/>
      </c>
      <c r="X1240" s="4" t="str">
        <f>IF(AND($J1240=$G$2,$N1240&lt;&gt;"",$M1240&lt;&gt;""),CONCATENATE($M1240,"-",$N1240))</f>
        <v>Serv. Terc.-017</v>
      </c>
      <c r="Y1240" s="39">
        <f ca="1">IF(X1240&lt;&gt;FALSE,MATCH(X1240,OFFSET(Banco,0,0,,1),0))</f>
        <v>97</v>
      </c>
      <c r="Z1240" s="1"/>
      <c r="AA1240" s="133">
        <f>IF($J1240=$G$2,ROUND(IF(ISNUMBER(S1240),S1240,IF(LEFT(S1240,2)="DI",HLOOKUP(S1240,DADOS!$T$29:$X$30,2,FALSE),0)),4),"")</f>
        <v>0.25</v>
      </c>
      <c r="AB1240" s="2"/>
    </row>
    <row r="1241" spans="1:28">
      <c r="A1241" t="str">
        <f t="shared" si="1580"/>
        <v>S</v>
      </c>
      <c r="B1241">
        <f t="shared" si="1581"/>
        <v>0</v>
      </c>
      <c r="C1241">
        <f t="shared" ca="1" si="1582"/>
        <v>14</v>
      </c>
      <c r="D1241">
        <f t="shared" ca="1" si="1583"/>
        <v>3</v>
      </c>
      <c r="E1241">
        <f t="shared" ca="1" si="1584"/>
        <v>0</v>
      </c>
      <c r="F1241">
        <f t="shared" ca="1" si="1585"/>
        <v>0</v>
      </c>
      <c r="G1241">
        <f t="shared" ca="1" si="1586"/>
        <v>7</v>
      </c>
      <c r="H1241">
        <f ca="1">IF(OR($A1241="S",$A1241=0),0,MATCH(0,OFFSET($B1241,1,$A1241,ROW($A$1504)-ROW($A1241)),0))</f>
        <v>0</v>
      </c>
      <c r="I1241">
        <f ca="1">IF(OR($A1241="S",$A1241=0),0,MATCH(OFFSET($B1241,0,$A1241)+1,OFFSET($B1241,1,$A1241,ROW($A$1504)-ROW($A1241)),0))</f>
        <v>0</v>
      </c>
      <c r="J1241" s="132" t="s">
        <v>29</v>
      </c>
      <c r="K1241" s="121" t="str">
        <f t="shared" ca="1" si="1587"/>
        <v>14.3.7.</v>
      </c>
      <c r="L1241" s="137" t="str">
        <f t="shared" ca="1" si="1588"/>
        <v>Cotação</v>
      </c>
      <c r="M1241" s="122" t="s">
        <v>80</v>
      </c>
      <c r="N1241" s="139" t="s">
        <v>152</v>
      </c>
      <c r="O1241" s="137" t="str">
        <f t="shared" ca="1" si="1589"/>
        <v>Carro de som com gravação de vinheta</v>
      </c>
      <c r="P1241" s="138" t="str">
        <f t="shared" ca="1" si="1590"/>
        <v>Horas</v>
      </c>
      <c r="Q1241" s="134">
        <v>3</v>
      </c>
      <c r="R1241" s="124">
        <f t="shared" ca="1" si="1591"/>
        <v>200</v>
      </c>
      <c r="S1241" s="136" t="s">
        <v>62</v>
      </c>
      <c r="T1241" s="123">
        <f t="shared" ca="1" si="1592"/>
        <v>250</v>
      </c>
      <c r="U1241" s="126">
        <f t="shared" ca="1" si="1593"/>
        <v>750</v>
      </c>
      <c r="V1241" s="1"/>
      <c r="W1241" s="39" t="str">
        <f ca="1">IF(OR($A1241=0,$A1241="S",$A1241&gt;CFF!$A$9),"",MAX(W$11:OFFSET(W1241,-1,0))+1)</f>
        <v/>
      </c>
      <c r="X1241" s="4" t="str">
        <f t="shared" si="1594"/>
        <v>Serv. Terc.-002</v>
      </c>
      <c r="Y1241" s="39">
        <f t="shared" ca="1" si="1595"/>
        <v>82</v>
      </c>
      <c r="Z1241" s="1"/>
      <c r="AA1241" s="133">
        <f>IF($J1241=$G$2,ROUND(IF(ISNUMBER(S1241),S1241,IF(LEFT(S1241,2)="DI",HLOOKUP(S1241,DADOS!$T$29:$X$30,2,FALSE),0)),4),"")</f>
        <v>0.25</v>
      </c>
      <c r="AB1241" s="2"/>
    </row>
    <row r="1242" spans="1:28">
      <c r="A1242" t="str">
        <f t="shared" si="1580"/>
        <v>S</v>
      </c>
      <c r="B1242">
        <f t="shared" si="1581"/>
        <v>0</v>
      </c>
      <c r="C1242">
        <f t="shared" ca="1" si="1582"/>
        <v>14</v>
      </c>
      <c r="D1242">
        <f t="shared" ca="1" si="1583"/>
        <v>3</v>
      </c>
      <c r="E1242">
        <f t="shared" ca="1" si="1584"/>
        <v>0</v>
      </c>
      <c r="F1242">
        <f t="shared" ca="1" si="1585"/>
        <v>0</v>
      </c>
      <c r="G1242">
        <f t="shared" ca="1" si="1586"/>
        <v>8</v>
      </c>
      <c r="H1242">
        <f ca="1">IF(OR($A1242="S",$A1242=0),0,MATCH(0,OFFSET($B1242,1,$A1242,ROW($A$1504)-ROW($A1242)),0))</f>
        <v>0</v>
      </c>
      <c r="I1242">
        <f ca="1">IF(OR($A1242="S",$A1242=0),0,MATCH(OFFSET($B1242,0,$A1242)+1,OFFSET($B1242,1,$A1242,ROW($A$1504)-ROW($A1242)),0))</f>
        <v>0</v>
      </c>
      <c r="J1242" s="132" t="s">
        <v>29</v>
      </c>
      <c r="K1242" s="121" t="str">
        <f t="shared" ca="1" si="1587"/>
        <v>14.3.8.</v>
      </c>
      <c r="L1242" s="137" t="str">
        <f t="shared" ca="1" si="1588"/>
        <v>Cotação</v>
      </c>
      <c r="M1242" s="122" t="s">
        <v>80</v>
      </c>
      <c r="N1242" s="139" t="s">
        <v>154</v>
      </c>
      <c r="O1242" s="137" t="str">
        <f t="shared" ca="1" si="1589"/>
        <v>Locação de caixa térmica</v>
      </c>
      <c r="P1242" s="138" t="str">
        <f t="shared" ca="1" si="1590"/>
        <v>Unidade</v>
      </c>
      <c r="Q1242" s="134">
        <v>2</v>
      </c>
      <c r="R1242" s="124">
        <f t="shared" ca="1" si="1591"/>
        <v>40</v>
      </c>
      <c r="S1242" s="136" t="s">
        <v>62</v>
      </c>
      <c r="T1242" s="123">
        <f t="shared" ca="1" si="1592"/>
        <v>50</v>
      </c>
      <c r="U1242" s="126">
        <f t="shared" ca="1" si="1593"/>
        <v>100</v>
      </c>
      <c r="V1242" s="1"/>
      <c r="W1242" s="39" t="str">
        <f ca="1">IF(OR($A1242=0,$A1242="S",$A1242&gt;CFF!$A$9),"",MAX(W$11:OFFSET(W1242,-1,0))+1)</f>
        <v/>
      </c>
      <c r="X1242" s="4" t="str">
        <f t="shared" si="1594"/>
        <v>Serv. Terc.-005</v>
      </c>
      <c r="Y1242" s="39">
        <f t="shared" ca="1" si="1595"/>
        <v>85</v>
      </c>
      <c r="Z1242" s="1"/>
      <c r="AA1242" s="133">
        <f>IF($J1242=$G$2,ROUND(IF(ISNUMBER(S1242),S1242,IF(LEFT(S1242,2)="DI",HLOOKUP(S1242,DADOS!$T$29:$X$30,2,FALSE),0)),4),"")</f>
        <v>0.25</v>
      </c>
      <c r="AB1242" s="2"/>
    </row>
    <row r="1243" spans="1:28">
      <c r="A1243" t="str">
        <f t="shared" si="1580"/>
        <v>S</v>
      </c>
      <c r="B1243">
        <f t="shared" si="1581"/>
        <v>0</v>
      </c>
      <c r="C1243">
        <f t="shared" ref="C1243:C1253" ca="1" si="1596">IF($A1243=1,OFFSET(C1243,-1,0)+1,OFFSET(C1243,-1,0))</f>
        <v>14</v>
      </c>
      <c r="D1243">
        <f t="shared" ref="D1243:D1253" ca="1" si="1597">IF($A1243=1,0,IF($A1243=2,OFFSET(D1243,-1,0)+1,OFFSET(D1243,-1,0)))</f>
        <v>3</v>
      </c>
      <c r="E1243">
        <f t="shared" ref="E1243:E1253" ca="1" si="1598">IF(AND($A1243&lt;=2,$A1243&lt;&gt;0),0,IF($A1243=3,OFFSET(E1243,-1,0)+1,OFFSET(E1243,-1,0)))</f>
        <v>0</v>
      </c>
      <c r="F1243">
        <f t="shared" ref="F1243:F1253" ca="1" si="1599">IF(AND($A1243&lt;=3,$A1243&lt;&gt;0),0,IF($A1243=4,OFFSET(F1243,-1,0)+1,OFFSET(F1243,-1,0)))</f>
        <v>0</v>
      </c>
      <c r="G1243">
        <f t="shared" ref="G1243:G1253" ca="1" si="1600">IF(AND($A1243&lt;=4,$A1243&lt;&gt;0),0,IF($A1243="S",OFFSET(G1243,-1,0)+1,OFFSET(G1243,-1,0)))</f>
        <v>9</v>
      </c>
      <c r="H1243">
        <f ca="1">IF(OR($A1243="S",$A1243=0),0,MATCH(0,OFFSET($B1243,1,$A1243,ROW($A$1504)-ROW($A1243)),0))</f>
        <v>0</v>
      </c>
      <c r="I1243">
        <f ca="1">IF(OR($A1243="S",$A1243=0),0,MATCH(OFFSET($B1243,0,$A1243)+1,OFFSET($B1243,1,$A1243,ROW($A$1504)-ROW($A1243)),0))</f>
        <v>0</v>
      </c>
      <c r="J1243" s="132" t="s">
        <v>29</v>
      </c>
      <c r="K1243" s="121" t="str">
        <f t="shared" ca="1" si="1587"/>
        <v>14.3.9.</v>
      </c>
      <c r="L1243" s="137" t="str">
        <f t="shared" ref="L1243:L1253" ca="1" si="1601">IF(NOT(ISERROR($Y1243)),IF($Y1243&lt;&gt;FALSE,INDEX(Banco,$Y1243,4),""),"")</f>
        <v>Cotação</v>
      </c>
      <c r="M1243" s="122" t="s">
        <v>80</v>
      </c>
      <c r="N1243" s="139" t="s">
        <v>157</v>
      </c>
      <c r="O1243" s="137" t="str">
        <f t="shared" ca="1" si="1589"/>
        <v>Locação de pula-pula com monitor</v>
      </c>
      <c r="P1243" s="138" t="str">
        <f t="shared" ref="P1243:P1253" ca="1" si="1602">IF(NOT(ISERROR($Y1243)),IF($Y1243&lt;&gt;FALSE,INDEX(Banco,$Y1243,6),""),"")</f>
        <v>Unidade</v>
      </c>
      <c r="Q1243" s="134">
        <v>2</v>
      </c>
      <c r="R1243" s="124">
        <f t="shared" ref="R1243:R1253" ca="1" si="1603">IF(NOT(ISERROR($Y1243)),IF($Y1243&lt;&gt;FALSE,INDEX(Banco,$Y1243,7),0),0)</f>
        <v>220</v>
      </c>
      <c r="S1243" s="136" t="s">
        <v>62</v>
      </c>
      <c r="T1243" s="123">
        <f t="shared" ref="T1243:T1253" ca="1" si="1604">IF($J1243=$G$2,ROUND(ROUND($R1243,2)*IF($R$9="Preço Unitário (R$)",1,1+$AA1243),2),0)</f>
        <v>275</v>
      </c>
      <c r="U1243" s="126">
        <f t="shared" ref="U1243:U1253" ca="1" si="1605">IF($A1243="S",VTOTAL1,IF($A1243=0,0,ROUND(SomaAgrup,2)))</f>
        <v>550</v>
      </c>
      <c r="V1243" s="1"/>
      <c r="W1243" s="39" t="str">
        <f ca="1">IF(OR($A1243=0,$A1243="S",$A1243&gt;CFF!$A$9),"",MAX(W$11:OFFSET(W1243,-1,0))+1)</f>
        <v/>
      </c>
      <c r="X1243" s="4" t="str">
        <f t="shared" ref="X1243:X1253" si="1606">IF(AND($J1243=$G$2,$N1243&lt;&gt;"",$M1243&lt;&gt;""),CONCATENATE($M1243,"-",$N1243))</f>
        <v>Serv. Terc.-008</v>
      </c>
      <c r="Y1243" s="39">
        <f t="shared" ca="1" si="1595"/>
        <v>88</v>
      </c>
      <c r="Z1243" s="1"/>
      <c r="AA1243" s="133">
        <f>IF($J1243=$G$2,ROUND(IF(ISNUMBER(S1243),S1243,IF(LEFT(S1243,2)="DI",HLOOKUP(S1243,DADOS!$T$29:$X$30,2,FALSE),0)),4),"")</f>
        <v>0.25</v>
      </c>
      <c r="AB1243" s="2"/>
    </row>
    <row r="1244" spans="1:28">
      <c r="A1244" t="str">
        <f t="shared" ref="A1244:A1252" si="1607">CHOOSE(1+LOG(1+2*(J1244=$C$2)+4*(J1244=$D$2)+8*(J1244=$E$2)+16*(J1244=$F$2)+32*(J1244=$G$2),2),0,1,2,3,4,"S")</f>
        <v>S</v>
      </c>
      <c r="B1244">
        <f t="shared" ref="B1244:B1252" si="1608">IF(OR(A1244="S",A1244=0),0,IF(ISERROR(I1244),H1244,SMALL(H1244:I1244,1)))</f>
        <v>0</v>
      </c>
      <c r="C1244">
        <f t="shared" ca="1" si="1596"/>
        <v>14</v>
      </c>
      <c r="D1244">
        <f t="shared" ca="1" si="1597"/>
        <v>3</v>
      </c>
      <c r="E1244">
        <f t="shared" ca="1" si="1598"/>
        <v>0</v>
      </c>
      <c r="F1244">
        <f t="shared" ca="1" si="1599"/>
        <v>0</v>
      </c>
      <c r="G1244">
        <f t="shared" ca="1" si="1600"/>
        <v>10</v>
      </c>
      <c r="H1244">
        <f ca="1">IF(OR($A1244="S",$A1244=0),0,MATCH(0,OFFSET($B1244,1,$A1244,ROW($A$1504)-ROW($A1244)),0))</f>
        <v>0</v>
      </c>
      <c r="I1244">
        <f ca="1">IF(OR($A1244="S",$A1244=0),0,MATCH(OFFSET($B1244,0,$A1244)+1,OFFSET($B1244,1,$A1244,ROW($A$1504)-ROW($A1244)),0))</f>
        <v>0</v>
      </c>
      <c r="J1244" s="132" t="s">
        <v>29</v>
      </c>
      <c r="K1244" s="121" t="str">
        <f t="shared" ref="K1244:K1252" ca="1" si="1609">IF($A1244=0,"-",CONCATENATE(C1244&amp;".",IF(AND($A$5&gt;=2,$A1244&gt;=2),D1244&amp;".",""),IF(AND($A$5&gt;=3,$A1244&gt;=3),E1244&amp;".",""),IF(AND($A$5&gt;=4,$A1244&gt;=4),F1244&amp;".",""),IF($A1244="S",G1244&amp;".","")))</f>
        <v>14.3.10.</v>
      </c>
      <c r="L1244" s="137" t="str">
        <f t="shared" ca="1" si="1601"/>
        <v xml:space="preserve">Cotação </v>
      </c>
      <c r="M1244" s="122" t="s">
        <v>80</v>
      </c>
      <c r="N1244" s="139" t="s">
        <v>160</v>
      </c>
      <c r="O1244" s="137" t="str">
        <f t="shared" ca="1" si="1589"/>
        <v>Barra de gelo</v>
      </c>
      <c r="P1244" s="138" t="str">
        <f t="shared" ca="1" si="1602"/>
        <v>Unidade</v>
      </c>
      <c r="Q1244" s="134">
        <v>4</v>
      </c>
      <c r="R1244" s="124">
        <f t="shared" ca="1" si="1603"/>
        <v>12</v>
      </c>
      <c r="S1244" s="136" t="s">
        <v>62</v>
      </c>
      <c r="T1244" s="123">
        <f t="shared" ca="1" si="1604"/>
        <v>15</v>
      </c>
      <c r="U1244" s="126">
        <f t="shared" ca="1" si="1605"/>
        <v>60</v>
      </c>
      <c r="V1244" s="1"/>
      <c r="W1244" s="39" t="str">
        <f ca="1">IF(OR($A1244=0,$A1244="S",$A1244&gt;CFF!$A$9),"",MAX(W$11:OFFSET(W1244,-1,0))+1)</f>
        <v/>
      </c>
      <c r="X1244" s="4" t="str">
        <f t="shared" si="1606"/>
        <v>Serv. Terc.-011</v>
      </c>
      <c r="Y1244" s="39">
        <f t="shared" ref="Y1244:Y1252" ca="1" si="1610">IF(X1244&lt;&gt;FALSE,MATCH(X1244,OFFSET(Banco,0,0,,1),0))</f>
        <v>91</v>
      </c>
      <c r="Z1244" s="1"/>
      <c r="AA1244" s="133">
        <f>IF($J1244=$G$2,ROUND(IF(ISNUMBER(S1244),S1244,IF(LEFT(S1244,2)="DI",HLOOKUP(S1244,DADOS!$T$29:$X$30,2,FALSE),0)),4),"")</f>
        <v>0.25</v>
      </c>
      <c r="AB1244" s="2"/>
    </row>
    <row r="1245" spans="1:28">
      <c r="A1245" t="str">
        <f t="shared" si="1607"/>
        <v>S</v>
      </c>
      <c r="B1245">
        <f t="shared" si="1608"/>
        <v>0</v>
      </c>
      <c r="C1245">
        <f t="shared" ca="1" si="1596"/>
        <v>14</v>
      </c>
      <c r="D1245">
        <f t="shared" ca="1" si="1597"/>
        <v>3</v>
      </c>
      <c r="E1245">
        <f t="shared" ca="1" si="1598"/>
        <v>0</v>
      </c>
      <c r="F1245">
        <f t="shared" ca="1" si="1599"/>
        <v>0</v>
      </c>
      <c r="G1245">
        <f t="shared" ca="1" si="1600"/>
        <v>11</v>
      </c>
      <c r="H1245">
        <f ca="1">IF(OR($A1245="S",$A1245=0),0,MATCH(0,OFFSET($B1245,1,$A1245,ROW($A$1504)-ROW($A1245)),0))</f>
        <v>0</v>
      </c>
      <c r="I1245">
        <f ca="1">IF(OR($A1245="S",$A1245=0),0,MATCH(OFFSET($B1245,0,$A1245)+1,OFFSET($B1245,1,$A1245,ROW($A$1504)-ROW($A1245)),0))</f>
        <v>0</v>
      </c>
      <c r="J1245" s="132" t="s">
        <v>29</v>
      </c>
      <c r="K1245" s="121" t="str">
        <f t="shared" ca="1" si="1609"/>
        <v>14.3.11.</v>
      </c>
      <c r="L1245" s="137" t="str">
        <f t="shared" ca="1" si="1601"/>
        <v>Cotação</v>
      </c>
      <c r="M1245" s="122" t="s">
        <v>80</v>
      </c>
      <c r="N1245" s="139" t="s">
        <v>150</v>
      </c>
      <c r="O1245" s="137" t="str">
        <f t="shared" ca="1" si="1589"/>
        <v>Sucos</v>
      </c>
      <c r="P1245" s="138" t="str">
        <f t="shared" ca="1" si="1602"/>
        <v>Unidade</v>
      </c>
      <c r="Q1245" s="134">
        <v>12</v>
      </c>
      <c r="R1245" s="124">
        <f t="shared" ca="1" si="1603"/>
        <v>6.4</v>
      </c>
      <c r="S1245" s="136" t="s">
        <v>62</v>
      </c>
      <c r="T1245" s="123">
        <f t="shared" ca="1" si="1604"/>
        <v>8</v>
      </c>
      <c r="U1245" s="126">
        <f t="shared" ca="1" si="1605"/>
        <v>96</v>
      </c>
      <c r="V1245" s="1"/>
      <c r="W1245" s="39" t="str">
        <f ca="1">IF(OR($A1245=0,$A1245="S",$A1245&gt;CFF!$A$9),"",MAX(W$11:OFFSET(W1245,-1,0))+1)</f>
        <v/>
      </c>
      <c r="X1245" s="4" t="str">
        <f t="shared" si="1606"/>
        <v>Serv. Terc.-013</v>
      </c>
      <c r="Y1245" s="39">
        <f t="shared" ca="1" si="1610"/>
        <v>93</v>
      </c>
      <c r="Z1245" s="1"/>
      <c r="AA1245" s="133">
        <f>IF($J1245=$G$2,ROUND(IF(ISNUMBER(S1245),S1245,IF(LEFT(S1245,2)="DI",HLOOKUP(S1245,DADOS!$T$29:$X$30,2,FALSE),0)),4),"")</f>
        <v>0.25</v>
      </c>
      <c r="AB1245" s="2"/>
    </row>
    <row r="1246" spans="1:28">
      <c r="A1246" t="str">
        <f>CHOOSE(1+LOG(1+2*(J1246=$C$2)+4*(J1246=$D$2)+8*(J1246=$E$2)+16*(J1246=$F$2)+32*(J1246=$G$2),2),0,1,2,3,4,"S")</f>
        <v>S</v>
      </c>
      <c r="B1246">
        <f>IF(OR(A1246="S",A1246=0),0,IF(ISERROR(I1246),H1246,SMALL(H1246:I1246,1)))</f>
        <v>0</v>
      </c>
      <c r="C1246">
        <f t="shared" ca="1" si="1596"/>
        <v>14</v>
      </c>
      <c r="D1246">
        <f t="shared" ca="1" si="1597"/>
        <v>3</v>
      </c>
      <c r="E1246">
        <f t="shared" ca="1" si="1598"/>
        <v>0</v>
      </c>
      <c r="F1246">
        <f t="shared" ca="1" si="1599"/>
        <v>0</v>
      </c>
      <c r="G1246">
        <f t="shared" ca="1" si="1600"/>
        <v>12</v>
      </c>
      <c r="H1246">
        <f ca="1">IF(OR($A1246="S",$A1246=0),0,MATCH(0,OFFSET($B1246,1,$A1246,ROW($A$1504)-ROW($A1246)),0))</f>
        <v>0</v>
      </c>
      <c r="I1246">
        <f ca="1">IF(OR($A1246="S",$A1246=0),0,MATCH(OFFSET($B1246,0,$A1246)+1,OFFSET($B1246,1,$A1246,ROW($A$1504)-ROW($A1246)),0))</f>
        <v>0</v>
      </c>
      <c r="J1246" s="132" t="s">
        <v>29</v>
      </c>
      <c r="K1246" s="121" t="str">
        <f ca="1">IF($A1246=0,"-",CONCATENATE(C1246&amp;".",IF(AND($A$5&gt;=2,$A1246&gt;=2),D1246&amp;".",""),IF(AND($A$5&gt;=3,$A1246&gt;=3),E1246&amp;".",""),IF(AND($A$5&gt;=4,$A1246&gt;=4),F1246&amp;".",""),IF($A1246="S",G1246&amp;".","")))</f>
        <v>14.3.12.</v>
      </c>
      <c r="L1246" s="137" t="str">
        <f t="shared" ca="1" si="1601"/>
        <v>Cotação</v>
      </c>
      <c r="M1246" s="122" t="s">
        <v>80</v>
      </c>
      <c r="N1246" s="139" t="s">
        <v>171</v>
      </c>
      <c r="O1246" s="137" t="str">
        <f ca="1">IF(NOT(ISERROR($Y1246)),IF($Y1246&lt;&gt;FALSE,INDEX(Banco,$Y1246,5),""),"")</f>
        <v xml:space="preserve">Refrigerantes (02 litros) </v>
      </c>
      <c r="P1246" s="138" t="str">
        <f t="shared" ca="1" si="1602"/>
        <v>Unidade</v>
      </c>
      <c r="Q1246" s="134">
        <v>20</v>
      </c>
      <c r="R1246" s="124">
        <f t="shared" ca="1" si="1603"/>
        <v>6</v>
      </c>
      <c r="S1246" s="136" t="s">
        <v>62</v>
      </c>
      <c r="T1246" s="123">
        <f t="shared" ca="1" si="1604"/>
        <v>7.5</v>
      </c>
      <c r="U1246" s="126">
        <f t="shared" ca="1" si="1605"/>
        <v>150</v>
      </c>
      <c r="V1246" s="1"/>
      <c r="W1246" s="39" t="str">
        <f ca="1">IF(OR($A1246=0,$A1246="S",$A1246&gt;CFF!$A$9),"",MAX(W$11:OFFSET(W1246,-1,0))+1)</f>
        <v/>
      </c>
      <c r="X1246" s="4" t="str">
        <f t="shared" si="1606"/>
        <v>Serv. Terc.-027</v>
      </c>
      <c r="Y1246" s="39">
        <f ca="1">IF(X1246&lt;&gt;FALSE,MATCH(X1246,OFFSET(Banco,0,0,,1),0))</f>
        <v>107</v>
      </c>
      <c r="Z1246" s="1"/>
      <c r="AA1246" s="133">
        <f>IF($J1246=$G$2,ROUND(IF(ISNUMBER(S1246),S1246,IF(LEFT(S1246,2)="DI",HLOOKUP(S1246,DADOS!$T$29:$X$30,2,FALSE),0)),4),"")</f>
        <v>0.25</v>
      </c>
      <c r="AB1246" s="2"/>
    </row>
    <row r="1247" spans="1:28">
      <c r="A1247" t="str">
        <f t="shared" si="1607"/>
        <v>S</v>
      </c>
      <c r="B1247">
        <f t="shared" si="1608"/>
        <v>0</v>
      </c>
      <c r="C1247">
        <f t="shared" ca="1" si="1596"/>
        <v>14</v>
      </c>
      <c r="D1247">
        <f t="shared" ca="1" si="1597"/>
        <v>3</v>
      </c>
      <c r="E1247">
        <f t="shared" ca="1" si="1598"/>
        <v>0</v>
      </c>
      <c r="F1247">
        <f t="shared" ca="1" si="1599"/>
        <v>0</v>
      </c>
      <c r="G1247">
        <f t="shared" ca="1" si="1600"/>
        <v>13</v>
      </c>
      <c r="H1247">
        <f ca="1">IF(OR($A1247="S",$A1247=0),0,MATCH(0,OFFSET($B1247,1,$A1247,ROW($A$1504)-ROW($A1247)),0))</f>
        <v>0</v>
      </c>
      <c r="I1247">
        <f ca="1">IF(OR($A1247="S",$A1247=0),0,MATCH(OFFSET($B1247,0,$A1247)+1,OFFSET($B1247,1,$A1247,ROW($A$1504)-ROW($A1247)),0))</f>
        <v>0</v>
      </c>
      <c r="J1247" s="132" t="s">
        <v>29</v>
      </c>
      <c r="K1247" s="121" t="str">
        <f t="shared" ca="1" si="1609"/>
        <v>14.3.13.</v>
      </c>
      <c r="L1247" s="137" t="str">
        <f t="shared" ca="1" si="1601"/>
        <v xml:space="preserve">Cotação </v>
      </c>
      <c r="M1247" s="122" t="s">
        <v>80</v>
      </c>
      <c r="N1247" s="139" t="s">
        <v>159</v>
      </c>
      <c r="O1247" s="137" t="str">
        <f t="shared" ca="1" si="1589"/>
        <v>Brindes ( descrição nos orçamentos e PTS)</v>
      </c>
      <c r="P1247" s="138" t="str">
        <f t="shared" ca="1" si="1602"/>
        <v>Unidade</v>
      </c>
      <c r="Q1247" s="134">
        <v>4</v>
      </c>
      <c r="R1247" s="124">
        <f t="shared" ca="1" si="1603"/>
        <v>120</v>
      </c>
      <c r="S1247" s="136" t="s">
        <v>62</v>
      </c>
      <c r="T1247" s="123">
        <f t="shared" ca="1" si="1604"/>
        <v>150</v>
      </c>
      <c r="U1247" s="126">
        <f t="shared" ca="1" si="1605"/>
        <v>600</v>
      </c>
      <c r="V1247" s="1"/>
      <c r="W1247" s="39" t="str">
        <f ca="1">IF(OR($A1247=0,$A1247="S",$A1247&gt;CFF!$A$9),"",MAX(W$11:OFFSET(W1247,-1,0))+1)</f>
        <v/>
      </c>
      <c r="X1247" s="4" t="str">
        <f t="shared" si="1606"/>
        <v>Serv. Terc.-010</v>
      </c>
      <c r="Y1247" s="39">
        <f t="shared" ca="1" si="1610"/>
        <v>90</v>
      </c>
      <c r="Z1247" s="1"/>
      <c r="AA1247" s="133">
        <f>IF($J1247=$G$2,ROUND(IF(ISNUMBER(S1247),S1247,IF(LEFT(S1247,2)="DI",HLOOKUP(S1247,DADOS!$T$29:$X$30,2,FALSE),0)),4),"")</f>
        <v>0.25</v>
      </c>
      <c r="AB1247" s="2"/>
    </row>
    <row r="1248" spans="1:28">
      <c r="A1248" t="str">
        <f t="shared" si="1607"/>
        <v>S</v>
      </c>
      <c r="B1248">
        <f t="shared" si="1608"/>
        <v>0</v>
      </c>
      <c r="C1248">
        <f t="shared" ca="1" si="1596"/>
        <v>14</v>
      </c>
      <c r="D1248">
        <f t="shared" ca="1" si="1597"/>
        <v>3</v>
      </c>
      <c r="E1248">
        <f t="shared" ca="1" si="1598"/>
        <v>0</v>
      </c>
      <c r="F1248">
        <f t="shared" ca="1" si="1599"/>
        <v>0</v>
      </c>
      <c r="G1248">
        <f t="shared" ca="1" si="1600"/>
        <v>14</v>
      </c>
      <c r="H1248">
        <f ca="1">IF(OR($A1248="S",$A1248=0),0,MATCH(0,OFFSET($B1248,1,$A1248,ROW($A$1504)-ROW($A1248)),0))</f>
        <v>0</v>
      </c>
      <c r="I1248">
        <f ca="1">IF(OR($A1248="S",$A1248=0),0,MATCH(OFFSET($B1248,0,$A1248)+1,OFFSET($B1248,1,$A1248,ROW($A$1504)-ROW($A1248)),0))</f>
        <v>0</v>
      </c>
      <c r="J1248" s="132" t="s">
        <v>29</v>
      </c>
      <c r="K1248" s="121" t="str">
        <f t="shared" ca="1" si="1609"/>
        <v>14.3.14.</v>
      </c>
      <c r="L1248" s="137" t="str">
        <f t="shared" ca="1" si="1601"/>
        <v>Cotação</v>
      </c>
      <c r="M1248" s="122" t="s">
        <v>80</v>
      </c>
      <c r="N1248" s="139" t="s">
        <v>162</v>
      </c>
      <c r="O1248" s="137" t="str">
        <f t="shared" ca="1" si="1589"/>
        <v>Coffee break (salgados)</v>
      </c>
      <c r="P1248" s="138" t="str">
        <f t="shared" ca="1" si="1602"/>
        <v>Centro</v>
      </c>
      <c r="Q1248" s="134">
        <v>15</v>
      </c>
      <c r="R1248" s="124">
        <f t="shared" ca="1" si="1603"/>
        <v>65</v>
      </c>
      <c r="S1248" s="136" t="s">
        <v>62</v>
      </c>
      <c r="T1248" s="123">
        <f t="shared" ca="1" si="1604"/>
        <v>81.25</v>
      </c>
      <c r="U1248" s="126">
        <f t="shared" ca="1" si="1605"/>
        <v>1218.75</v>
      </c>
      <c r="V1248" s="1"/>
      <c r="W1248" s="39" t="str">
        <f ca="1">IF(OR($A1248=0,$A1248="S",$A1248&gt;CFF!$A$9),"",MAX(W$11:OFFSET(W1248,-1,0))+1)</f>
        <v/>
      </c>
      <c r="X1248" s="4" t="str">
        <f t="shared" si="1606"/>
        <v>Serv. Terc.-015</v>
      </c>
      <c r="Y1248" s="39">
        <f t="shared" ca="1" si="1610"/>
        <v>95</v>
      </c>
      <c r="Z1248" s="1"/>
      <c r="AA1248" s="133">
        <f>IF($J1248=$G$2,ROUND(IF(ISNUMBER(S1248),S1248,IF(LEFT(S1248,2)="DI",HLOOKUP(S1248,DADOS!$T$29:$X$30,2,FALSE),0)),4),"")</f>
        <v>0.25</v>
      </c>
      <c r="AB1248" s="2"/>
    </row>
    <row r="1249" spans="1:28">
      <c r="A1249" t="str">
        <f>CHOOSE(1+LOG(1+2*(J1249=$C$2)+4*(J1249=$D$2)+8*(J1249=$E$2)+16*(J1249=$F$2)+32*(J1249=$G$2),2),0,1,2,3,4,"S")</f>
        <v>S</v>
      </c>
      <c r="B1249">
        <f>IF(OR(A1249="S",A1249=0),0,IF(ISERROR(I1249),H1249,SMALL(H1249:I1249,1)))</f>
        <v>0</v>
      </c>
      <c r="C1249">
        <f t="shared" ca="1" si="1596"/>
        <v>14</v>
      </c>
      <c r="D1249">
        <f t="shared" ca="1" si="1597"/>
        <v>3</v>
      </c>
      <c r="E1249">
        <f t="shared" ca="1" si="1598"/>
        <v>0</v>
      </c>
      <c r="F1249">
        <f t="shared" ca="1" si="1599"/>
        <v>0</v>
      </c>
      <c r="G1249">
        <f t="shared" ca="1" si="1600"/>
        <v>15</v>
      </c>
      <c r="H1249">
        <f ca="1">IF(OR($A1249="S",$A1249=0),0,MATCH(0,OFFSET($B1249,1,$A1249,ROW($A$1504)-ROW($A1249)),0))</f>
        <v>0</v>
      </c>
      <c r="I1249">
        <f ca="1">IF(OR($A1249="S",$A1249=0),0,MATCH(OFFSET($B1249,0,$A1249)+1,OFFSET($B1249,1,$A1249,ROW($A$1504)-ROW($A1249)),0))</f>
        <v>0</v>
      </c>
      <c r="J1249" s="132" t="s">
        <v>29</v>
      </c>
      <c r="K1249" s="121" t="str">
        <f ca="1">IF($A1249=0,"-",CONCATENATE(C1249&amp;".",IF(AND($A$5&gt;=2,$A1249&gt;=2),D1249&amp;".",""),IF(AND($A$5&gt;=3,$A1249&gt;=3),E1249&amp;".",""),IF(AND($A$5&gt;=4,$A1249&gt;=4),F1249&amp;".",""),IF($A1249="S",G1249&amp;".","")))</f>
        <v>14.3.15.</v>
      </c>
      <c r="L1249" s="137" t="str">
        <f t="shared" ca="1" si="1601"/>
        <v>COREN</v>
      </c>
      <c r="M1249" s="122" t="s">
        <v>80</v>
      </c>
      <c r="N1249" s="139" t="s">
        <v>246</v>
      </c>
      <c r="O1249" s="137" t="str">
        <f ca="1">IF(NOT(ISERROR($Y1249)),IF($Y1249&lt;&gt;FALSE,INDEX(Banco,$Y1249,5),""),"")</f>
        <v>Enfermeiro padrão</v>
      </c>
      <c r="P1249" s="138" t="str">
        <f t="shared" ca="1" si="1602"/>
        <v>Unidade</v>
      </c>
      <c r="Q1249" s="134">
        <v>4</v>
      </c>
      <c r="R1249" s="124">
        <f t="shared" ca="1" si="1603"/>
        <v>123.02</v>
      </c>
      <c r="S1249" s="136" t="s">
        <v>62</v>
      </c>
      <c r="T1249" s="123">
        <f t="shared" ca="1" si="1604"/>
        <v>153.78</v>
      </c>
      <c r="U1249" s="126">
        <f t="shared" ca="1" si="1605"/>
        <v>615.12</v>
      </c>
      <c r="V1249" s="1"/>
      <c r="W1249" s="39" t="str">
        <f ca="1">IF(OR($A1249=0,$A1249="S",$A1249&gt;CFF!$A$9),"",MAX(W$11:OFFSET(W1249,-1,0))+1)</f>
        <v/>
      </c>
      <c r="X1249" s="4" t="str">
        <f t="shared" si="1606"/>
        <v>Serv. Terc.-080</v>
      </c>
      <c r="Y1249" s="39">
        <f ca="1">IF(X1249&lt;&gt;FALSE,MATCH(X1249,OFFSET(Banco,0,0,,1),0))</f>
        <v>160</v>
      </c>
      <c r="Z1249" s="1"/>
      <c r="AA1249" s="133">
        <f>IF($J1249=$G$2,ROUND(IF(ISNUMBER(S1249),S1249,IF(LEFT(S1249,2)="DI",HLOOKUP(S1249,DADOS!$T$29:$X$30,2,FALSE),0)),4),"")</f>
        <v>0.25</v>
      </c>
      <c r="AB1249" s="2"/>
    </row>
    <row r="1250" spans="1:28">
      <c r="A1250" t="str">
        <f t="shared" si="1607"/>
        <v>S</v>
      </c>
      <c r="B1250">
        <f t="shared" si="1608"/>
        <v>0</v>
      </c>
      <c r="C1250">
        <f t="shared" ca="1" si="1596"/>
        <v>14</v>
      </c>
      <c r="D1250">
        <f t="shared" ca="1" si="1597"/>
        <v>3</v>
      </c>
      <c r="E1250">
        <f t="shared" ca="1" si="1598"/>
        <v>0</v>
      </c>
      <c r="F1250">
        <f t="shared" ca="1" si="1599"/>
        <v>0</v>
      </c>
      <c r="G1250">
        <f t="shared" ca="1" si="1600"/>
        <v>16</v>
      </c>
      <c r="H1250">
        <f ca="1">IF(OR($A1250="S",$A1250=0),0,MATCH(0,OFFSET($B1250,1,$A1250,ROW($A$1504)-ROW($A1250)),0))</f>
        <v>0</v>
      </c>
      <c r="I1250">
        <f ca="1">IF(OR($A1250="S",$A1250=0),0,MATCH(OFFSET($B1250,0,$A1250)+1,OFFSET($B1250,1,$A1250,ROW($A$1504)-ROW($A1250)),0))</f>
        <v>0</v>
      </c>
      <c r="J1250" s="132" t="s">
        <v>29</v>
      </c>
      <c r="K1250" s="121" t="str">
        <f t="shared" ca="1" si="1609"/>
        <v>14.3.16.</v>
      </c>
      <c r="L1250" s="137" t="str">
        <f t="shared" ca="1" si="1601"/>
        <v>Cotação</v>
      </c>
      <c r="M1250" s="122" t="s">
        <v>79</v>
      </c>
      <c r="N1250" s="139" t="s">
        <v>163</v>
      </c>
      <c r="O1250" s="137" t="str">
        <f t="shared" ca="1" si="1589"/>
        <v>Guloseimas (balas e pirulito)</v>
      </c>
      <c r="P1250" s="138" t="str">
        <f t="shared" ca="1" si="1602"/>
        <v>Pacote</v>
      </c>
      <c r="Q1250" s="134">
        <v>4</v>
      </c>
      <c r="R1250" s="124">
        <f t="shared" ca="1" si="1603"/>
        <v>12</v>
      </c>
      <c r="S1250" s="136" t="s">
        <v>62</v>
      </c>
      <c r="T1250" s="123">
        <f t="shared" ca="1" si="1604"/>
        <v>15</v>
      </c>
      <c r="U1250" s="126">
        <f t="shared" ca="1" si="1605"/>
        <v>60</v>
      </c>
      <c r="V1250" s="1"/>
      <c r="W1250" s="39" t="str">
        <f ca="1">IF(OR($A1250=0,$A1250="S",$A1250&gt;CFF!$A$9),"",MAX(W$11:OFFSET(W1250,-1,0))+1)</f>
        <v/>
      </c>
      <c r="X1250" s="4" t="str">
        <f t="shared" si="1606"/>
        <v>Rec. Materiais-020</v>
      </c>
      <c r="Y1250" s="39">
        <f t="shared" ca="1" si="1610"/>
        <v>29</v>
      </c>
      <c r="Z1250" s="1"/>
      <c r="AA1250" s="133">
        <f>IF($J1250=$G$2,ROUND(IF(ISNUMBER(S1250),S1250,IF(LEFT(S1250,2)="DI",HLOOKUP(S1250,DADOS!$T$29:$X$30,2,FALSE),0)),4),"")</f>
        <v>0.25</v>
      </c>
      <c r="AB1250" s="2"/>
    </row>
    <row r="1251" spans="1:28">
      <c r="A1251" t="str">
        <f t="shared" si="1607"/>
        <v>S</v>
      </c>
      <c r="B1251">
        <f t="shared" si="1608"/>
        <v>0</v>
      </c>
      <c r="C1251">
        <f t="shared" ca="1" si="1596"/>
        <v>14</v>
      </c>
      <c r="D1251">
        <f t="shared" ca="1" si="1597"/>
        <v>3</v>
      </c>
      <c r="E1251">
        <f t="shared" ca="1" si="1598"/>
        <v>0</v>
      </c>
      <c r="F1251">
        <f t="shared" ca="1" si="1599"/>
        <v>0</v>
      </c>
      <c r="G1251">
        <f t="shared" ca="1" si="1600"/>
        <v>17</v>
      </c>
      <c r="H1251">
        <f ca="1">IF(OR($A1251="S",$A1251=0),0,MATCH(0,OFFSET($B1251,1,$A1251,ROW($A$1504)-ROW($A1251)),0))</f>
        <v>0</v>
      </c>
      <c r="I1251">
        <f ca="1">IF(OR($A1251="S",$A1251=0),0,MATCH(OFFSET($B1251,0,$A1251)+1,OFFSET($B1251,1,$A1251,ROW($A$1504)-ROW($A1251)),0))</f>
        <v>0</v>
      </c>
      <c r="J1251" s="132" t="s">
        <v>29</v>
      </c>
      <c r="K1251" s="121" t="str">
        <f t="shared" ca="1" si="1609"/>
        <v>14.3.17.</v>
      </c>
      <c r="L1251" s="137" t="str">
        <f t="shared" ca="1" si="1601"/>
        <v>Cotação</v>
      </c>
      <c r="M1251" s="122" t="s">
        <v>79</v>
      </c>
      <c r="N1251" s="139" t="s">
        <v>165</v>
      </c>
      <c r="O1251" s="137" t="str">
        <f t="shared" ca="1" si="1589"/>
        <v>Papel de presente</v>
      </c>
      <c r="P1251" s="138" t="str">
        <f t="shared" ca="1" si="1602"/>
        <v>Folhas</v>
      </c>
      <c r="Q1251" s="134">
        <v>8</v>
      </c>
      <c r="R1251" s="124">
        <f t="shared" ca="1" si="1603"/>
        <v>1.5</v>
      </c>
      <c r="S1251" s="136" t="s">
        <v>62</v>
      </c>
      <c r="T1251" s="123">
        <f t="shared" ca="1" si="1604"/>
        <v>1.88</v>
      </c>
      <c r="U1251" s="126">
        <f t="shared" ca="1" si="1605"/>
        <v>15.04</v>
      </c>
      <c r="V1251" s="1"/>
      <c r="W1251" s="39" t="str">
        <f ca="1">IF(OR($A1251=0,$A1251="S",$A1251&gt;CFF!$A$9),"",MAX(W$11:OFFSET(W1251,-1,0))+1)</f>
        <v/>
      </c>
      <c r="X1251" s="4" t="str">
        <f t="shared" si="1606"/>
        <v>Rec. Materiais-021</v>
      </c>
      <c r="Y1251" s="39">
        <f t="shared" ca="1" si="1610"/>
        <v>30</v>
      </c>
      <c r="Z1251" s="1"/>
      <c r="AA1251" s="133">
        <f>IF($J1251=$G$2,ROUND(IF(ISNUMBER(S1251),S1251,IF(LEFT(S1251,2)="DI",HLOOKUP(S1251,DADOS!$T$29:$X$30,2,FALSE),0)),4),"")</f>
        <v>0.25</v>
      </c>
      <c r="AB1251" s="2"/>
    </row>
    <row r="1252" spans="1:28">
      <c r="A1252" t="str">
        <f t="shared" si="1607"/>
        <v>S</v>
      </c>
      <c r="B1252">
        <f t="shared" si="1608"/>
        <v>0</v>
      </c>
      <c r="C1252">
        <f t="shared" ca="1" si="1596"/>
        <v>14</v>
      </c>
      <c r="D1252">
        <f t="shared" ca="1" si="1597"/>
        <v>3</v>
      </c>
      <c r="E1252">
        <f t="shared" ca="1" si="1598"/>
        <v>0</v>
      </c>
      <c r="F1252">
        <f t="shared" ca="1" si="1599"/>
        <v>0</v>
      </c>
      <c r="G1252">
        <f t="shared" ca="1" si="1600"/>
        <v>18</v>
      </c>
      <c r="H1252">
        <f ca="1">IF(OR($A1252="S",$A1252=0),0,MATCH(0,OFFSET($B1252,1,$A1252,ROW($A$1504)-ROW($A1252)),0))</f>
        <v>0</v>
      </c>
      <c r="I1252">
        <f ca="1">IF(OR($A1252="S",$A1252=0),0,MATCH(OFFSET($B1252,0,$A1252)+1,OFFSET($B1252,1,$A1252,ROW($A$1504)-ROW($A1252)),0))</f>
        <v>0</v>
      </c>
      <c r="J1252" s="132" t="s">
        <v>29</v>
      </c>
      <c r="K1252" s="121" t="str">
        <f t="shared" ca="1" si="1609"/>
        <v>14.3.18.</v>
      </c>
      <c r="L1252" s="137" t="str">
        <f t="shared" ca="1" si="1601"/>
        <v>Cotação</v>
      </c>
      <c r="M1252" s="122" t="s">
        <v>79</v>
      </c>
      <c r="N1252" s="139" t="s">
        <v>170</v>
      </c>
      <c r="O1252" s="137" t="str">
        <f t="shared" ca="1" si="1589"/>
        <v>Saco de lixo (100 litros)</v>
      </c>
      <c r="P1252" s="138" t="str">
        <f t="shared" ca="1" si="1602"/>
        <v>Pacote</v>
      </c>
      <c r="Q1252" s="134">
        <v>2</v>
      </c>
      <c r="R1252" s="124">
        <f t="shared" ca="1" si="1603"/>
        <v>15</v>
      </c>
      <c r="S1252" s="136" t="s">
        <v>62</v>
      </c>
      <c r="T1252" s="123">
        <f t="shared" ca="1" si="1604"/>
        <v>18.75</v>
      </c>
      <c r="U1252" s="126">
        <f t="shared" ca="1" si="1605"/>
        <v>37.5</v>
      </c>
      <c r="V1252" s="1"/>
      <c r="W1252" s="39" t="str">
        <f ca="1">IF(OR($A1252=0,$A1252="S",$A1252&gt;CFF!$A$9),"",MAX(W$11:OFFSET(W1252,-1,0))+1)</f>
        <v/>
      </c>
      <c r="X1252" s="4" t="str">
        <f t="shared" si="1606"/>
        <v>Rec. Materiais-026</v>
      </c>
      <c r="Y1252" s="39">
        <f t="shared" ca="1" si="1610"/>
        <v>35</v>
      </c>
      <c r="Z1252" s="1"/>
      <c r="AA1252" s="133">
        <f>IF($J1252=$G$2,ROUND(IF(ISNUMBER(S1252),S1252,IF(LEFT(S1252,2)="DI",HLOOKUP(S1252,DADOS!$T$29:$X$30,2,FALSE),0)),4),"")</f>
        <v>0.25</v>
      </c>
      <c r="AB1252" s="2"/>
    </row>
    <row r="1253" spans="1:28">
      <c r="A1253" t="str">
        <f>CHOOSE(1+LOG(1+2*(J1253=$C$2)+4*(J1253=$D$2)+8*(J1253=$E$2)+16*(J1253=$F$2)+32*(J1253=$G$2),2),0,1,2,3,4,"S")</f>
        <v>S</v>
      </c>
      <c r="B1253">
        <f>IF(OR(A1253="S",A1253=0),0,IF(ISERROR(I1253),H1253,SMALL(H1253:I1253,1)))</f>
        <v>0</v>
      </c>
      <c r="C1253">
        <f t="shared" ca="1" si="1596"/>
        <v>14</v>
      </c>
      <c r="D1253">
        <f t="shared" ca="1" si="1597"/>
        <v>3</v>
      </c>
      <c r="E1253">
        <f t="shared" ca="1" si="1598"/>
        <v>0</v>
      </c>
      <c r="F1253">
        <f t="shared" ca="1" si="1599"/>
        <v>0</v>
      </c>
      <c r="G1253">
        <f t="shared" ca="1" si="1600"/>
        <v>19</v>
      </c>
      <c r="H1253">
        <f ca="1">IF(OR($A1253="S",$A1253=0),0,MATCH(0,OFFSET($B1253,1,$A1253,ROW($A$1504)-ROW($A1253)),0))</f>
        <v>0</v>
      </c>
      <c r="I1253">
        <f ca="1">IF(OR($A1253="S",$A1253=0),0,MATCH(OFFSET($B1253,0,$A1253)+1,OFFSET($B1253,1,$A1253,ROW($A$1504)-ROW($A1253)),0))</f>
        <v>0</v>
      </c>
      <c r="J1253" s="132" t="s">
        <v>29</v>
      </c>
      <c r="K1253" s="121" t="str">
        <f ca="1">IF($A1253=0,"-",CONCATENATE(C1253&amp;".",IF(AND($A$5&gt;=2,$A1253&gt;=2),D1253&amp;".",""),IF(AND($A$5&gt;=3,$A1253&gt;=3),E1253&amp;".",""),IF(AND($A$5&gt;=4,$A1253&gt;=4),F1253&amp;".",""),IF($A1253="S",G1253&amp;".","")))</f>
        <v>14.3.19.</v>
      </c>
      <c r="L1253" s="137" t="str">
        <f t="shared" ca="1" si="1601"/>
        <v>Cotação</v>
      </c>
      <c r="M1253" s="122" t="s">
        <v>80</v>
      </c>
      <c r="N1253" s="139" t="s">
        <v>221</v>
      </c>
      <c r="O1253" s="137" t="str">
        <f t="shared" ca="1" si="1589"/>
        <v>KIT - Material de higiêne bucal</v>
      </c>
      <c r="P1253" s="138" t="str">
        <f t="shared" ca="1" si="1602"/>
        <v>Kits</v>
      </c>
      <c r="Q1253" s="134">
        <v>250</v>
      </c>
      <c r="R1253" s="124">
        <f t="shared" ca="1" si="1603"/>
        <v>39</v>
      </c>
      <c r="S1253" s="136" t="s">
        <v>62</v>
      </c>
      <c r="T1253" s="123">
        <f t="shared" ca="1" si="1604"/>
        <v>48.75</v>
      </c>
      <c r="U1253" s="126">
        <f t="shared" ca="1" si="1605"/>
        <v>12187.5</v>
      </c>
      <c r="V1253" s="1"/>
      <c r="W1253" s="39" t="str">
        <f ca="1">IF(OR($A1253=0,$A1253="S",$A1253&gt;CFF!$A$9),"",MAX(W$11:OFFSET(W1253,-1,0))+1)</f>
        <v/>
      </c>
      <c r="X1253" s="4" t="str">
        <f t="shared" si="1606"/>
        <v>Serv. Terc.-042</v>
      </c>
      <c r="Y1253" s="39">
        <f ca="1">IF(X1253&lt;&gt;FALSE,MATCH(X1253,OFFSET(Banco,0,0,,1),0))</f>
        <v>122</v>
      </c>
      <c r="Z1253" s="1"/>
      <c r="AA1253" s="133">
        <f>IF($J1253=$G$2,ROUND(IF(ISNUMBER(S1253),S1253,IF(LEFT(S1253,2)="DI",HLOOKUP(S1253,DADOS!$T$29:$X$30,2,FALSE),0)),4),"")</f>
        <v>0.25</v>
      </c>
      <c r="AB1253" s="2"/>
    </row>
    <row r="1254" spans="1:28">
      <c r="A1254">
        <f>CHOOSE(1+LOG(1+2*(J1254=$C$2)+4*(J1254=$D$2)+8*(J1254=$E$2)+16*(J1254=$F$2)+32*(J1254=$G$2),2),0,1,2,3,4,"S")</f>
        <v>2</v>
      </c>
      <c r="B1254">
        <f ca="1">IF(OR(A1254="S",A1254=0),0,IF(ISERROR(I1254),H1254,SMALL(H1254:I1254,1)))</f>
        <v>3</v>
      </c>
      <c r="C1254">
        <f ca="1">IF($A1254=1,OFFSET(C1254,-1,0)+1,OFFSET(C1254,-1,0))</f>
        <v>14</v>
      </c>
      <c r="D1254">
        <f ca="1">IF($A1254=1,0,IF($A1254=2,OFFSET(D1254,-1,0)+1,OFFSET(D1254,-1,0)))</f>
        <v>4</v>
      </c>
      <c r="E1254">
        <f ca="1">IF(AND($A1254&lt;=2,$A1254&lt;&gt;0),0,IF($A1254=3,OFFSET(E1254,-1,0)+1,OFFSET(E1254,-1,0)))</f>
        <v>0</v>
      </c>
      <c r="F1254">
        <f ca="1">IF(AND($A1254&lt;=3,$A1254&lt;&gt;0),0,IF($A1254=4,OFFSET(F1254,-1,0)+1,OFFSET(F1254,-1,0)))</f>
        <v>0</v>
      </c>
      <c r="G1254">
        <f ca="1">IF(AND($A1254&lt;=4,$A1254&lt;&gt;0),0,IF($A1254="S",OFFSET(G1254,-1,0)+1,OFFSET(G1254,-1,0)))</f>
        <v>0</v>
      </c>
      <c r="H1254">
        <f ca="1">IF(OR($A1254="S",$A1254=0),0,MATCH(0,OFFSET($B1254,1,$A1254,ROW($A$1504)-ROW($A1254)),0))</f>
        <v>90</v>
      </c>
      <c r="I1254">
        <f ca="1">IF(OR($A1254="S",$A1254=0),0,MATCH(OFFSET($B1254,0,$A1254)+1,OFFSET($B1254,1,$A1254,ROW($A$1504)-ROW($A1254)),0))</f>
        <v>3</v>
      </c>
      <c r="J1254" s="132" t="s">
        <v>68</v>
      </c>
      <c r="K1254" s="121" t="str">
        <f ca="1">IF($A1254=0,"-",CONCATENATE(C1254&amp;".",IF(AND($A$5&gt;=2,$A1254&gt;=2),D1254&amp;".",""),IF(AND($A$5&gt;=3,$A1254&gt;=3),E1254&amp;".",""),IF(AND($A$5&gt;=4,$A1254&gt;=4),F1254&amp;".",""),IF($A1254="S",G1254&amp;".","")))</f>
        <v>14.4.</v>
      </c>
      <c r="L1254" s="137" t="str">
        <f ca="1">IF(NOT(ISERROR($Y1254)),IF($Y1254&lt;&gt;FALSE,INDEX(Banco,$Y1254,4),""),"")</f>
        <v/>
      </c>
      <c r="M1254" s="122"/>
      <c r="N1254" s="139"/>
      <c r="O1254" s="137" t="s">
        <v>439</v>
      </c>
      <c r="P1254" s="138" t="str">
        <f ca="1">IF(NOT(ISERROR($Y1254)),IF($Y1254&lt;&gt;FALSE,INDEX(Banco,$Y1254,6),""),"")</f>
        <v/>
      </c>
      <c r="Q1254" s="134"/>
      <c r="R1254" s="124">
        <f ca="1">IF(NOT(ISERROR($Y1254)),IF($Y1254&lt;&gt;FALSE,INDEX(Banco,$Y1254,7),0),0)</f>
        <v>0</v>
      </c>
      <c r="S1254" s="136" t="s">
        <v>62</v>
      </c>
      <c r="T1254" s="123">
        <f>IF($J1254=$G$2,ROUND(ROUND($R1254,2)*IF($R$9="Preço Unitário (R$)",1,1+$AA1254),2),0)</f>
        <v>0</v>
      </c>
      <c r="U1254" s="126">
        <f ca="1">IF($A1254="S",VTOTAL1,IF($A1254=0,0,ROUND(SomaAgrup,2)))</f>
        <v>3427.56</v>
      </c>
      <c r="V1254" s="1"/>
      <c r="W1254" s="39">
        <f ca="1">IF(OR($A1254=0,$A1254="S",$A1254&gt;CFF!$A$9),"",MAX(W$11:OFFSET(W1254,-1,0))+1)</f>
        <v>112</v>
      </c>
      <c r="X1254" s="4" t="b">
        <f>IF(AND($J1254=$G$2,$N1254&lt;&gt;"",$M1254&lt;&gt;""),CONCATENATE($M1254,"-",$N1254))</f>
        <v>0</v>
      </c>
      <c r="Y1254" s="39" t="b">
        <f ca="1">IF(X1254&lt;&gt;FALSE,MATCH(X1254,OFFSET(Banco,0,0,,1),0))</f>
        <v>0</v>
      </c>
      <c r="Z1254" s="1"/>
      <c r="AA1254" s="133" t="str">
        <f>IF($J1254=$G$2,ROUND(IF(ISNUMBER(S1254),S1254,IF(LEFT(S1254,2)="DI",HLOOKUP(S1254,DADOS!$T$29:$X$30,2,FALSE),0)),4),"")</f>
        <v/>
      </c>
      <c r="AB1254" s="2"/>
    </row>
    <row r="1255" spans="1:28">
      <c r="A1255" t="str">
        <f t="shared" ref="A1255:A1256" si="1611">CHOOSE(1+LOG(1+2*(J1255=$C$2)+4*(J1255=$D$2)+8*(J1255=$E$2)+16*(J1255=$F$2)+32*(J1255=$G$2),2),0,1,2,3,4,"S")</f>
        <v>S</v>
      </c>
      <c r="B1255">
        <f t="shared" ref="B1255:B1256" si="1612">IF(OR(A1255="S",A1255=0),0,IF(ISERROR(I1255),H1255,SMALL(H1255:I1255,1)))</f>
        <v>0</v>
      </c>
      <c r="C1255">
        <f t="shared" ref="C1255:C1256" ca="1" si="1613">IF($A1255=1,OFFSET(C1255,-1,0)+1,OFFSET(C1255,-1,0))</f>
        <v>14</v>
      </c>
      <c r="D1255">
        <f t="shared" ref="D1255:D1256" ca="1" si="1614">IF($A1255=1,0,IF($A1255=2,OFFSET(D1255,-1,0)+1,OFFSET(D1255,-1,0)))</f>
        <v>4</v>
      </c>
      <c r="E1255">
        <f t="shared" ref="E1255:E1256" ca="1" si="1615">IF(AND($A1255&lt;=2,$A1255&lt;&gt;0),0,IF($A1255=3,OFFSET(E1255,-1,0)+1,OFFSET(E1255,-1,0)))</f>
        <v>0</v>
      </c>
      <c r="F1255">
        <f t="shared" ref="F1255:F1256" ca="1" si="1616">IF(AND($A1255&lt;=3,$A1255&lt;&gt;0),0,IF($A1255=4,OFFSET(F1255,-1,0)+1,OFFSET(F1255,-1,0)))</f>
        <v>0</v>
      </c>
      <c r="G1255">
        <f t="shared" ref="G1255:G1256" ca="1" si="1617">IF(AND($A1255&lt;=4,$A1255&lt;&gt;0),0,IF($A1255="S",OFFSET(G1255,-1,0)+1,OFFSET(G1255,-1,0)))</f>
        <v>1</v>
      </c>
      <c r="H1255">
        <f ca="1">IF(OR($A1255="S",$A1255=0),0,MATCH(0,OFFSET($B1255,1,$A1255,ROW($A$1504)-ROW($A1255)),0))</f>
        <v>0</v>
      </c>
      <c r="I1255">
        <f ca="1">IF(OR($A1255="S",$A1255=0),0,MATCH(OFFSET($B1255,0,$A1255)+1,OFFSET($B1255,1,$A1255,ROW($A$1504)-ROW($A1255)),0))</f>
        <v>0</v>
      </c>
      <c r="J1255" s="132" t="s">
        <v>29</v>
      </c>
      <c r="K1255" s="121" t="str">
        <f t="shared" ref="K1255:K1256" ca="1" si="1618">IF($A1255=0,"-",CONCATENATE(C1255&amp;".",IF(AND($A$5&gt;=2,$A1255&gt;=2),D1255&amp;".",""),IF(AND($A$5&gt;=3,$A1255&gt;=3),E1255&amp;".",""),IF(AND($A$5&gt;=4,$A1255&gt;=4),F1255&amp;".",""),IF($A1255="S",G1255&amp;".","")))</f>
        <v>14.4.1.</v>
      </c>
      <c r="L1255" s="137" t="str">
        <f t="shared" ref="L1255:L1256" ca="1" si="1619">IF(NOT(ISERROR($Y1255)),IF($Y1255&lt;&gt;FALSE,INDEX(Banco,$Y1255,4),""),"")</f>
        <v>CRESS</v>
      </c>
      <c r="M1255" s="122" t="s">
        <v>78</v>
      </c>
      <c r="N1255" s="139" t="s">
        <v>149</v>
      </c>
      <c r="O1255" s="137" t="str">
        <f ca="1">IF(NOT(ISERROR($Y1255)),IF($Y1255&lt;&gt;FALSE,INDEX(Banco,$Y1255,5),""),"")</f>
        <v>Responsável Técnica</v>
      </c>
      <c r="P1255" s="138" t="str">
        <f t="shared" ref="P1255:P1256" ca="1" si="1620">IF(NOT(ISERROR($Y1255)),IF($Y1255&lt;&gt;FALSE,INDEX(Banco,$Y1255,6),""),"")</f>
        <v>Horas</v>
      </c>
      <c r="Q1255" s="134">
        <v>4</v>
      </c>
      <c r="R1255" s="124">
        <f t="shared" ref="R1255:R1256" ca="1" si="1621">IF(NOT(ISERROR($Y1255)),IF($Y1255&lt;&gt;FALSE,INDEX(Banco,$Y1255,7),0),0)</f>
        <v>150.28</v>
      </c>
      <c r="S1255" s="136" t="s">
        <v>62</v>
      </c>
      <c r="T1255" s="123">
        <f t="shared" ref="T1255:T1256" ca="1" si="1622">IF($J1255=$G$2,ROUND(ROUND($R1255,2)*IF($R$9="Preço Unitário (R$)",1,1+$AA1255),2),0)</f>
        <v>187.85</v>
      </c>
      <c r="U1255" s="126">
        <f t="shared" ref="U1255:U1256" ca="1" si="1623">IF($A1255="S",VTOTAL1,IF($A1255=0,0,ROUND(SomaAgrup,2)))</f>
        <v>751.4</v>
      </c>
      <c r="V1255" s="1"/>
      <c r="W1255" s="39" t="str">
        <f ca="1">IF(OR($A1255=0,$A1255="S",$A1255&gt;CFF!$A$9),"",MAX(W$11:OFFSET(W1255,-1,0))+1)</f>
        <v/>
      </c>
      <c r="X1255" s="4" t="str">
        <f t="shared" ref="X1255:X1256" si="1624">IF(AND($J1255=$G$2,$N1255&lt;&gt;"",$M1255&lt;&gt;""),CONCATENATE($M1255,"-",$N1255))</f>
        <v>Rec. Humanos-001</v>
      </c>
      <c r="Y1255" s="39">
        <f t="shared" ref="Y1255:Y1256" ca="1" si="1625">IF(X1255&lt;&gt;FALSE,MATCH(X1255,OFFSET(Banco,0,0,,1),0))</f>
        <v>3</v>
      </c>
      <c r="Z1255" s="1"/>
      <c r="AA1255" s="133">
        <f>IF($J1255=$G$2,ROUND(IF(ISNUMBER(S1255),S1255,IF(LEFT(S1255,2)="DI",HLOOKUP(S1255,DADOS!$T$29:$X$30,2,FALSE),0)),4),"")</f>
        <v>0.25</v>
      </c>
      <c r="AB1255" s="2"/>
    </row>
    <row r="1256" spans="1:28">
      <c r="A1256" t="str">
        <f t="shared" si="1611"/>
        <v>S</v>
      </c>
      <c r="B1256">
        <f t="shared" si="1612"/>
        <v>0</v>
      </c>
      <c r="C1256">
        <f t="shared" ca="1" si="1613"/>
        <v>14</v>
      </c>
      <c r="D1256">
        <f t="shared" ca="1" si="1614"/>
        <v>4</v>
      </c>
      <c r="E1256">
        <f t="shared" ca="1" si="1615"/>
        <v>0</v>
      </c>
      <c r="F1256">
        <f t="shared" ca="1" si="1616"/>
        <v>0</v>
      </c>
      <c r="G1256">
        <f t="shared" ca="1" si="1617"/>
        <v>2</v>
      </c>
      <c r="H1256">
        <f ca="1">IF(OR($A1256="S",$A1256=0),0,MATCH(0,OFFSET($B1256,1,$A1256,ROW($A$1504)-ROW($A1256)),0))</f>
        <v>0</v>
      </c>
      <c r="I1256">
        <f ca="1">IF(OR($A1256="S",$A1256=0),0,MATCH(OFFSET($B1256,0,$A1256)+1,OFFSET($B1256,1,$A1256,ROW($A$1504)-ROW($A1256)),0))</f>
        <v>0</v>
      </c>
      <c r="J1256" s="132" t="s">
        <v>29</v>
      </c>
      <c r="K1256" s="121" t="str">
        <f t="shared" ca="1" si="1618"/>
        <v>14.4.2.</v>
      </c>
      <c r="L1256" s="137" t="str">
        <f t="shared" ca="1" si="1619"/>
        <v>CRESS</v>
      </c>
      <c r="M1256" s="122" t="s">
        <v>78</v>
      </c>
      <c r="N1256" s="139" t="s">
        <v>152</v>
      </c>
      <c r="O1256" s="137" t="str">
        <f ca="1">IF(NOT(ISERROR($Y1256)),IF($Y1256&lt;&gt;FALSE,INDEX(Banco,$Y1256,5),""),"")</f>
        <v>Assistente Social</v>
      </c>
      <c r="P1256" s="138" t="str">
        <f t="shared" ca="1" si="1620"/>
        <v>Horas</v>
      </c>
      <c r="Q1256" s="134">
        <v>16</v>
      </c>
      <c r="R1256" s="124">
        <f t="shared" ca="1" si="1621"/>
        <v>133.81</v>
      </c>
      <c r="S1256" s="136" t="s">
        <v>62</v>
      </c>
      <c r="T1256" s="123">
        <f t="shared" ca="1" si="1622"/>
        <v>167.26</v>
      </c>
      <c r="U1256" s="126">
        <f t="shared" ca="1" si="1623"/>
        <v>2676.16</v>
      </c>
      <c r="V1256" s="1"/>
      <c r="W1256" s="39" t="str">
        <f ca="1">IF(OR($A1256=0,$A1256="S",$A1256&gt;CFF!$A$9),"",MAX(W$11:OFFSET(W1256,-1,0))+1)</f>
        <v/>
      </c>
      <c r="X1256" s="4" t="str">
        <f t="shared" si="1624"/>
        <v>Rec. Humanos-002</v>
      </c>
      <c r="Y1256" s="39">
        <f t="shared" ca="1" si="1625"/>
        <v>4</v>
      </c>
      <c r="Z1256" s="1"/>
      <c r="AA1256" s="133">
        <f>IF($J1256=$G$2,ROUND(IF(ISNUMBER(S1256),S1256,IF(LEFT(S1256,2)="DI",HLOOKUP(S1256,DADOS!$T$29:$X$30,2,FALSE),0)),4),"")</f>
        <v>0.25</v>
      </c>
      <c r="AB1256" s="2"/>
    </row>
    <row r="1257" spans="1:28">
      <c r="A1257">
        <f>CHOOSE(1+LOG(1+2*(J1257=$C$2)+4*(J1257=$D$2)+8*(J1257=$E$2)+16*(J1257=$F$2)+32*(J1257=$G$2),2),0,1,2,3,4,"S")</f>
        <v>2</v>
      </c>
      <c r="B1257">
        <f ca="1">IF(OR(A1257="S",A1257=0),0,IF(ISERROR(I1257),H1257,SMALL(H1257:I1257,1)))</f>
        <v>20</v>
      </c>
      <c r="C1257">
        <f ca="1">IF($A1257=1,OFFSET(C1257,-1,0)+1,OFFSET(C1257,-1,0))</f>
        <v>14</v>
      </c>
      <c r="D1257">
        <f ca="1">IF($A1257=1,0,IF($A1257=2,OFFSET(D1257,-1,0)+1,OFFSET(D1257,-1,0)))</f>
        <v>5</v>
      </c>
      <c r="E1257">
        <f ca="1">IF(AND($A1257&lt;=2,$A1257&lt;&gt;0),0,IF($A1257=3,OFFSET(E1257,-1,0)+1,OFFSET(E1257,-1,0)))</f>
        <v>0</v>
      </c>
      <c r="F1257">
        <f ca="1">IF(AND($A1257&lt;=3,$A1257&lt;&gt;0),0,IF($A1257=4,OFFSET(F1257,-1,0)+1,OFFSET(F1257,-1,0)))</f>
        <v>0</v>
      </c>
      <c r="G1257">
        <f ca="1">IF(AND($A1257&lt;=4,$A1257&lt;&gt;0),0,IF($A1257="S",OFFSET(G1257,-1,0)+1,OFFSET(G1257,-1,0)))</f>
        <v>0</v>
      </c>
      <c r="H1257">
        <f ca="1">IF(OR($A1257="S",$A1257=0),0,MATCH(0,OFFSET($B1257,1,$A1257,ROW($A$1504)-ROW($A1257)),0))</f>
        <v>87</v>
      </c>
      <c r="I1257">
        <f ca="1">IF(OR($A1257="S",$A1257=0),0,MATCH(OFFSET($B1257,0,$A1257)+1,OFFSET($B1257,1,$A1257,ROW($A$1504)-ROW($A1257)),0))</f>
        <v>20</v>
      </c>
      <c r="J1257" s="132" t="s">
        <v>68</v>
      </c>
      <c r="K1257" s="121" t="str">
        <f ca="1">IF($A1257=0,"-",CONCATENATE(C1257&amp;".",IF(AND($A$5&gt;=2,$A1257&gt;=2),D1257&amp;".",""),IF(AND($A$5&gt;=3,$A1257&gt;=3),E1257&amp;".",""),IF(AND($A$5&gt;=4,$A1257&gt;=4),F1257&amp;".",""),IF($A1257="S",G1257&amp;".","")))</f>
        <v>14.5.</v>
      </c>
      <c r="L1257" s="137" t="str">
        <f ca="1">IF(NOT(ISERROR($Y1257)),IF($Y1257&lt;&gt;FALSE,INDEX(Banco,$Y1257,4),""),"")</f>
        <v/>
      </c>
      <c r="M1257" s="122"/>
      <c r="N1257" s="139"/>
      <c r="O1257" s="137" t="s">
        <v>440</v>
      </c>
      <c r="P1257" s="138" t="str">
        <f ca="1">IF(NOT(ISERROR($Y1257)),IF($Y1257&lt;&gt;FALSE,INDEX(Banco,$Y1257,6),""),"")</f>
        <v/>
      </c>
      <c r="Q1257" s="134"/>
      <c r="R1257" s="124">
        <f ca="1">IF(NOT(ISERROR($Y1257)),IF($Y1257&lt;&gt;FALSE,INDEX(Banco,$Y1257,7),0),0)</f>
        <v>0</v>
      </c>
      <c r="S1257" s="136" t="s">
        <v>62</v>
      </c>
      <c r="T1257" s="123">
        <f>IF($J1257=$G$2,ROUND(ROUND($R1257,2)*IF($R$9="Preço Unitário (R$)",1,1+$AA1257),2),0)</f>
        <v>0</v>
      </c>
      <c r="U1257" s="126">
        <f ca="1">IF($A1257="S",VTOTAL1,IF($A1257=0,0,ROUND(SomaAgrup,2)))</f>
        <v>17985.48</v>
      </c>
      <c r="V1257" s="1"/>
      <c r="W1257" s="39">
        <f ca="1">IF(OR($A1257=0,$A1257="S",$A1257&gt;CFF!$A$9),"",MAX(W$11:OFFSET(W1257,-1,0))+1)</f>
        <v>113</v>
      </c>
      <c r="X1257" s="4" t="b">
        <f>IF(AND($J1257=$G$2,$N1257&lt;&gt;"",$M1257&lt;&gt;""),CONCATENATE($M1257,"-",$N1257))</f>
        <v>0</v>
      </c>
      <c r="Y1257" s="39" t="b">
        <f ca="1">IF(X1257&lt;&gt;FALSE,MATCH(X1257,OFFSET(Banco,0,0,,1),0))</f>
        <v>0</v>
      </c>
      <c r="Z1257" s="1"/>
      <c r="AA1257" s="133" t="str">
        <f>IF($J1257=$G$2,ROUND(IF(ISNUMBER(S1257),S1257,IF(LEFT(S1257,2)="DI",HLOOKUP(S1257,DADOS!$T$29:$X$30,2,FALSE),0)),4),"")</f>
        <v/>
      </c>
      <c r="AB1257" s="2"/>
    </row>
    <row r="1258" spans="1:28">
      <c r="A1258" t="str">
        <f t="shared" ref="A1258:A1263" si="1626">CHOOSE(1+LOG(1+2*(J1258=$C$2)+4*(J1258=$D$2)+8*(J1258=$E$2)+16*(J1258=$F$2)+32*(J1258=$G$2),2),0,1,2,3,4,"S")</f>
        <v>S</v>
      </c>
      <c r="B1258">
        <f t="shared" ref="B1258:B1263" si="1627">IF(OR(A1258="S",A1258=0),0,IF(ISERROR(I1258),H1258,SMALL(H1258:I1258,1)))</f>
        <v>0</v>
      </c>
      <c r="C1258">
        <f t="shared" ref="C1258:C1265" ca="1" si="1628">IF($A1258=1,OFFSET(C1258,-1,0)+1,OFFSET(C1258,-1,0))</f>
        <v>14</v>
      </c>
      <c r="D1258">
        <f t="shared" ref="D1258:D1265" ca="1" si="1629">IF($A1258=1,0,IF($A1258=2,OFFSET(D1258,-1,0)+1,OFFSET(D1258,-1,0)))</f>
        <v>5</v>
      </c>
      <c r="E1258">
        <f t="shared" ref="E1258:E1265" ca="1" si="1630">IF(AND($A1258&lt;=2,$A1258&lt;&gt;0),0,IF($A1258=3,OFFSET(E1258,-1,0)+1,OFFSET(E1258,-1,0)))</f>
        <v>0</v>
      </c>
      <c r="F1258">
        <f t="shared" ref="F1258:F1265" ca="1" si="1631">IF(AND($A1258&lt;=3,$A1258&lt;&gt;0),0,IF($A1258=4,OFFSET(F1258,-1,0)+1,OFFSET(F1258,-1,0)))</f>
        <v>0</v>
      </c>
      <c r="G1258">
        <f t="shared" ref="G1258:G1265" ca="1" si="1632">IF(AND($A1258&lt;=4,$A1258&lt;&gt;0),0,IF($A1258="S",OFFSET(G1258,-1,0)+1,OFFSET(G1258,-1,0)))</f>
        <v>1</v>
      </c>
      <c r="H1258">
        <f ca="1">IF(OR($A1258="S",$A1258=0),0,MATCH(0,OFFSET($B1258,1,$A1258,ROW($A$1504)-ROW($A1258)),0))</f>
        <v>0</v>
      </c>
      <c r="I1258">
        <f ca="1">IF(OR($A1258="S",$A1258=0),0,MATCH(OFFSET($B1258,0,$A1258)+1,OFFSET($B1258,1,$A1258,ROW($A$1504)-ROW($A1258)),0))</f>
        <v>0</v>
      </c>
      <c r="J1258" s="132" t="s">
        <v>29</v>
      </c>
      <c r="K1258" s="121" t="str">
        <f t="shared" ref="K1258:K1263" ca="1" si="1633">IF($A1258=0,"-",CONCATENATE(C1258&amp;".",IF(AND($A$5&gt;=2,$A1258&gt;=2),D1258&amp;".",""),IF(AND($A$5&gt;=3,$A1258&gt;=3),E1258&amp;".",""),IF(AND($A$5&gt;=4,$A1258&gt;=4),F1258&amp;".",""),IF($A1258="S",G1258&amp;".","")))</f>
        <v>14.5.1.</v>
      </c>
      <c r="L1258" s="137" t="str">
        <f t="shared" ref="L1258:L1265" ca="1" si="1634">IF(NOT(ISERROR($Y1258)),IF($Y1258&lt;&gt;FALSE,INDEX(Banco,$Y1258,4),""),"")</f>
        <v>CRESS</v>
      </c>
      <c r="M1258" s="122" t="s">
        <v>78</v>
      </c>
      <c r="N1258" s="139" t="s">
        <v>149</v>
      </c>
      <c r="O1258" s="137" t="str">
        <f ca="1">IF(NOT(ISERROR($Y1258)),IF($Y1258&lt;&gt;FALSE,INDEX(Banco,$Y1258,5),""),"")</f>
        <v>Responsável Técnica</v>
      </c>
      <c r="P1258" s="138" t="str">
        <f t="shared" ref="P1258:P1265" ca="1" si="1635">IF(NOT(ISERROR($Y1258)),IF($Y1258&lt;&gt;FALSE,INDEX(Banco,$Y1258,6),""),"")</f>
        <v>Horas</v>
      </c>
      <c r="Q1258" s="134">
        <v>9</v>
      </c>
      <c r="R1258" s="124">
        <f t="shared" ref="R1258:R1265" ca="1" si="1636">IF(NOT(ISERROR($Y1258)),IF($Y1258&lt;&gt;FALSE,INDEX(Banco,$Y1258,7),0),0)</f>
        <v>150.28</v>
      </c>
      <c r="S1258" s="136" t="s">
        <v>62</v>
      </c>
      <c r="T1258" s="123">
        <f t="shared" ref="T1258:T1265" ca="1" si="1637">IF($J1258=$G$2,ROUND(ROUND($R1258,2)*IF($R$9="Preço Unitário (R$)",1,1+$AA1258),2),0)</f>
        <v>187.85</v>
      </c>
      <c r="U1258" s="126">
        <f t="shared" ref="U1258:U1265" ca="1" si="1638">IF($A1258="S",VTOTAL1,IF($A1258=0,0,ROUND(SomaAgrup,2)))</f>
        <v>1690.65</v>
      </c>
      <c r="V1258" s="1"/>
      <c r="W1258" s="39" t="str">
        <f ca="1">IF(OR($A1258=0,$A1258="S",$A1258&gt;CFF!$A$9),"",MAX(W$11:OFFSET(W1258,-1,0))+1)</f>
        <v/>
      </c>
      <c r="X1258" s="4" t="str">
        <f t="shared" ref="X1258:X1265" si="1639">IF(AND($J1258=$G$2,$N1258&lt;&gt;"",$M1258&lt;&gt;""),CONCATENATE($M1258,"-",$N1258))</f>
        <v>Rec. Humanos-001</v>
      </c>
      <c r="Y1258" s="39">
        <f t="shared" ref="Y1258:Y1263" ca="1" si="1640">IF(X1258&lt;&gt;FALSE,MATCH(X1258,OFFSET(Banco,0,0,,1),0))</f>
        <v>3</v>
      </c>
      <c r="Z1258" s="1"/>
      <c r="AA1258" s="133">
        <f>IF($J1258=$G$2,ROUND(IF(ISNUMBER(S1258),S1258,IF(LEFT(S1258,2)="DI",HLOOKUP(S1258,DADOS!$T$29:$X$30,2,FALSE),0)),4),"")</f>
        <v>0.25</v>
      </c>
      <c r="AB1258" s="2"/>
    </row>
    <row r="1259" spans="1:28">
      <c r="A1259" t="str">
        <f t="shared" si="1626"/>
        <v>S</v>
      </c>
      <c r="B1259">
        <f t="shared" si="1627"/>
        <v>0</v>
      </c>
      <c r="C1259">
        <f t="shared" ca="1" si="1628"/>
        <v>14</v>
      </c>
      <c r="D1259">
        <f t="shared" ca="1" si="1629"/>
        <v>5</v>
      </c>
      <c r="E1259">
        <f t="shared" ca="1" si="1630"/>
        <v>0</v>
      </c>
      <c r="F1259">
        <f t="shared" ca="1" si="1631"/>
        <v>0</v>
      </c>
      <c r="G1259">
        <f t="shared" ca="1" si="1632"/>
        <v>2</v>
      </c>
      <c r="H1259">
        <f ca="1">IF(OR($A1259="S",$A1259=0),0,MATCH(0,OFFSET($B1259,1,$A1259,ROW($A$1504)-ROW($A1259)),0))</f>
        <v>0</v>
      </c>
      <c r="I1259">
        <f ca="1">IF(OR($A1259="S",$A1259=0),0,MATCH(OFFSET($B1259,0,$A1259)+1,OFFSET($B1259,1,$A1259,ROW($A$1504)-ROW($A1259)),0))</f>
        <v>0</v>
      </c>
      <c r="J1259" s="132" t="s">
        <v>29</v>
      </c>
      <c r="K1259" s="121" t="str">
        <f t="shared" ca="1" si="1633"/>
        <v>14.5.2.</v>
      </c>
      <c r="L1259" s="137" t="str">
        <f t="shared" ca="1" si="1634"/>
        <v>CRESS</v>
      </c>
      <c r="M1259" s="122" t="s">
        <v>78</v>
      </c>
      <c r="N1259" s="139" t="s">
        <v>152</v>
      </c>
      <c r="O1259" s="137" t="str">
        <f t="shared" ref="O1259:O1276" ca="1" si="1641">IF(NOT(ISERROR($Y1259)),IF($Y1259&lt;&gt;FALSE,INDEX(Banco,$Y1259,5),""),"")</f>
        <v>Assistente Social</v>
      </c>
      <c r="P1259" s="138" t="str">
        <f t="shared" ca="1" si="1635"/>
        <v>Horas</v>
      </c>
      <c r="Q1259" s="134">
        <v>7</v>
      </c>
      <c r="R1259" s="124">
        <f t="shared" ca="1" si="1636"/>
        <v>133.81</v>
      </c>
      <c r="S1259" s="136" t="s">
        <v>62</v>
      </c>
      <c r="T1259" s="123">
        <f t="shared" ca="1" si="1637"/>
        <v>167.26</v>
      </c>
      <c r="U1259" s="126">
        <f t="shared" ca="1" si="1638"/>
        <v>1170.82</v>
      </c>
      <c r="V1259" s="1"/>
      <c r="W1259" s="39" t="str">
        <f ca="1">IF(OR($A1259=0,$A1259="S",$A1259&gt;CFF!$A$9),"",MAX(W$11:OFFSET(W1259,-1,0))+1)</f>
        <v/>
      </c>
      <c r="X1259" s="4" t="str">
        <f t="shared" si="1639"/>
        <v>Rec. Humanos-002</v>
      </c>
      <c r="Y1259" s="39">
        <f t="shared" ca="1" si="1640"/>
        <v>4</v>
      </c>
      <c r="Z1259" s="1"/>
      <c r="AA1259" s="133">
        <f>IF($J1259=$G$2,ROUND(IF(ISNUMBER(S1259),S1259,IF(LEFT(S1259,2)="DI",HLOOKUP(S1259,DADOS!$T$29:$X$30,2,FALSE),0)),4),"")</f>
        <v>0.25</v>
      </c>
      <c r="AB1259" s="2"/>
    </row>
    <row r="1260" spans="1:28">
      <c r="A1260" t="str">
        <f t="shared" si="1626"/>
        <v>S</v>
      </c>
      <c r="B1260">
        <f t="shared" si="1627"/>
        <v>0</v>
      </c>
      <c r="C1260">
        <f t="shared" ca="1" si="1628"/>
        <v>14</v>
      </c>
      <c r="D1260">
        <f t="shared" ca="1" si="1629"/>
        <v>5</v>
      </c>
      <c r="E1260">
        <f t="shared" ca="1" si="1630"/>
        <v>0</v>
      </c>
      <c r="F1260">
        <f t="shared" ca="1" si="1631"/>
        <v>0</v>
      </c>
      <c r="G1260">
        <f t="shared" ca="1" si="1632"/>
        <v>3</v>
      </c>
      <c r="H1260">
        <f ca="1">IF(OR($A1260="S",$A1260=0),0,MATCH(0,OFFSET($B1260,1,$A1260,ROW($A$1504)-ROW($A1260)),0))</f>
        <v>0</v>
      </c>
      <c r="I1260">
        <f ca="1">IF(OR($A1260="S",$A1260=0),0,MATCH(OFFSET($B1260,0,$A1260)+1,OFFSET($B1260,1,$A1260,ROW($A$1504)-ROW($A1260)),0))</f>
        <v>0</v>
      </c>
      <c r="J1260" s="132" t="s">
        <v>29</v>
      </c>
      <c r="K1260" s="121" t="str">
        <f t="shared" ca="1" si="1633"/>
        <v>14.5.3.</v>
      </c>
      <c r="L1260" s="137" t="str">
        <f t="shared" ca="1" si="1634"/>
        <v>Cotação</v>
      </c>
      <c r="M1260" s="122" t="s">
        <v>78</v>
      </c>
      <c r="N1260" s="139" t="s">
        <v>151</v>
      </c>
      <c r="O1260" s="137" t="str">
        <f t="shared" ca="1" si="1641"/>
        <v xml:space="preserve">Administrador (Técnico de Apoio) </v>
      </c>
      <c r="P1260" s="138" t="str">
        <f t="shared" ca="1" si="1635"/>
        <v>Horas</v>
      </c>
      <c r="Q1260" s="134">
        <v>4</v>
      </c>
      <c r="R1260" s="124">
        <f t="shared" ca="1" si="1636"/>
        <v>103.65</v>
      </c>
      <c r="S1260" s="136" t="s">
        <v>62</v>
      </c>
      <c r="T1260" s="123">
        <f t="shared" ca="1" si="1637"/>
        <v>129.56</v>
      </c>
      <c r="U1260" s="126">
        <f t="shared" ca="1" si="1638"/>
        <v>518.24</v>
      </c>
      <c r="V1260" s="1"/>
      <c r="W1260" s="39" t="str">
        <f ca="1">IF(OR($A1260=0,$A1260="S",$A1260&gt;CFF!$A$9),"",MAX(W$11:OFFSET(W1260,-1,0))+1)</f>
        <v/>
      </c>
      <c r="X1260" s="4" t="str">
        <f t="shared" si="1639"/>
        <v>Rec. Humanos-003</v>
      </c>
      <c r="Y1260" s="39">
        <f t="shared" ca="1" si="1640"/>
        <v>5</v>
      </c>
      <c r="Z1260" s="1"/>
      <c r="AA1260" s="133">
        <f>IF($J1260=$G$2,ROUND(IF(ISNUMBER(S1260),S1260,IF(LEFT(S1260,2)="DI",HLOOKUP(S1260,DADOS!$T$29:$X$30,2,FALSE),0)),4),"")</f>
        <v>0.25</v>
      </c>
      <c r="AB1260" s="2"/>
    </row>
    <row r="1261" spans="1:28">
      <c r="A1261" t="str">
        <f t="shared" si="1626"/>
        <v>S</v>
      </c>
      <c r="B1261">
        <f t="shared" si="1627"/>
        <v>0</v>
      </c>
      <c r="C1261">
        <f t="shared" ca="1" si="1628"/>
        <v>14</v>
      </c>
      <c r="D1261">
        <f t="shared" ca="1" si="1629"/>
        <v>5</v>
      </c>
      <c r="E1261">
        <f t="shared" ca="1" si="1630"/>
        <v>0</v>
      </c>
      <c r="F1261">
        <f t="shared" ca="1" si="1631"/>
        <v>0</v>
      </c>
      <c r="G1261">
        <f t="shared" ca="1" si="1632"/>
        <v>4</v>
      </c>
      <c r="H1261">
        <f ca="1">IF(OR($A1261="S",$A1261=0),0,MATCH(0,OFFSET($B1261,1,$A1261,ROW($A$1504)-ROW($A1261)),0))</f>
        <v>0</v>
      </c>
      <c r="I1261">
        <f ca="1">IF(OR($A1261="S",$A1261=0),0,MATCH(OFFSET($B1261,0,$A1261)+1,OFFSET($B1261,1,$A1261,ROW($A$1504)-ROW($A1261)),0))</f>
        <v>0</v>
      </c>
      <c r="J1261" s="132" t="s">
        <v>29</v>
      </c>
      <c r="K1261" s="121" t="str">
        <f t="shared" ca="1" si="1633"/>
        <v>14.5.4.</v>
      </c>
      <c r="L1261" s="137" t="str">
        <f t="shared" ca="1" si="1634"/>
        <v>SINE</v>
      </c>
      <c r="M1261" s="122" t="s">
        <v>78</v>
      </c>
      <c r="N1261" s="139" t="s">
        <v>153</v>
      </c>
      <c r="O1261" s="137" t="str">
        <f t="shared" ca="1" si="1641"/>
        <v>Estagiários</v>
      </c>
      <c r="P1261" s="138" t="str">
        <f t="shared" ca="1" si="1635"/>
        <v>Horas</v>
      </c>
      <c r="Q1261" s="134">
        <v>14</v>
      </c>
      <c r="R1261" s="124">
        <f t="shared" ca="1" si="1636"/>
        <v>9.7899999999999991</v>
      </c>
      <c r="S1261" s="136" t="s">
        <v>62</v>
      </c>
      <c r="T1261" s="123">
        <f t="shared" ca="1" si="1637"/>
        <v>12.24</v>
      </c>
      <c r="U1261" s="126">
        <f t="shared" ca="1" si="1638"/>
        <v>171.36</v>
      </c>
      <c r="V1261" s="1"/>
      <c r="W1261" s="39" t="str">
        <f ca="1">IF(OR($A1261=0,$A1261="S",$A1261&gt;CFF!$A$9),"",MAX(W$11:OFFSET(W1261,-1,0))+1)</f>
        <v/>
      </c>
      <c r="X1261" s="4" t="str">
        <f t="shared" si="1639"/>
        <v>Rec. Humanos-004</v>
      </c>
      <c r="Y1261" s="39">
        <f t="shared" ca="1" si="1640"/>
        <v>6</v>
      </c>
      <c r="Z1261" s="1"/>
      <c r="AA1261" s="133">
        <f>IF($J1261=$G$2,ROUND(IF(ISNUMBER(S1261),S1261,IF(LEFT(S1261,2)="DI",HLOOKUP(S1261,DADOS!$T$29:$X$30,2,FALSE),0)),4),"")</f>
        <v>0.25</v>
      </c>
      <c r="AB1261" s="2"/>
    </row>
    <row r="1262" spans="1:28">
      <c r="A1262" t="str">
        <f t="shared" si="1626"/>
        <v>S</v>
      </c>
      <c r="B1262">
        <f t="shared" si="1627"/>
        <v>0</v>
      </c>
      <c r="C1262">
        <f t="shared" ca="1" si="1628"/>
        <v>14</v>
      </c>
      <c r="D1262">
        <f t="shared" ca="1" si="1629"/>
        <v>5</v>
      </c>
      <c r="E1262">
        <f t="shared" ca="1" si="1630"/>
        <v>0</v>
      </c>
      <c r="F1262">
        <f t="shared" ca="1" si="1631"/>
        <v>0</v>
      </c>
      <c r="G1262">
        <f t="shared" ca="1" si="1632"/>
        <v>5</v>
      </c>
      <c r="H1262">
        <f ca="1">IF(OR($A1262="S",$A1262=0),0,MATCH(0,OFFSET($B1262,1,$A1262,ROW($A$1504)-ROW($A1262)),0))</f>
        <v>0</v>
      </c>
      <c r="I1262">
        <f ca="1">IF(OR($A1262="S",$A1262=0),0,MATCH(OFFSET($B1262,0,$A1262)+1,OFFSET($B1262,1,$A1262,ROW($A$1504)-ROW($A1262)),0))</f>
        <v>0</v>
      </c>
      <c r="J1262" s="132" t="s">
        <v>29</v>
      </c>
      <c r="K1262" s="121" t="str">
        <f t="shared" ca="1" si="1633"/>
        <v>14.5.5.</v>
      </c>
      <c r="L1262" s="137" t="str">
        <f t="shared" ca="1" si="1634"/>
        <v>Cotação</v>
      </c>
      <c r="M1262" s="122" t="s">
        <v>80</v>
      </c>
      <c r="N1262" s="139" t="s">
        <v>149</v>
      </c>
      <c r="O1262" s="137" t="str">
        <f t="shared" ca="1" si="1641"/>
        <v>Fotocópias</v>
      </c>
      <c r="P1262" s="138" t="str">
        <f t="shared" ca="1" si="1635"/>
        <v>Unidade</v>
      </c>
      <c r="Q1262" s="134">
        <v>150</v>
      </c>
      <c r="R1262" s="124">
        <f t="shared" ca="1" si="1636"/>
        <v>0.3</v>
      </c>
      <c r="S1262" s="136" t="s">
        <v>62</v>
      </c>
      <c r="T1262" s="123">
        <f t="shared" ca="1" si="1637"/>
        <v>0.38</v>
      </c>
      <c r="U1262" s="126">
        <f t="shared" ca="1" si="1638"/>
        <v>57</v>
      </c>
      <c r="V1262" s="1"/>
      <c r="W1262" s="39" t="str">
        <f ca="1">IF(OR($A1262=0,$A1262="S",$A1262&gt;CFF!$A$9),"",MAX(W$11:OFFSET(W1262,-1,0))+1)</f>
        <v/>
      </c>
      <c r="X1262" s="4" t="str">
        <f t="shared" si="1639"/>
        <v>Serv. Terc.-001</v>
      </c>
      <c r="Y1262" s="39">
        <f t="shared" ca="1" si="1640"/>
        <v>81</v>
      </c>
      <c r="Z1262" s="1"/>
      <c r="AA1262" s="133">
        <f>IF($J1262=$G$2,ROUND(IF(ISNUMBER(S1262),S1262,IF(LEFT(S1262,2)="DI",HLOOKUP(S1262,DADOS!$T$29:$X$30,2,FALSE),0)),4),"")</f>
        <v>0.25</v>
      </c>
      <c r="AB1262" s="2"/>
    </row>
    <row r="1263" spans="1:28">
      <c r="A1263" t="str">
        <f t="shared" si="1626"/>
        <v>S</v>
      </c>
      <c r="B1263">
        <f t="shared" si="1627"/>
        <v>0</v>
      </c>
      <c r="C1263">
        <f ca="1">IF($A1263=1,OFFSET(C1263,-1,0)+1,OFFSET(C1263,-1,0))</f>
        <v>14</v>
      </c>
      <c r="D1263">
        <f ca="1">IF($A1263=1,0,IF($A1263=2,OFFSET(D1263,-1,0)+1,OFFSET(D1263,-1,0)))</f>
        <v>5</v>
      </c>
      <c r="E1263">
        <f ca="1">IF(AND($A1263&lt;=2,$A1263&lt;&gt;0),0,IF($A1263=3,OFFSET(E1263,-1,0)+1,OFFSET(E1263,-1,0)))</f>
        <v>0</v>
      </c>
      <c r="F1263">
        <f ca="1">IF(AND($A1263&lt;=3,$A1263&lt;&gt;0),0,IF($A1263=4,OFFSET(F1263,-1,0)+1,OFFSET(F1263,-1,0)))</f>
        <v>0</v>
      </c>
      <c r="G1263">
        <f ca="1">IF(AND($A1263&lt;=4,$A1263&lt;&gt;0),0,IF($A1263="S",OFFSET(G1263,-1,0)+1,OFFSET(G1263,-1,0)))</f>
        <v>6</v>
      </c>
      <c r="H1263">
        <f ca="1">IF(OR($A1263="S",$A1263=0),0,MATCH(0,OFFSET($B1263,1,$A1263,ROW($A$1504)-ROW($A1263)),0))</f>
        <v>0</v>
      </c>
      <c r="I1263">
        <f ca="1">IF(OR($A1263="S",$A1263=0),0,MATCH(OFFSET($B1263,0,$A1263)+1,OFFSET($B1263,1,$A1263,ROW($A$1504)-ROW($A1263)),0))</f>
        <v>0</v>
      </c>
      <c r="J1263" s="132" t="s">
        <v>29</v>
      </c>
      <c r="K1263" s="121" t="str">
        <f t="shared" ca="1" si="1633"/>
        <v>14.5.6.</v>
      </c>
      <c r="L1263" s="137" t="str">
        <f ca="1">IF(NOT(ISERROR($Y1263)),IF($Y1263&lt;&gt;FALSE,INDEX(Banco,$Y1263,4),""),"")</f>
        <v>Cotação</v>
      </c>
      <c r="M1263" s="122" t="s">
        <v>80</v>
      </c>
      <c r="N1263" s="139" t="s">
        <v>256</v>
      </c>
      <c r="O1263" s="137" t="str">
        <f ca="1">IF(NOT(ISERROR($Y1263)),IF($Y1263&lt;&gt;FALSE,INDEX(Banco,$Y1263,5),""),"")</f>
        <v>Instrutor/Monitor (Educação Fisíca)</v>
      </c>
      <c r="P1263" s="138" t="str">
        <f ca="1">IF(NOT(ISERROR($Y1263)),IF($Y1263&lt;&gt;FALSE,INDEX(Banco,$Y1263,6),""),"")</f>
        <v>Horas</v>
      </c>
      <c r="Q1263" s="134">
        <v>3</v>
      </c>
      <c r="R1263" s="124">
        <f ca="1">IF(NOT(ISERROR($Y1263)),IF($Y1263&lt;&gt;FALSE,INDEX(Banco,$Y1263,7),0),0)</f>
        <v>100</v>
      </c>
      <c r="S1263" s="136" t="s">
        <v>62</v>
      </c>
      <c r="T1263" s="123">
        <f ca="1">IF($J1263=$G$2,ROUND(ROUND($R1263,2)*IF($R$9="Preço Unitário (R$)",1,1+$AA1263),2),0)</f>
        <v>125</v>
      </c>
      <c r="U1263" s="126">
        <f ca="1">IF($A1263="S",VTOTAL1,IF($A1263=0,0,ROUND(SomaAgrup,2)))</f>
        <v>375</v>
      </c>
      <c r="V1263" s="1"/>
      <c r="W1263" s="39" t="str">
        <f ca="1">IF(OR($A1263=0,$A1263="S",$A1263&gt;CFF!$A$9),"",MAX(W$11:OFFSET(W1263,-1,0))+1)</f>
        <v/>
      </c>
      <c r="X1263" s="4" t="str">
        <f>IF(AND($J1263=$G$2,$N1263&lt;&gt;"",$M1263&lt;&gt;""),CONCATENATE($M1263,"-",$N1263))</f>
        <v>Serv. Terc.-017</v>
      </c>
      <c r="Y1263" s="39">
        <f t="shared" ca="1" si="1640"/>
        <v>97</v>
      </c>
      <c r="Z1263" s="1"/>
      <c r="AA1263" s="133">
        <f>IF($J1263=$G$2,ROUND(IF(ISNUMBER(S1263),S1263,IF(LEFT(S1263,2)="DI",HLOOKUP(S1263,DADOS!$T$29:$X$30,2,FALSE),0)),4),"")</f>
        <v>0.25</v>
      </c>
      <c r="AB1263" s="2"/>
    </row>
    <row r="1264" spans="1:28">
      <c r="A1264" t="str">
        <f t="shared" ref="A1264:A1276" si="1642">CHOOSE(1+LOG(1+2*(J1264=$C$2)+4*(J1264=$D$2)+8*(J1264=$E$2)+16*(J1264=$F$2)+32*(J1264=$G$2),2),0,1,2,3,4,"S")</f>
        <v>S</v>
      </c>
      <c r="B1264">
        <f t="shared" ref="B1264:B1276" si="1643">IF(OR(A1264="S",A1264=0),0,IF(ISERROR(I1264),H1264,SMALL(H1264:I1264,1)))</f>
        <v>0</v>
      </c>
      <c r="C1264">
        <f t="shared" ca="1" si="1628"/>
        <v>14</v>
      </c>
      <c r="D1264">
        <f t="shared" ca="1" si="1629"/>
        <v>5</v>
      </c>
      <c r="E1264">
        <f t="shared" ca="1" si="1630"/>
        <v>0</v>
      </c>
      <c r="F1264">
        <f t="shared" ca="1" si="1631"/>
        <v>0</v>
      </c>
      <c r="G1264">
        <f t="shared" ca="1" si="1632"/>
        <v>7</v>
      </c>
      <c r="H1264">
        <f ca="1">IF(OR($A1264="S",$A1264=0),0,MATCH(0,OFFSET($B1264,1,$A1264,ROW($A$1504)-ROW($A1264)),0))</f>
        <v>0</v>
      </c>
      <c r="I1264">
        <f ca="1">IF(OR($A1264="S",$A1264=0),0,MATCH(OFFSET($B1264,0,$A1264)+1,OFFSET($B1264,1,$A1264,ROW($A$1504)-ROW($A1264)),0))</f>
        <v>0</v>
      </c>
      <c r="J1264" s="132" t="s">
        <v>29</v>
      </c>
      <c r="K1264" s="121" t="str">
        <f t="shared" ref="K1264:K1276" ca="1" si="1644">IF($A1264=0,"-",CONCATENATE(C1264&amp;".",IF(AND($A$5&gt;=2,$A1264&gt;=2),D1264&amp;".",""),IF(AND($A$5&gt;=3,$A1264&gt;=3),E1264&amp;".",""),IF(AND($A$5&gt;=4,$A1264&gt;=4),F1264&amp;".",""),IF($A1264="S",G1264&amp;".","")))</f>
        <v>14.5.7.</v>
      </c>
      <c r="L1264" s="137" t="str">
        <f t="shared" ca="1" si="1634"/>
        <v>Cotação</v>
      </c>
      <c r="M1264" s="122" t="s">
        <v>80</v>
      </c>
      <c r="N1264" s="139" t="s">
        <v>152</v>
      </c>
      <c r="O1264" s="137" t="str">
        <f t="shared" ca="1" si="1641"/>
        <v>Carro de som com gravação de vinheta</v>
      </c>
      <c r="P1264" s="138" t="str">
        <f t="shared" ca="1" si="1635"/>
        <v>Horas</v>
      </c>
      <c r="Q1264" s="134">
        <v>3</v>
      </c>
      <c r="R1264" s="124">
        <f t="shared" ca="1" si="1636"/>
        <v>200</v>
      </c>
      <c r="S1264" s="136" t="s">
        <v>62</v>
      </c>
      <c r="T1264" s="123">
        <f t="shared" ca="1" si="1637"/>
        <v>250</v>
      </c>
      <c r="U1264" s="126">
        <f t="shared" ca="1" si="1638"/>
        <v>750</v>
      </c>
      <c r="V1264" s="1"/>
      <c r="W1264" s="39" t="str">
        <f ca="1">IF(OR($A1264=0,$A1264="S",$A1264&gt;CFF!$A$9),"",MAX(W$11:OFFSET(W1264,-1,0))+1)</f>
        <v/>
      </c>
      <c r="X1264" s="4" t="str">
        <f t="shared" si="1639"/>
        <v>Serv. Terc.-002</v>
      </c>
      <c r="Y1264" s="39">
        <f t="shared" ref="Y1264:Y1276" ca="1" si="1645">IF(X1264&lt;&gt;FALSE,MATCH(X1264,OFFSET(Banco,0,0,,1),0))</f>
        <v>82</v>
      </c>
      <c r="Z1264" s="1"/>
      <c r="AA1264" s="133">
        <f>IF($J1264=$G$2,ROUND(IF(ISNUMBER(S1264),S1264,IF(LEFT(S1264,2)="DI",HLOOKUP(S1264,DADOS!$T$29:$X$30,2,FALSE),0)),4),"")</f>
        <v>0.25</v>
      </c>
      <c r="AB1264" s="2"/>
    </row>
    <row r="1265" spans="1:28">
      <c r="A1265" t="str">
        <f t="shared" si="1642"/>
        <v>S</v>
      </c>
      <c r="B1265">
        <f t="shared" si="1643"/>
        <v>0</v>
      </c>
      <c r="C1265">
        <f t="shared" ca="1" si="1628"/>
        <v>14</v>
      </c>
      <c r="D1265">
        <f t="shared" ca="1" si="1629"/>
        <v>5</v>
      </c>
      <c r="E1265">
        <f t="shared" ca="1" si="1630"/>
        <v>0</v>
      </c>
      <c r="F1265">
        <f t="shared" ca="1" si="1631"/>
        <v>0</v>
      </c>
      <c r="G1265">
        <f t="shared" ca="1" si="1632"/>
        <v>8</v>
      </c>
      <c r="H1265">
        <f ca="1">IF(OR($A1265="S",$A1265=0),0,MATCH(0,OFFSET($B1265,1,$A1265,ROW($A$1504)-ROW($A1265)),0))</f>
        <v>0</v>
      </c>
      <c r="I1265">
        <f ca="1">IF(OR($A1265="S",$A1265=0),0,MATCH(OFFSET($B1265,0,$A1265)+1,OFFSET($B1265,1,$A1265,ROW($A$1504)-ROW($A1265)),0))</f>
        <v>0</v>
      </c>
      <c r="J1265" s="132" t="s">
        <v>29</v>
      </c>
      <c r="K1265" s="121" t="str">
        <f t="shared" ca="1" si="1644"/>
        <v>14.5.8.</v>
      </c>
      <c r="L1265" s="137" t="str">
        <f t="shared" ca="1" si="1634"/>
        <v>Cotação</v>
      </c>
      <c r="M1265" s="122" t="s">
        <v>80</v>
      </c>
      <c r="N1265" s="139" t="s">
        <v>154</v>
      </c>
      <c r="O1265" s="137" t="str">
        <f t="shared" ca="1" si="1641"/>
        <v>Locação de caixa térmica</v>
      </c>
      <c r="P1265" s="138" t="str">
        <f t="shared" ca="1" si="1635"/>
        <v>Unidade</v>
      </c>
      <c r="Q1265" s="134">
        <v>2</v>
      </c>
      <c r="R1265" s="124">
        <f t="shared" ca="1" si="1636"/>
        <v>40</v>
      </c>
      <c r="S1265" s="136" t="s">
        <v>62</v>
      </c>
      <c r="T1265" s="123">
        <f t="shared" ca="1" si="1637"/>
        <v>50</v>
      </c>
      <c r="U1265" s="126">
        <f t="shared" ca="1" si="1638"/>
        <v>100</v>
      </c>
      <c r="V1265" s="1"/>
      <c r="W1265" s="39" t="str">
        <f ca="1">IF(OR($A1265=0,$A1265="S",$A1265&gt;CFF!$A$9),"",MAX(W$11:OFFSET(W1265,-1,0))+1)</f>
        <v/>
      </c>
      <c r="X1265" s="4" t="str">
        <f t="shared" si="1639"/>
        <v>Serv. Terc.-005</v>
      </c>
      <c r="Y1265" s="39">
        <f t="shared" ca="1" si="1645"/>
        <v>85</v>
      </c>
      <c r="Z1265" s="1"/>
      <c r="AA1265" s="133">
        <f>IF($J1265=$G$2,ROUND(IF(ISNUMBER(S1265),S1265,IF(LEFT(S1265,2)="DI",HLOOKUP(S1265,DADOS!$T$29:$X$30,2,FALSE),0)),4),"")</f>
        <v>0.25</v>
      </c>
      <c r="AB1265" s="2"/>
    </row>
    <row r="1266" spans="1:28">
      <c r="A1266" t="str">
        <f t="shared" si="1642"/>
        <v>S</v>
      </c>
      <c r="B1266">
        <f t="shared" si="1643"/>
        <v>0</v>
      </c>
      <c r="C1266">
        <f t="shared" ref="C1266:C1305" ca="1" si="1646">IF($A1266=1,OFFSET(C1266,-1,0)+1,OFFSET(C1266,-1,0))</f>
        <v>14</v>
      </c>
      <c r="D1266">
        <f t="shared" ref="D1266:D1305" ca="1" si="1647">IF($A1266=1,0,IF($A1266=2,OFFSET(D1266,-1,0)+1,OFFSET(D1266,-1,0)))</f>
        <v>5</v>
      </c>
      <c r="E1266">
        <f t="shared" ref="E1266:E1305" ca="1" si="1648">IF(AND($A1266&lt;=2,$A1266&lt;&gt;0),0,IF($A1266=3,OFFSET(E1266,-1,0)+1,OFFSET(E1266,-1,0)))</f>
        <v>0</v>
      </c>
      <c r="F1266">
        <f t="shared" ref="F1266:F1305" ca="1" si="1649">IF(AND($A1266&lt;=3,$A1266&lt;&gt;0),0,IF($A1266=4,OFFSET(F1266,-1,0)+1,OFFSET(F1266,-1,0)))</f>
        <v>0</v>
      </c>
      <c r="G1266">
        <f t="shared" ref="G1266:G1305" ca="1" si="1650">IF(AND($A1266&lt;=4,$A1266&lt;&gt;0),0,IF($A1266="S",OFFSET(G1266,-1,0)+1,OFFSET(G1266,-1,0)))</f>
        <v>9</v>
      </c>
      <c r="H1266">
        <f ca="1">IF(OR($A1266="S",$A1266=0),0,MATCH(0,OFFSET($B1266,1,$A1266,ROW($A$1504)-ROW($A1266)),0))</f>
        <v>0</v>
      </c>
      <c r="I1266">
        <f ca="1">IF(OR($A1266="S",$A1266=0),0,MATCH(OFFSET($B1266,0,$A1266)+1,OFFSET($B1266,1,$A1266,ROW($A$1504)-ROW($A1266)),0))</f>
        <v>0</v>
      </c>
      <c r="J1266" s="132" t="s">
        <v>29</v>
      </c>
      <c r="K1266" s="121" t="str">
        <f t="shared" ca="1" si="1644"/>
        <v>14.5.9.</v>
      </c>
      <c r="L1266" s="137" t="str">
        <f t="shared" ref="L1266:L1305" ca="1" si="1651">IF(NOT(ISERROR($Y1266)),IF($Y1266&lt;&gt;FALSE,INDEX(Banco,$Y1266,4),""),"")</f>
        <v>Cotação</v>
      </c>
      <c r="M1266" s="122" t="s">
        <v>80</v>
      </c>
      <c r="N1266" s="139" t="s">
        <v>157</v>
      </c>
      <c r="O1266" s="137" t="str">
        <f t="shared" ca="1" si="1641"/>
        <v>Locação de pula-pula com monitor</v>
      </c>
      <c r="P1266" s="138" t="str">
        <f t="shared" ref="P1266:P1305" ca="1" si="1652">IF(NOT(ISERROR($Y1266)),IF($Y1266&lt;&gt;FALSE,INDEX(Banco,$Y1266,6),""),"")</f>
        <v>Unidade</v>
      </c>
      <c r="Q1266" s="134">
        <v>2</v>
      </c>
      <c r="R1266" s="124">
        <f t="shared" ref="R1266:R1305" ca="1" si="1653">IF(NOT(ISERROR($Y1266)),IF($Y1266&lt;&gt;FALSE,INDEX(Banco,$Y1266,7),0),0)</f>
        <v>220</v>
      </c>
      <c r="S1266" s="136" t="s">
        <v>62</v>
      </c>
      <c r="T1266" s="123">
        <f t="shared" ref="T1266:T1305" ca="1" si="1654">IF($J1266=$G$2,ROUND(ROUND($R1266,2)*IF($R$9="Preço Unitário (R$)",1,1+$AA1266),2),0)</f>
        <v>275</v>
      </c>
      <c r="U1266" s="126">
        <f t="shared" ref="U1266:U1305" ca="1" si="1655">IF($A1266="S",VTOTAL1,IF($A1266=0,0,ROUND(SomaAgrup,2)))</f>
        <v>550</v>
      </c>
      <c r="V1266" s="1"/>
      <c r="W1266" s="39" t="str">
        <f ca="1">IF(OR($A1266=0,$A1266="S",$A1266&gt;CFF!$A$9),"",MAX(W$11:OFFSET(W1266,-1,0))+1)</f>
        <v/>
      </c>
      <c r="X1266" s="4" t="str">
        <f t="shared" ref="X1266:X1305" si="1656">IF(AND($J1266=$G$2,$N1266&lt;&gt;"",$M1266&lt;&gt;""),CONCATENATE($M1266,"-",$N1266))</f>
        <v>Serv. Terc.-008</v>
      </c>
      <c r="Y1266" s="39">
        <f t="shared" ca="1" si="1645"/>
        <v>88</v>
      </c>
      <c r="Z1266" s="1"/>
      <c r="AA1266" s="133">
        <f>IF($J1266=$G$2,ROUND(IF(ISNUMBER(S1266),S1266,IF(LEFT(S1266,2)="DI",HLOOKUP(S1266,DADOS!$T$29:$X$30,2,FALSE),0)),4),"")</f>
        <v>0.25</v>
      </c>
      <c r="AB1266" s="2"/>
    </row>
    <row r="1267" spans="1:28">
      <c r="A1267" t="str">
        <f t="shared" si="1642"/>
        <v>S</v>
      </c>
      <c r="B1267">
        <f t="shared" si="1643"/>
        <v>0</v>
      </c>
      <c r="C1267">
        <f t="shared" ca="1" si="1646"/>
        <v>14</v>
      </c>
      <c r="D1267">
        <f t="shared" ca="1" si="1647"/>
        <v>5</v>
      </c>
      <c r="E1267">
        <f t="shared" ca="1" si="1648"/>
        <v>0</v>
      </c>
      <c r="F1267">
        <f t="shared" ca="1" si="1649"/>
        <v>0</v>
      </c>
      <c r="G1267">
        <f t="shared" ca="1" si="1650"/>
        <v>10</v>
      </c>
      <c r="H1267">
        <f ca="1">IF(OR($A1267="S",$A1267=0),0,MATCH(0,OFFSET($B1267,1,$A1267,ROW($A$1504)-ROW($A1267)),0))</f>
        <v>0</v>
      </c>
      <c r="I1267">
        <f ca="1">IF(OR($A1267="S",$A1267=0),0,MATCH(OFFSET($B1267,0,$A1267)+1,OFFSET($B1267,1,$A1267,ROW($A$1504)-ROW($A1267)),0))</f>
        <v>0</v>
      </c>
      <c r="J1267" s="132" t="s">
        <v>29</v>
      </c>
      <c r="K1267" s="121" t="str">
        <f t="shared" ca="1" si="1644"/>
        <v>14.5.10.</v>
      </c>
      <c r="L1267" s="137" t="str">
        <f t="shared" ca="1" si="1651"/>
        <v xml:space="preserve">Cotação </v>
      </c>
      <c r="M1267" s="122" t="s">
        <v>80</v>
      </c>
      <c r="N1267" s="139" t="s">
        <v>160</v>
      </c>
      <c r="O1267" s="137" t="str">
        <f t="shared" ca="1" si="1641"/>
        <v>Barra de gelo</v>
      </c>
      <c r="P1267" s="138" t="str">
        <f t="shared" ca="1" si="1652"/>
        <v>Unidade</v>
      </c>
      <c r="Q1267" s="134">
        <v>4</v>
      </c>
      <c r="R1267" s="124">
        <f t="shared" ca="1" si="1653"/>
        <v>12</v>
      </c>
      <c r="S1267" s="136" t="s">
        <v>62</v>
      </c>
      <c r="T1267" s="123">
        <f t="shared" ca="1" si="1654"/>
        <v>15</v>
      </c>
      <c r="U1267" s="126">
        <f t="shared" ca="1" si="1655"/>
        <v>60</v>
      </c>
      <c r="V1267" s="1"/>
      <c r="W1267" s="39" t="str">
        <f ca="1">IF(OR($A1267=0,$A1267="S",$A1267&gt;CFF!$A$9),"",MAX(W$11:OFFSET(W1267,-1,0))+1)</f>
        <v/>
      </c>
      <c r="X1267" s="4" t="str">
        <f t="shared" si="1656"/>
        <v>Serv. Terc.-011</v>
      </c>
      <c r="Y1267" s="39">
        <f t="shared" ca="1" si="1645"/>
        <v>91</v>
      </c>
      <c r="Z1267" s="1"/>
      <c r="AA1267" s="133">
        <f>IF($J1267=$G$2,ROUND(IF(ISNUMBER(S1267),S1267,IF(LEFT(S1267,2)="DI",HLOOKUP(S1267,DADOS!$T$29:$X$30,2,FALSE),0)),4),"")</f>
        <v>0.25</v>
      </c>
      <c r="AB1267" s="2"/>
    </row>
    <row r="1268" spans="1:28">
      <c r="A1268" t="str">
        <f t="shared" si="1642"/>
        <v>S</v>
      </c>
      <c r="B1268">
        <f t="shared" si="1643"/>
        <v>0</v>
      </c>
      <c r="C1268">
        <f t="shared" ca="1" si="1646"/>
        <v>14</v>
      </c>
      <c r="D1268">
        <f t="shared" ca="1" si="1647"/>
        <v>5</v>
      </c>
      <c r="E1268">
        <f t="shared" ca="1" si="1648"/>
        <v>0</v>
      </c>
      <c r="F1268">
        <f t="shared" ca="1" si="1649"/>
        <v>0</v>
      </c>
      <c r="G1268">
        <f t="shared" ca="1" si="1650"/>
        <v>11</v>
      </c>
      <c r="H1268">
        <f ca="1">IF(OR($A1268="S",$A1268=0),0,MATCH(0,OFFSET($B1268,1,$A1268,ROW($A$1504)-ROW($A1268)),0))</f>
        <v>0</v>
      </c>
      <c r="I1268">
        <f ca="1">IF(OR($A1268="S",$A1268=0),0,MATCH(OFFSET($B1268,0,$A1268)+1,OFFSET($B1268,1,$A1268,ROW($A$1504)-ROW($A1268)),0))</f>
        <v>0</v>
      </c>
      <c r="J1268" s="132" t="s">
        <v>29</v>
      </c>
      <c r="K1268" s="121" t="str">
        <f t="shared" ca="1" si="1644"/>
        <v>14.5.11.</v>
      </c>
      <c r="L1268" s="137" t="str">
        <f t="shared" ca="1" si="1651"/>
        <v>Cotação</v>
      </c>
      <c r="M1268" s="122" t="s">
        <v>80</v>
      </c>
      <c r="N1268" s="139" t="s">
        <v>150</v>
      </c>
      <c r="O1268" s="137" t="str">
        <f t="shared" ca="1" si="1641"/>
        <v>Sucos</v>
      </c>
      <c r="P1268" s="138" t="str">
        <f t="shared" ca="1" si="1652"/>
        <v>Unidade</v>
      </c>
      <c r="Q1268" s="134">
        <v>12</v>
      </c>
      <c r="R1268" s="124">
        <f t="shared" ca="1" si="1653"/>
        <v>6.4</v>
      </c>
      <c r="S1268" s="136" t="s">
        <v>62</v>
      </c>
      <c r="T1268" s="123">
        <f t="shared" ca="1" si="1654"/>
        <v>8</v>
      </c>
      <c r="U1268" s="126">
        <f t="shared" ca="1" si="1655"/>
        <v>96</v>
      </c>
      <c r="V1268" s="1"/>
      <c r="W1268" s="39" t="str">
        <f ca="1">IF(OR($A1268=0,$A1268="S",$A1268&gt;CFF!$A$9),"",MAX(W$11:OFFSET(W1268,-1,0))+1)</f>
        <v/>
      </c>
      <c r="X1268" s="4" t="str">
        <f t="shared" si="1656"/>
        <v>Serv. Terc.-013</v>
      </c>
      <c r="Y1268" s="39">
        <f t="shared" ca="1" si="1645"/>
        <v>93</v>
      </c>
      <c r="Z1268" s="1"/>
      <c r="AA1268" s="133">
        <f>IF($J1268=$G$2,ROUND(IF(ISNUMBER(S1268),S1268,IF(LEFT(S1268,2)="DI",HLOOKUP(S1268,DADOS!$T$29:$X$30,2,FALSE),0)),4),"")</f>
        <v>0.25</v>
      </c>
      <c r="AB1268" s="2"/>
    </row>
    <row r="1269" spans="1:28">
      <c r="A1269" t="str">
        <f>CHOOSE(1+LOG(1+2*(J1269=$C$2)+4*(J1269=$D$2)+8*(J1269=$E$2)+16*(J1269=$F$2)+32*(J1269=$G$2),2),0,1,2,3,4,"S")</f>
        <v>S</v>
      </c>
      <c r="B1269">
        <f>IF(OR(A1269="S",A1269=0),0,IF(ISERROR(I1269),H1269,SMALL(H1269:I1269,1)))</f>
        <v>0</v>
      </c>
      <c r="C1269">
        <f t="shared" ca="1" si="1646"/>
        <v>14</v>
      </c>
      <c r="D1269">
        <f t="shared" ca="1" si="1647"/>
        <v>5</v>
      </c>
      <c r="E1269">
        <f t="shared" ca="1" si="1648"/>
        <v>0</v>
      </c>
      <c r="F1269">
        <f t="shared" ca="1" si="1649"/>
        <v>0</v>
      </c>
      <c r="G1269">
        <f t="shared" ca="1" si="1650"/>
        <v>12</v>
      </c>
      <c r="H1269">
        <f ca="1">IF(OR($A1269="S",$A1269=0),0,MATCH(0,OFFSET($B1269,1,$A1269,ROW($A$1504)-ROW($A1269)),0))</f>
        <v>0</v>
      </c>
      <c r="I1269">
        <f ca="1">IF(OR($A1269="S",$A1269=0),0,MATCH(OFFSET($B1269,0,$A1269)+1,OFFSET($B1269,1,$A1269,ROW($A$1504)-ROW($A1269)),0))</f>
        <v>0</v>
      </c>
      <c r="J1269" s="132" t="s">
        <v>29</v>
      </c>
      <c r="K1269" s="121" t="str">
        <f ca="1">IF($A1269=0,"-",CONCATENATE(C1269&amp;".",IF(AND($A$5&gt;=2,$A1269&gt;=2),D1269&amp;".",""),IF(AND($A$5&gt;=3,$A1269&gt;=3),E1269&amp;".",""),IF(AND($A$5&gt;=4,$A1269&gt;=4),F1269&amp;".",""),IF($A1269="S",G1269&amp;".","")))</f>
        <v>14.5.12.</v>
      </c>
      <c r="L1269" s="137" t="str">
        <f t="shared" ca="1" si="1651"/>
        <v>Cotação</v>
      </c>
      <c r="M1269" s="122" t="s">
        <v>80</v>
      </c>
      <c r="N1269" s="139" t="s">
        <v>171</v>
      </c>
      <c r="O1269" s="137" t="str">
        <f ca="1">IF(NOT(ISERROR($Y1269)),IF($Y1269&lt;&gt;FALSE,INDEX(Banco,$Y1269,5),""),"")</f>
        <v xml:space="preserve">Refrigerantes (02 litros) </v>
      </c>
      <c r="P1269" s="138" t="str">
        <f t="shared" ca="1" si="1652"/>
        <v>Unidade</v>
      </c>
      <c r="Q1269" s="134">
        <v>20</v>
      </c>
      <c r="R1269" s="124">
        <f t="shared" ca="1" si="1653"/>
        <v>6</v>
      </c>
      <c r="S1269" s="136" t="s">
        <v>62</v>
      </c>
      <c r="T1269" s="123">
        <f t="shared" ca="1" si="1654"/>
        <v>7.5</v>
      </c>
      <c r="U1269" s="126">
        <f t="shared" ca="1" si="1655"/>
        <v>150</v>
      </c>
      <c r="V1269" s="1"/>
      <c r="W1269" s="39" t="str">
        <f ca="1">IF(OR($A1269=0,$A1269="S",$A1269&gt;CFF!$A$9),"",MAX(W$11:OFFSET(W1269,-1,0))+1)</f>
        <v/>
      </c>
      <c r="X1269" s="4" t="str">
        <f t="shared" si="1656"/>
        <v>Serv. Terc.-027</v>
      </c>
      <c r="Y1269" s="39">
        <f ca="1">IF(X1269&lt;&gt;FALSE,MATCH(X1269,OFFSET(Banco,0,0,,1),0))</f>
        <v>107</v>
      </c>
      <c r="Z1269" s="1"/>
      <c r="AA1269" s="133">
        <f>IF($J1269=$G$2,ROUND(IF(ISNUMBER(S1269),S1269,IF(LEFT(S1269,2)="DI",HLOOKUP(S1269,DADOS!$T$29:$X$30,2,FALSE),0)),4),"")</f>
        <v>0.25</v>
      </c>
      <c r="AB1269" s="2"/>
    </row>
    <row r="1270" spans="1:28">
      <c r="A1270" t="str">
        <f t="shared" si="1642"/>
        <v>S</v>
      </c>
      <c r="B1270">
        <f t="shared" si="1643"/>
        <v>0</v>
      </c>
      <c r="C1270">
        <f t="shared" ca="1" si="1646"/>
        <v>14</v>
      </c>
      <c r="D1270">
        <f t="shared" ca="1" si="1647"/>
        <v>5</v>
      </c>
      <c r="E1270">
        <f t="shared" ca="1" si="1648"/>
        <v>0</v>
      </c>
      <c r="F1270">
        <f t="shared" ca="1" si="1649"/>
        <v>0</v>
      </c>
      <c r="G1270">
        <f t="shared" ca="1" si="1650"/>
        <v>13</v>
      </c>
      <c r="H1270">
        <f ca="1">IF(OR($A1270="S",$A1270=0),0,MATCH(0,OFFSET($B1270,1,$A1270,ROW($A$1504)-ROW($A1270)),0))</f>
        <v>0</v>
      </c>
      <c r="I1270">
        <f ca="1">IF(OR($A1270="S",$A1270=0),0,MATCH(OFFSET($B1270,0,$A1270)+1,OFFSET($B1270,1,$A1270,ROW($A$1504)-ROW($A1270)),0))</f>
        <v>0</v>
      </c>
      <c r="J1270" s="132" t="s">
        <v>29</v>
      </c>
      <c r="K1270" s="121" t="str">
        <f t="shared" ca="1" si="1644"/>
        <v>14.5.13.</v>
      </c>
      <c r="L1270" s="137" t="str">
        <f t="shared" ca="1" si="1651"/>
        <v xml:space="preserve">Cotação </v>
      </c>
      <c r="M1270" s="122" t="s">
        <v>80</v>
      </c>
      <c r="N1270" s="139" t="s">
        <v>159</v>
      </c>
      <c r="O1270" s="137" t="str">
        <f t="shared" ca="1" si="1641"/>
        <v>Brindes ( descrição nos orçamentos e PTS)</v>
      </c>
      <c r="P1270" s="138" t="str">
        <f t="shared" ca="1" si="1652"/>
        <v>Unidade</v>
      </c>
      <c r="Q1270" s="134">
        <v>4</v>
      </c>
      <c r="R1270" s="124">
        <f t="shared" ca="1" si="1653"/>
        <v>120</v>
      </c>
      <c r="S1270" s="136" t="s">
        <v>62</v>
      </c>
      <c r="T1270" s="123">
        <f t="shared" ca="1" si="1654"/>
        <v>150</v>
      </c>
      <c r="U1270" s="126">
        <f t="shared" ca="1" si="1655"/>
        <v>600</v>
      </c>
      <c r="V1270" s="1"/>
      <c r="W1270" s="39" t="str">
        <f ca="1">IF(OR($A1270=0,$A1270="S",$A1270&gt;CFF!$A$9),"",MAX(W$11:OFFSET(W1270,-1,0))+1)</f>
        <v/>
      </c>
      <c r="X1270" s="4" t="str">
        <f t="shared" si="1656"/>
        <v>Serv. Terc.-010</v>
      </c>
      <c r="Y1270" s="39">
        <f t="shared" ca="1" si="1645"/>
        <v>90</v>
      </c>
      <c r="Z1270" s="1"/>
      <c r="AA1270" s="133">
        <f>IF($J1270=$G$2,ROUND(IF(ISNUMBER(S1270),S1270,IF(LEFT(S1270,2)="DI",HLOOKUP(S1270,DADOS!$T$29:$X$30,2,FALSE),0)),4),"")</f>
        <v>0.25</v>
      </c>
      <c r="AB1270" s="2"/>
    </row>
    <row r="1271" spans="1:28">
      <c r="A1271" t="str">
        <f t="shared" si="1642"/>
        <v>S</v>
      </c>
      <c r="B1271">
        <f t="shared" si="1643"/>
        <v>0</v>
      </c>
      <c r="C1271">
        <f t="shared" ca="1" si="1646"/>
        <v>14</v>
      </c>
      <c r="D1271">
        <f t="shared" ca="1" si="1647"/>
        <v>5</v>
      </c>
      <c r="E1271">
        <f t="shared" ca="1" si="1648"/>
        <v>0</v>
      </c>
      <c r="F1271">
        <f t="shared" ca="1" si="1649"/>
        <v>0</v>
      </c>
      <c r="G1271">
        <f t="shared" ca="1" si="1650"/>
        <v>14</v>
      </c>
      <c r="H1271">
        <f ca="1">IF(OR($A1271="S",$A1271=0),0,MATCH(0,OFFSET($B1271,1,$A1271,ROW($A$1504)-ROW($A1271)),0))</f>
        <v>0</v>
      </c>
      <c r="I1271">
        <f ca="1">IF(OR($A1271="S",$A1271=0),0,MATCH(OFFSET($B1271,0,$A1271)+1,OFFSET($B1271,1,$A1271,ROW($A$1504)-ROW($A1271)),0))</f>
        <v>0</v>
      </c>
      <c r="J1271" s="132" t="s">
        <v>29</v>
      </c>
      <c r="K1271" s="121" t="str">
        <f t="shared" ca="1" si="1644"/>
        <v>14.5.14.</v>
      </c>
      <c r="L1271" s="137" t="str">
        <f t="shared" ca="1" si="1651"/>
        <v>Cotação</v>
      </c>
      <c r="M1271" s="122" t="s">
        <v>80</v>
      </c>
      <c r="N1271" s="139" t="s">
        <v>162</v>
      </c>
      <c r="O1271" s="137" t="str">
        <f t="shared" ca="1" si="1641"/>
        <v>Coffee break (salgados)</v>
      </c>
      <c r="P1271" s="138" t="str">
        <f t="shared" ca="1" si="1652"/>
        <v>Centro</v>
      </c>
      <c r="Q1271" s="134">
        <v>15</v>
      </c>
      <c r="R1271" s="124">
        <f t="shared" ca="1" si="1653"/>
        <v>65</v>
      </c>
      <c r="S1271" s="136" t="s">
        <v>62</v>
      </c>
      <c r="T1271" s="123">
        <f t="shared" ca="1" si="1654"/>
        <v>81.25</v>
      </c>
      <c r="U1271" s="126">
        <f t="shared" ca="1" si="1655"/>
        <v>1218.75</v>
      </c>
      <c r="V1271" s="1"/>
      <c r="W1271" s="39" t="str">
        <f ca="1">IF(OR($A1271=0,$A1271="S",$A1271&gt;CFF!$A$9),"",MAX(W$11:OFFSET(W1271,-1,0))+1)</f>
        <v/>
      </c>
      <c r="X1271" s="4" t="str">
        <f t="shared" si="1656"/>
        <v>Serv. Terc.-015</v>
      </c>
      <c r="Y1271" s="39">
        <f t="shared" ca="1" si="1645"/>
        <v>95</v>
      </c>
      <c r="Z1271" s="1"/>
      <c r="AA1271" s="133">
        <f>IF($J1271=$G$2,ROUND(IF(ISNUMBER(S1271),S1271,IF(LEFT(S1271,2)="DI",HLOOKUP(S1271,DADOS!$T$29:$X$30,2,FALSE),0)),4),"")</f>
        <v>0.25</v>
      </c>
      <c r="AB1271" s="2"/>
    </row>
    <row r="1272" spans="1:28">
      <c r="A1272" t="str">
        <f t="shared" si="1642"/>
        <v>S</v>
      </c>
      <c r="B1272">
        <f t="shared" si="1643"/>
        <v>0</v>
      </c>
      <c r="C1272">
        <f t="shared" ca="1" si="1646"/>
        <v>14</v>
      </c>
      <c r="D1272">
        <f t="shared" ca="1" si="1647"/>
        <v>5</v>
      </c>
      <c r="E1272">
        <f t="shared" ca="1" si="1648"/>
        <v>0</v>
      </c>
      <c r="F1272">
        <f t="shared" ca="1" si="1649"/>
        <v>0</v>
      </c>
      <c r="G1272">
        <f t="shared" ca="1" si="1650"/>
        <v>15</v>
      </c>
      <c r="H1272">
        <f ca="1">IF(OR($A1272="S",$A1272=0),0,MATCH(0,OFFSET($B1272,1,$A1272,ROW($A$1504)-ROW($A1272)),0))</f>
        <v>0</v>
      </c>
      <c r="I1272">
        <f ca="1">IF(OR($A1272="S",$A1272=0),0,MATCH(OFFSET($B1272,0,$A1272)+1,OFFSET($B1272,1,$A1272,ROW($A$1504)-ROW($A1272)),0))</f>
        <v>0</v>
      </c>
      <c r="J1272" s="132" t="s">
        <v>29</v>
      </c>
      <c r="K1272" s="121" t="str">
        <f t="shared" ca="1" si="1644"/>
        <v>14.5.15.</v>
      </c>
      <c r="L1272" s="137" t="str">
        <f t="shared" ca="1" si="1651"/>
        <v>Cotação</v>
      </c>
      <c r="M1272" s="122" t="s">
        <v>79</v>
      </c>
      <c r="N1272" s="139" t="s">
        <v>163</v>
      </c>
      <c r="O1272" s="137" t="str">
        <f t="shared" ca="1" si="1641"/>
        <v>Guloseimas (balas e pirulito)</v>
      </c>
      <c r="P1272" s="138" t="str">
        <f t="shared" ca="1" si="1652"/>
        <v>Pacote</v>
      </c>
      <c r="Q1272" s="134">
        <v>4</v>
      </c>
      <c r="R1272" s="124">
        <f t="shared" ca="1" si="1653"/>
        <v>12</v>
      </c>
      <c r="S1272" s="136" t="s">
        <v>62</v>
      </c>
      <c r="T1272" s="123">
        <f t="shared" ca="1" si="1654"/>
        <v>15</v>
      </c>
      <c r="U1272" s="126">
        <f t="shared" ca="1" si="1655"/>
        <v>60</v>
      </c>
      <c r="V1272" s="1"/>
      <c r="W1272" s="39" t="str">
        <f ca="1">IF(OR($A1272=0,$A1272="S",$A1272&gt;CFF!$A$9),"",MAX(W$11:OFFSET(W1272,-1,0))+1)</f>
        <v/>
      </c>
      <c r="X1272" s="4" t="str">
        <f t="shared" si="1656"/>
        <v>Rec. Materiais-020</v>
      </c>
      <c r="Y1272" s="39">
        <f t="shared" ca="1" si="1645"/>
        <v>29</v>
      </c>
      <c r="Z1272" s="1"/>
      <c r="AA1272" s="133">
        <f>IF($J1272=$G$2,ROUND(IF(ISNUMBER(S1272),S1272,IF(LEFT(S1272,2)="DI",HLOOKUP(S1272,DADOS!$T$29:$X$30,2,FALSE),0)),4),"")</f>
        <v>0.25</v>
      </c>
      <c r="AB1272" s="2"/>
    </row>
    <row r="1273" spans="1:28">
      <c r="A1273" t="str">
        <f>CHOOSE(1+LOG(1+2*(J1273=$C$2)+4*(J1273=$D$2)+8*(J1273=$E$2)+16*(J1273=$F$2)+32*(J1273=$G$2),2),0,1,2,3,4,"S")</f>
        <v>S</v>
      </c>
      <c r="B1273">
        <f>IF(OR(A1273="S",A1273=0),0,IF(ISERROR(I1273),H1273,SMALL(H1273:I1273,1)))</f>
        <v>0</v>
      </c>
      <c r="C1273">
        <f t="shared" ca="1" si="1646"/>
        <v>14</v>
      </c>
      <c r="D1273">
        <f t="shared" ca="1" si="1647"/>
        <v>5</v>
      </c>
      <c r="E1273">
        <f t="shared" ca="1" si="1648"/>
        <v>0</v>
      </c>
      <c r="F1273">
        <f t="shared" ca="1" si="1649"/>
        <v>0</v>
      </c>
      <c r="G1273">
        <f t="shared" ca="1" si="1650"/>
        <v>16</v>
      </c>
      <c r="H1273">
        <f ca="1">IF(OR($A1273="S",$A1273=0),0,MATCH(0,OFFSET($B1273,1,$A1273,ROW($A$1504)-ROW($A1273)),0))</f>
        <v>0</v>
      </c>
      <c r="I1273">
        <f ca="1">IF(OR($A1273="S",$A1273=0),0,MATCH(OFFSET($B1273,0,$A1273)+1,OFFSET($B1273,1,$A1273,ROW($A$1504)-ROW($A1273)),0))</f>
        <v>0</v>
      </c>
      <c r="J1273" s="132" t="s">
        <v>29</v>
      </c>
      <c r="K1273" s="121" t="str">
        <f ca="1">IF($A1273=0,"-",CONCATENATE(C1273&amp;".",IF(AND($A$5&gt;=2,$A1273&gt;=2),D1273&amp;".",""),IF(AND($A$5&gt;=3,$A1273&gt;=3),E1273&amp;".",""),IF(AND($A$5&gt;=4,$A1273&gt;=4),F1273&amp;".",""),IF($A1273="S",G1273&amp;".","")))</f>
        <v>14.5.16.</v>
      </c>
      <c r="L1273" s="137" t="str">
        <f t="shared" ca="1" si="1651"/>
        <v>COREN</v>
      </c>
      <c r="M1273" s="122" t="s">
        <v>80</v>
      </c>
      <c r="N1273" s="139" t="s">
        <v>246</v>
      </c>
      <c r="O1273" s="137" t="str">
        <f ca="1">IF(NOT(ISERROR($Y1273)),IF($Y1273&lt;&gt;FALSE,INDEX(Banco,$Y1273,5),""),"")</f>
        <v>Enfermeiro padrão</v>
      </c>
      <c r="P1273" s="138" t="str">
        <f t="shared" ca="1" si="1652"/>
        <v>Unidade</v>
      </c>
      <c r="Q1273" s="134">
        <v>4</v>
      </c>
      <c r="R1273" s="124">
        <f t="shared" ca="1" si="1653"/>
        <v>123.02</v>
      </c>
      <c r="S1273" s="136" t="s">
        <v>62</v>
      </c>
      <c r="T1273" s="123">
        <f t="shared" ca="1" si="1654"/>
        <v>153.78</v>
      </c>
      <c r="U1273" s="126">
        <f t="shared" ca="1" si="1655"/>
        <v>615.12</v>
      </c>
      <c r="V1273" s="1"/>
      <c r="W1273" s="39" t="str">
        <f ca="1">IF(OR($A1273=0,$A1273="S",$A1273&gt;CFF!$A$9),"",MAX(W$11:OFFSET(W1273,-1,0))+1)</f>
        <v/>
      </c>
      <c r="X1273" s="4" t="str">
        <f t="shared" si="1656"/>
        <v>Serv. Terc.-080</v>
      </c>
      <c r="Y1273" s="39">
        <f ca="1">IF(X1273&lt;&gt;FALSE,MATCH(X1273,OFFSET(Banco,0,0,,1),0))</f>
        <v>160</v>
      </c>
      <c r="Z1273" s="1"/>
      <c r="AA1273" s="133">
        <f>IF($J1273=$G$2,ROUND(IF(ISNUMBER(S1273),S1273,IF(LEFT(S1273,2)="DI",HLOOKUP(S1273,DADOS!$T$29:$X$30,2,FALSE),0)),4),"")</f>
        <v>0.25</v>
      </c>
      <c r="AB1273" s="2"/>
    </row>
    <row r="1274" spans="1:28">
      <c r="A1274" t="str">
        <f t="shared" si="1642"/>
        <v>S</v>
      </c>
      <c r="B1274">
        <f t="shared" si="1643"/>
        <v>0</v>
      </c>
      <c r="C1274">
        <f t="shared" ca="1" si="1646"/>
        <v>14</v>
      </c>
      <c r="D1274">
        <f t="shared" ca="1" si="1647"/>
        <v>5</v>
      </c>
      <c r="E1274">
        <f t="shared" ca="1" si="1648"/>
        <v>0</v>
      </c>
      <c r="F1274">
        <f t="shared" ca="1" si="1649"/>
        <v>0</v>
      </c>
      <c r="G1274">
        <f t="shared" ca="1" si="1650"/>
        <v>17</v>
      </c>
      <c r="H1274">
        <f ca="1">IF(OR($A1274="S",$A1274=0),0,MATCH(0,OFFSET($B1274,1,$A1274,ROW($A$1504)-ROW($A1274)),0))</f>
        <v>0</v>
      </c>
      <c r="I1274">
        <f ca="1">IF(OR($A1274="S",$A1274=0),0,MATCH(OFFSET($B1274,0,$A1274)+1,OFFSET($B1274,1,$A1274,ROW($A$1504)-ROW($A1274)),0))</f>
        <v>0</v>
      </c>
      <c r="J1274" s="132" t="s">
        <v>29</v>
      </c>
      <c r="K1274" s="121" t="str">
        <f t="shared" ca="1" si="1644"/>
        <v>14.5.17.</v>
      </c>
      <c r="L1274" s="137" t="str">
        <f t="shared" ca="1" si="1651"/>
        <v>Cotação</v>
      </c>
      <c r="M1274" s="122" t="s">
        <v>79</v>
      </c>
      <c r="N1274" s="139" t="s">
        <v>165</v>
      </c>
      <c r="O1274" s="137" t="str">
        <f t="shared" ca="1" si="1641"/>
        <v>Papel de presente</v>
      </c>
      <c r="P1274" s="138" t="str">
        <f t="shared" ca="1" si="1652"/>
        <v>Folhas</v>
      </c>
      <c r="Q1274" s="134">
        <v>8</v>
      </c>
      <c r="R1274" s="124">
        <f t="shared" ca="1" si="1653"/>
        <v>1.5</v>
      </c>
      <c r="S1274" s="136" t="s">
        <v>62</v>
      </c>
      <c r="T1274" s="123">
        <f t="shared" ca="1" si="1654"/>
        <v>1.88</v>
      </c>
      <c r="U1274" s="126">
        <f t="shared" ca="1" si="1655"/>
        <v>15.04</v>
      </c>
      <c r="V1274" s="1"/>
      <c r="W1274" s="39" t="str">
        <f ca="1">IF(OR($A1274=0,$A1274="S",$A1274&gt;CFF!$A$9),"",MAX(W$11:OFFSET(W1274,-1,0))+1)</f>
        <v/>
      </c>
      <c r="X1274" s="4" t="str">
        <f t="shared" si="1656"/>
        <v>Rec. Materiais-021</v>
      </c>
      <c r="Y1274" s="39">
        <f t="shared" ca="1" si="1645"/>
        <v>30</v>
      </c>
      <c r="Z1274" s="1"/>
      <c r="AA1274" s="133">
        <f>IF($J1274=$G$2,ROUND(IF(ISNUMBER(S1274),S1274,IF(LEFT(S1274,2)="DI",HLOOKUP(S1274,DADOS!$T$29:$X$30,2,FALSE),0)),4),"")</f>
        <v>0.25</v>
      </c>
      <c r="AB1274" s="2"/>
    </row>
    <row r="1275" spans="1:28">
      <c r="A1275" t="str">
        <f t="shared" si="1642"/>
        <v>S</v>
      </c>
      <c r="B1275">
        <f t="shared" si="1643"/>
        <v>0</v>
      </c>
      <c r="C1275">
        <f t="shared" ca="1" si="1646"/>
        <v>14</v>
      </c>
      <c r="D1275">
        <f t="shared" ca="1" si="1647"/>
        <v>5</v>
      </c>
      <c r="E1275">
        <f t="shared" ca="1" si="1648"/>
        <v>0</v>
      </c>
      <c r="F1275">
        <f t="shared" ca="1" si="1649"/>
        <v>0</v>
      </c>
      <c r="G1275">
        <f t="shared" ca="1" si="1650"/>
        <v>18</v>
      </c>
      <c r="H1275">
        <f ca="1">IF(OR($A1275="S",$A1275=0),0,MATCH(0,OFFSET($B1275,1,$A1275,ROW($A$1504)-ROW($A1275)),0))</f>
        <v>0</v>
      </c>
      <c r="I1275">
        <f ca="1">IF(OR($A1275="S",$A1275=0),0,MATCH(OFFSET($B1275,0,$A1275)+1,OFFSET($B1275,1,$A1275,ROW($A$1504)-ROW($A1275)),0))</f>
        <v>0</v>
      </c>
      <c r="J1275" s="132" t="s">
        <v>29</v>
      </c>
      <c r="K1275" s="121" t="str">
        <f t="shared" ca="1" si="1644"/>
        <v>14.5.18.</v>
      </c>
      <c r="L1275" s="137" t="str">
        <f t="shared" ca="1" si="1651"/>
        <v>Cotação</v>
      </c>
      <c r="M1275" s="122" t="s">
        <v>79</v>
      </c>
      <c r="N1275" s="139" t="s">
        <v>170</v>
      </c>
      <c r="O1275" s="137" t="str">
        <f t="shared" ca="1" si="1641"/>
        <v>Saco de lixo (100 litros)</v>
      </c>
      <c r="P1275" s="138" t="str">
        <f t="shared" ca="1" si="1652"/>
        <v>Pacote</v>
      </c>
      <c r="Q1275" s="134">
        <v>2</v>
      </c>
      <c r="R1275" s="124">
        <f t="shared" ca="1" si="1653"/>
        <v>15</v>
      </c>
      <c r="S1275" s="136" t="s">
        <v>62</v>
      </c>
      <c r="T1275" s="123">
        <f t="shared" ca="1" si="1654"/>
        <v>18.75</v>
      </c>
      <c r="U1275" s="126">
        <f t="shared" ca="1" si="1655"/>
        <v>37.5</v>
      </c>
      <c r="V1275" s="1"/>
      <c r="W1275" s="39" t="str">
        <f ca="1">IF(OR($A1275=0,$A1275="S",$A1275&gt;CFF!$A$9),"",MAX(W$11:OFFSET(W1275,-1,0))+1)</f>
        <v/>
      </c>
      <c r="X1275" s="4" t="str">
        <f t="shared" si="1656"/>
        <v>Rec. Materiais-026</v>
      </c>
      <c r="Y1275" s="39">
        <f t="shared" ca="1" si="1645"/>
        <v>35</v>
      </c>
      <c r="Z1275" s="1"/>
      <c r="AA1275" s="133">
        <f>IF($J1275=$G$2,ROUND(IF(ISNUMBER(S1275),S1275,IF(LEFT(S1275,2)="DI",HLOOKUP(S1275,DADOS!$T$29:$X$30,2,FALSE),0)),4),"")</f>
        <v>0.25</v>
      </c>
      <c r="AB1275" s="2"/>
    </row>
    <row r="1276" spans="1:28">
      <c r="A1276" t="str">
        <f t="shared" si="1642"/>
        <v>S</v>
      </c>
      <c r="B1276">
        <f t="shared" si="1643"/>
        <v>0</v>
      </c>
      <c r="C1276">
        <f t="shared" ca="1" si="1646"/>
        <v>14</v>
      </c>
      <c r="D1276">
        <f t="shared" ca="1" si="1647"/>
        <v>5</v>
      </c>
      <c r="E1276">
        <f t="shared" ca="1" si="1648"/>
        <v>0</v>
      </c>
      <c r="F1276">
        <f t="shared" ca="1" si="1649"/>
        <v>0</v>
      </c>
      <c r="G1276">
        <f t="shared" ca="1" si="1650"/>
        <v>19</v>
      </c>
      <c r="H1276">
        <f ca="1">IF(OR($A1276="S",$A1276=0),0,MATCH(0,OFFSET($B1276,1,$A1276,ROW($A$1504)-ROW($A1276)),0))</f>
        <v>0</v>
      </c>
      <c r="I1276">
        <f ca="1">IF(OR($A1276="S",$A1276=0),0,MATCH(OFFSET($B1276,0,$A1276)+1,OFFSET($B1276,1,$A1276,ROW($A$1504)-ROW($A1276)),0))</f>
        <v>0</v>
      </c>
      <c r="J1276" s="132" t="s">
        <v>29</v>
      </c>
      <c r="K1276" s="121" t="str">
        <f t="shared" ca="1" si="1644"/>
        <v>14.5.19.</v>
      </c>
      <c r="L1276" s="137" t="str">
        <f t="shared" ca="1" si="1651"/>
        <v>Cotação</v>
      </c>
      <c r="M1276" s="122" t="s">
        <v>80</v>
      </c>
      <c r="N1276" s="139" t="s">
        <v>221</v>
      </c>
      <c r="O1276" s="137" t="str">
        <f t="shared" ca="1" si="1641"/>
        <v>KIT - Material de higiêne bucal</v>
      </c>
      <c r="P1276" s="138" t="str">
        <f t="shared" ca="1" si="1652"/>
        <v>Kits</v>
      </c>
      <c r="Q1276" s="134">
        <v>200</v>
      </c>
      <c r="R1276" s="124">
        <f t="shared" ca="1" si="1653"/>
        <v>39</v>
      </c>
      <c r="S1276" s="136" t="s">
        <v>62</v>
      </c>
      <c r="T1276" s="123">
        <f t="shared" ca="1" si="1654"/>
        <v>48.75</v>
      </c>
      <c r="U1276" s="126">
        <f t="shared" ca="1" si="1655"/>
        <v>9750</v>
      </c>
      <c r="V1276" s="1"/>
      <c r="W1276" s="39" t="str">
        <f ca="1">IF(OR($A1276=0,$A1276="S",$A1276&gt;CFF!$A$9),"",MAX(W$11:OFFSET(W1276,-1,0))+1)</f>
        <v/>
      </c>
      <c r="X1276" s="4" t="str">
        <f t="shared" si="1656"/>
        <v>Serv. Terc.-042</v>
      </c>
      <c r="Y1276" s="39">
        <f t="shared" ca="1" si="1645"/>
        <v>122</v>
      </c>
      <c r="Z1276" s="1"/>
      <c r="AA1276" s="133">
        <f>IF($J1276=$G$2,ROUND(IF(ISNUMBER(S1276),S1276,IF(LEFT(S1276,2)="DI",HLOOKUP(S1276,DADOS!$T$29:$X$30,2,FALSE),0)),4),"")</f>
        <v>0.25</v>
      </c>
      <c r="AB1276" s="2"/>
    </row>
    <row r="1277" spans="1:28">
      <c r="A1277">
        <f>CHOOSE(1+LOG(1+2*(J1277=$C$2)+4*(J1277=$D$2)+8*(J1277=$E$2)+16*(J1277=$F$2)+32*(J1277=$G$2),2),0,1,2,3,4,"S")</f>
        <v>2</v>
      </c>
      <c r="B1277">
        <f ca="1">IF(OR(A1277="S",A1277=0),0,IF(ISERROR(I1277),H1277,SMALL(H1277:I1277,1)))</f>
        <v>27</v>
      </c>
      <c r="C1277">
        <f ca="1">IF($A1277=1,OFFSET(C1277,-1,0)+1,OFFSET(C1277,-1,0))</f>
        <v>14</v>
      </c>
      <c r="D1277">
        <f ca="1">IF($A1277=1,0,IF($A1277=2,OFFSET(D1277,-1,0)+1,OFFSET(D1277,-1,0)))</f>
        <v>6</v>
      </c>
      <c r="E1277">
        <f ca="1">IF(AND($A1277&lt;=2,$A1277&lt;&gt;0),0,IF($A1277=3,OFFSET(E1277,-1,0)+1,OFFSET(E1277,-1,0)))</f>
        <v>0</v>
      </c>
      <c r="F1277">
        <f ca="1">IF(AND($A1277&lt;=3,$A1277&lt;&gt;0),0,IF($A1277=4,OFFSET(F1277,-1,0)+1,OFFSET(F1277,-1,0)))</f>
        <v>0</v>
      </c>
      <c r="G1277">
        <f ca="1">IF(AND($A1277&lt;=4,$A1277&lt;&gt;0),0,IF($A1277="S",OFFSET(G1277,-1,0)+1,OFFSET(G1277,-1,0)))</f>
        <v>0</v>
      </c>
      <c r="H1277">
        <f ca="1">IF(OR($A1277="S",$A1277=0),0,MATCH(0,OFFSET($B1277,1,$A1277,ROW($A$1504)-ROW($A1277)),0))</f>
        <v>67</v>
      </c>
      <c r="I1277">
        <f ca="1">IF(OR($A1277="S",$A1277=0),0,MATCH(OFFSET($B1277,0,$A1277)+1,OFFSET($B1277,1,$A1277,ROW($A$1504)-ROW($A1277)),0))</f>
        <v>27</v>
      </c>
      <c r="J1277" s="132" t="s">
        <v>68</v>
      </c>
      <c r="K1277" s="121" t="str">
        <f ca="1">IF($A1277=0,"-",CONCATENATE(C1277&amp;".",IF(AND($A$5&gt;=2,$A1277&gt;=2),D1277&amp;".",""),IF(AND($A$5&gt;=3,$A1277&gt;=3),E1277&amp;".",""),IF(AND($A$5&gt;=4,$A1277&gt;=4),F1277&amp;".",""),IF($A1277="S",G1277&amp;".","")))</f>
        <v>14.6.</v>
      </c>
      <c r="L1277" s="137" t="str">
        <f ca="1">IF(NOT(ISERROR($Y1277)),IF($Y1277&lt;&gt;FALSE,INDEX(Banco,$Y1277,4),""),"")</f>
        <v/>
      </c>
      <c r="M1277" s="122"/>
      <c r="N1277" s="139"/>
      <c r="O1277" s="137" t="s">
        <v>441</v>
      </c>
      <c r="P1277" s="138" t="str">
        <f ca="1">IF(NOT(ISERROR($Y1277)),IF($Y1277&lt;&gt;FALSE,INDEX(Banco,$Y1277,6),""),"")</f>
        <v/>
      </c>
      <c r="Q1277" s="134"/>
      <c r="R1277" s="124">
        <f ca="1">IF(NOT(ISERROR($Y1277)),IF($Y1277&lt;&gt;FALSE,INDEX(Banco,$Y1277,7),0),0)</f>
        <v>0</v>
      </c>
      <c r="S1277" s="136" t="s">
        <v>62</v>
      </c>
      <c r="T1277" s="123">
        <f>IF($J1277=$G$2,ROUND(ROUND($R1277,2)*IF($R$9="Preço Unitário (R$)",1,1+$AA1277),2),0)</f>
        <v>0</v>
      </c>
      <c r="U1277" s="126">
        <f ca="1">IF($A1277="S",VTOTAL1,IF($A1277=0,0,ROUND(SomaAgrup,2)))</f>
        <v>17064</v>
      </c>
      <c r="V1277" s="1"/>
      <c r="W1277" s="39">
        <f ca="1">IF(OR($A1277=0,$A1277="S",$A1277&gt;CFF!$A$9),"",MAX(W$11:OFFSET(W1277,-1,0))+1)</f>
        <v>114</v>
      </c>
      <c r="X1277" s="4" t="b">
        <f>IF(AND($J1277=$G$2,$N1277&lt;&gt;"",$M1277&lt;&gt;""),CONCATENATE($M1277,"-",$N1277))</f>
        <v>0</v>
      </c>
      <c r="Y1277" s="39" t="b">
        <f ca="1">IF(X1277&lt;&gt;FALSE,MATCH(X1277,OFFSET(Banco,0,0,,1),0))</f>
        <v>0</v>
      </c>
      <c r="Z1277" s="1"/>
      <c r="AA1277" s="133" t="str">
        <f>IF($J1277=$G$2,ROUND(IF(ISNUMBER(S1277),S1277,IF(LEFT(S1277,2)="DI",HLOOKUP(S1277,DADOS!$T$29:$X$30,2,FALSE),0)),4),"")</f>
        <v/>
      </c>
      <c r="AB1277" s="2"/>
    </row>
    <row r="1278" spans="1:28">
      <c r="A1278" t="str">
        <f t="shared" ref="A1278:A1288" si="1657">CHOOSE(1+LOG(1+2*(J1278=$C$2)+4*(J1278=$D$2)+8*(J1278=$E$2)+16*(J1278=$F$2)+32*(J1278=$G$2),2),0,1,2,3,4,"S")</f>
        <v>S</v>
      </c>
      <c r="B1278">
        <f t="shared" ref="B1278:B1288" si="1658">IF(OR(A1278="S",A1278=0),0,IF(ISERROR(I1278),H1278,SMALL(H1278:I1278,1)))</f>
        <v>0</v>
      </c>
      <c r="C1278">
        <f t="shared" ca="1" si="1646"/>
        <v>14</v>
      </c>
      <c r="D1278">
        <f t="shared" ca="1" si="1647"/>
        <v>6</v>
      </c>
      <c r="E1278">
        <f t="shared" ca="1" si="1648"/>
        <v>0</v>
      </c>
      <c r="F1278">
        <f t="shared" ca="1" si="1649"/>
        <v>0</v>
      </c>
      <c r="G1278">
        <f t="shared" ca="1" si="1650"/>
        <v>1</v>
      </c>
      <c r="H1278">
        <f ca="1">IF(OR($A1278="S",$A1278=0),0,MATCH(0,OFFSET($B1278,1,$A1278,ROW($A$1504)-ROW($A1278)),0))</f>
        <v>0</v>
      </c>
      <c r="I1278">
        <f ca="1">IF(OR($A1278="S",$A1278=0),0,MATCH(OFFSET($B1278,0,$A1278)+1,OFFSET($B1278,1,$A1278,ROW($A$1504)-ROW($A1278)),0))</f>
        <v>0</v>
      </c>
      <c r="J1278" s="132" t="s">
        <v>29</v>
      </c>
      <c r="K1278" s="121" t="str">
        <f t="shared" ref="K1278:K1288" ca="1" si="1659">IF($A1278=0,"-",CONCATENATE(C1278&amp;".",IF(AND($A$5&gt;=2,$A1278&gt;=2),D1278&amp;".",""),IF(AND($A$5&gt;=3,$A1278&gt;=3),E1278&amp;".",""),IF(AND($A$5&gt;=4,$A1278&gt;=4),F1278&amp;".",""),IF($A1278="S",G1278&amp;".","")))</f>
        <v>14.6.1.</v>
      </c>
      <c r="L1278" s="137" t="str">
        <f t="shared" ca="1" si="1651"/>
        <v>CRESS</v>
      </c>
      <c r="M1278" s="122" t="s">
        <v>78</v>
      </c>
      <c r="N1278" s="139" t="s">
        <v>149</v>
      </c>
      <c r="O1278" s="137" t="str">
        <f t="shared" ref="O1278:O1303" ca="1" si="1660">IF(NOT(ISERROR($Y1278)),IF($Y1278&lt;&gt;FALSE,INDEX(Banco,$Y1278,5),""),"")</f>
        <v>Responsável Técnica</v>
      </c>
      <c r="P1278" s="138" t="str">
        <f t="shared" ca="1" si="1652"/>
        <v>Horas</v>
      </c>
      <c r="Q1278" s="134">
        <v>8</v>
      </c>
      <c r="R1278" s="124">
        <f t="shared" ca="1" si="1653"/>
        <v>150.28</v>
      </c>
      <c r="S1278" s="136" t="s">
        <v>62</v>
      </c>
      <c r="T1278" s="123">
        <f t="shared" ca="1" si="1654"/>
        <v>187.85</v>
      </c>
      <c r="U1278" s="126">
        <f t="shared" ca="1" si="1655"/>
        <v>1502.8</v>
      </c>
      <c r="V1278" s="1"/>
      <c r="W1278" s="39" t="str">
        <f ca="1">IF(OR($A1278=0,$A1278="S",$A1278&gt;CFF!$A$9),"",MAX(W$11:OFFSET(W1278,-1,0))+1)</f>
        <v/>
      </c>
      <c r="X1278" s="4" t="str">
        <f t="shared" si="1656"/>
        <v>Rec. Humanos-001</v>
      </c>
      <c r="Y1278" s="39">
        <f t="shared" ref="Y1278:Y1288" ca="1" si="1661">IF(X1278&lt;&gt;FALSE,MATCH(X1278,OFFSET(Banco,0,0,,1),0))</f>
        <v>3</v>
      </c>
      <c r="Z1278" s="1"/>
      <c r="AA1278" s="133">
        <f>IF($J1278=$G$2,ROUND(IF(ISNUMBER(S1278),S1278,IF(LEFT(S1278,2)="DI",HLOOKUP(S1278,DADOS!$T$29:$X$30,2,FALSE),0)),4),"")</f>
        <v>0.25</v>
      </c>
      <c r="AB1278" s="2"/>
    </row>
    <row r="1279" spans="1:28">
      <c r="A1279" t="str">
        <f t="shared" si="1657"/>
        <v>S</v>
      </c>
      <c r="B1279">
        <f t="shared" si="1658"/>
        <v>0</v>
      </c>
      <c r="C1279">
        <f t="shared" ca="1" si="1646"/>
        <v>14</v>
      </c>
      <c r="D1279">
        <f t="shared" ca="1" si="1647"/>
        <v>6</v>
      </c>
      <c r="E1279">
        <f t="shared" ca="1" si="1648"/>
        <v>0</v>
      </c>
      <c r="F1279">
        <f t="shared" ca="1" si="1649"/>
        <v>0</v>
      </c>
      <c r="G1279">
        <f t="shared" ca="1" si="1650"/>
        <v>2</v>
      </c>
      <c r="H1279">
        <f ca="1">IF(OR($A1279="S",$A1279=0),0,MATCH(0,OFFSET($B1279,1,$A1279,ROW($A$1504)-ROW($A1279)),0))</f>
        <v>0</v>
      </c>
      <c r="I1279">
        <f ca="1">IF(OR($A1279="S",$A1279=0),0,MATCH(OFFSET($B1279,0,$A1279)+1,OFFSET($B1279,1,$A1279,ROW($A$1504)-ROW($A1279)),0))</f>
        <v>0</v>
      </c>
      <c r="J1279" s="132" t="s">
        <v>29</v>
      </c>
      <c r="K1279" s="121" t="str">
        <f t="shared" ca="1" si="1659"/>
        <v>14.6.2.</v>
      </c>
      <c r="L1279" s="137" t="str">
        <f t="shared" ca="1" si="1651"/>
        <v>CRESS</v>
      </c>
      <c r="M1279" s="122" t="s">
        <v>78</v>
      </c>
      <c r="N1279" s="139" t="s">
        <v>152</v>
      </c>
      <c r="O1279" s="137" t="str">
        <f t="shared" ca="1" si="1660"/>
        <v>Assistente Social</v>
      </c>
      <c r="P1279" s="138" t="str">
        <f t="shared" ca="1" si="1652"/>
        <v>Horas</v>
      </c>
      <c r="Q1279" s="134">
        <v>4</v>
      </c>
      <c r="R1279" s="124">
        <f t="shared" ca="1" si="1653"/>
        <v>133.81</v>
      </c>
      <c r="S1279" s="136" t="s">
        <v>62</v>
      </c>
      <c r="T1279" s="123">
        <f t="shared" ca="1" si="1654"/>
        <v>167.26</v>
      </c>
      <c r="U1279" s="126">
        <f t="shared" ca="1" si="1655"/>
        <v>669.04</v>
      </c>
      <c r="V1279" s="1"/>
      <c r="W1279" s="39" t="str">
        <f ca="1">IF(OR($A1279=0,$A1279="S",$A1279&gt;CFF!$A$9),"",MAX(W$11:OFFSET(W1279,-1,0))+1)</f>
        <v/>
      </c>
      <c r="X1279" s="4" t="str">
        <f t="shared" si="1656"/>
        <v>Rec. Humanos-002</v>
      </c>
      <c r="Y1279" s="39">
        <f t="shared" ca="1" si="1661"/>
        <v>4</v>
      </c>
      <c r="Z1279" s="1"/>
      <c r="AA1279" s="133">
        <f>IF($J1279=$G$2,ROUND(IF(ISNUMBER(S1279),S1279,IF(LEFT(S1279,2)="DI",HLOOKUP(S1279,DADOS!$T$29:$X$30,2,FALSE),0)),4),"")</f>
        <v>0.25</v>
      </c>
      <c r="AB1279" s="2"/>
    </row>
    <row r="1280" spans="1:28">
      <c r="A1280" t="str">
        <f t="shared" si="1657"/>
        <v>S</v>
      </c>
      <c r="B1280">
        <f t="shared" si="1658"/>
        <v>0</v>
      </c>
      <c r="C1280">
        <f t="shared" ca="1" si="1646"/>
        <v>14</v>
      </c>
      <c r="D1280">
        <f t="shared" ca="1" si="1647"/>
        <v>6</v>
      </c>
      <c r="E1280">
        <f t="shared" ca="1" si="1648"/>
        <v>0</v>
      </c>
      <c r="F1280">
        <f t="shared" ca="1" si="1649"/>
        <v>0</v>
      </c>
      <c r="G1280">
        <f t="shared" ca="1" si="1650"/>
        <v>3</v>
      </c>
      <c r="H1280">
        <f ca="1">IF(OR($A1280="S",$A1280=0),0,MATCH(0,OFFSET($B1280,1,$A1280,ROW($A$1504)-ROW($A1280)),0))</f>
        <v>0</v>
      </c>
      <c r="I1280">
        <f ca="1">IF(OR($A1280="S",$A1280=0),0,MATCH(OFFSET($B1280,0,$A1280)+1,OFFSET($B1280,1,$A1280,ROW($A$1504)-ROW($A1280)),0))</f>
        <v>0</v>
      </c>
      <c r="J1280" s="132" t="s">
        <v>29</v>
      </c>
      <c r="K1280" s="121" t="str">
        <f t="shared" ca="1" si="1659"/>
        <v>14.6.3.</v>
      </c>
      <c r="L1280" s="137" t="str">
        <f t="shared" ca="1" si="1651"/>
        <v>Cotação</v>
      </c>
      <c r="M1280" s="122" t="s">
        <v>78</v>
      </c>
      <c r="N1280" s="139" t="s">
        <v>151</v>
      </c>
      <c r="O1280" s="137" t="str">
        <f t="shared" ca="1" si="1660"/>
        <v xml:space="preserve">Administrador (Técnico de Apoio) </v>
      </c>
      <c r="P1280" s="138" t="str">
        <f t="shared" ca="1" si="1652"/>
        <v>Horas</v>
      </c>
      <c r="Q1280" s="134">
        <v>4</v>
      </c>
      <c r="R1280" s="124">
        <f t="shared" ca="1" si="1653"/>
        <v>103.65</v>
      </c>
      <c r="S1280" s="136" t="s">
        <v>62</v>
      </c>
      <c r="T1280" s="123">
        <f t="shared" ca="1" si="1654"/>
        <v>129.56</v>
      </c>
      <c r="U1280" s="126">
        <f t="shared" ca="1" si="1655"/>
        <v>518.24</v>
      </c>
      <c r="V1280" s="1"/>
      <c r="W1280" s="39" t="str">
        <f ca="1">IF(OR($A1280=0,$A1280="S",$A1280&gt;CFF!$A$9),"",MAX(W$11:OFFSET(W1280,-1,0))+1)</f>
        <v/>
      </c>
      <c r="X1280" s="4" t="str">
        <f t="shared" si="1656"/>
        <v>Rec. Humanos-003</v>
      </c>
      <c r="Y1280" s="39">
        <f t="shared" ca="1" si="1661"/>
        <v>5</v>
      </c>
      <c r="Z1280" s="1"/>
      <c r="AA1280" s="133">
        <f>IF($J1280=$G$2,ROUND(IF(ISNUMBER(S1280),S1280,IF(LEFT(S1280,2)="DI",HLOOKUP(S1280,DADOS!$T$29:$X$30,2,FALSE),0)),4),"")</f>
        <v>0.25</v>
      </c>
      <c r="AB1280" s="2"/>
    </row>
    <row r="1281" spans="1:28">
      <c r="A1281" t="str">
        <f t="shared" si="1657"/>
        <v>S</v>
      </c>
      <c r="B1281">
        <f t="shared" si="1658"/>
        <v>0</v>
      </c>
      <c r="C1281">
        <f t="shared" ca="1" si="1646"/>
        <v>14</v>
      </c>
      <c r="D1281">
        <f t="shared" ca="1" si="1647"/>
        <v>6</v>
      </c>
      <c r="E1281">
        <f t="shared" ca="1" si="1648"/>
        <v>0</v>
      </c>
      <c r="F1281">
        <f t="shared" ca="1" si="1649"/>
        <v>0</v>
      </c>
      <c r="G1281">
        <f t="shared" ca="1" si="1650"/>
        <v>4</v>
      </c>
      <c r="H1281">
        <f ca="1">IF(OR($A1281="S",$A1281=0),0,MATCH(0,OFFSET($B1281,1,$A1281,ROW($A$1504)-ROW($A1281)),0))</f>
        <v>0</v>
      </c>
      <c r="I1281">
        <f ca="1">IF(OR($A1281="S",$A1281=0),0,MATCH(OFFSET($B1281,0,$A1281)+1,OFFSET($B1281,1,$A1281,ROW($A$1504)-ROW($A1281)),0))</f>
        <v>0</v>
      </c>
      <c r="J1281" s="132" t="s">
        <v>29</v>
      </c>
      <c r="K1281" s="121" t="str">
        <f t="shared" ca="1" si="1659"/>
        <v>14.6.4.</v>
      </c>
      <c r="L1281" s="137" t="str">
        <f t="shared" ca="1" si="1651"/>
        <v>SINE</v>
      </c>
      <c r="M1281" s="122" t="s">
        <v>78</v>
      </c>
      <c r="N1281" s="139" t="s">
        <v>153</v>
      </c>
      <c r="O1281" s="137" t="str">
        <f t="shared" ca="1" si="1660"/>
        <v>Estagiários</v>
      </c>
      <c r="P1281" s="138" t="str">
        <f t="shared" ca="1" si="1652"/>
        <v>Horas</v>
      </c>
      <c r="Q1281" s="134">
        <v>16</v>
      </c>
      <c r="R1281" s="124">
        <f t="shared" ca="1" si="1653"/>
        <v>9.7899999999999991</v>
      </c>
      <c r="S1281" s="136" t="s">
        <v>62</v>
      </c>
      <c r="T1281" s="123">
        <f t="shared" ca="1" si="1654"/>
        <v>12.24</v>
      </c>
      <c r="U1281" s="126">
        <f t="shared" ca="1" si="1655"/>
        <v>195.84</v>
      </c>
      <c r="V1281" s="1"/>
      <c r="W1281" s="39" t="str">
        <f ca="1">IF(OR($A1281=0,$A1281="S",$A1281&gt;CFF!$A$9),"",MAX(W$11:OFFSET(W1281,-1,0))+1)</f>
        <v/>
      </c>
      <c r="X1281" s="4" t="str">
        <f t="shared" si="1656"/>
        <v>Rec. Humanos-004</v>
      </c>
      <c r="Y1281" s="39">
        <f t="shared" ca="1" si="1661"/>
        <v>6</v>
      </c>
      <c r="Z1281" s="1"/>
      <c r="AA1281" s="133">
        <f>IF($J1281=$G$2,ROUND(IF(ISNUMBER(S1281),S1281,IF(LEFT(S1281,2)="DI",HLOOKUP(S1281,DADOS!$T$29:$X$30,2,FALSE),0)),4),"")</f>
        <v>0.25</v>
      </c>
      <c r="AB1281" s="2"/>
    </row>
    <row r="1282" spans="1:28">
      <c r="A1282" t="str">
        <f t="shared" si="1657"/>
        <v>S</v>
      </c>
      <c r="B1282">
        <f t="shared" si="1658"/>
        <v>0</v>
      </c>
      <c r="C1282">
        <f t="shared" ca="1" si="1646"/>
        <v>14</v>
      </c>
      <c r="D1282">
        <f t="shared" ca="1" si="1647"/>
        <v>6</v>
      </c>
      <c r="E1282">
        <f t="shared" ca="1" si="1648"/>
        <v>0</v>
      </c>
      <c r="F1282">
        <f t="shared" ca="1" si="1649"/>
        <v>0</v>
      </c>
      <c r="G1282">
        <f t="shared" ca="1" si="1650"/>
        <v>5</v>
      </c>
      <c r="H1282">
        <f ca="1">IF(OR($A1282="S",$A1282=0),0,MATCH(0,OFFSET($B1282,1,$A1282,ROW($A$1504)-ROW($A1282)),0))</f>
        <v>0</v>
      </c>
      <c r="I1282">
        <f ca="1">IF(OR($A1282="S",$A1282=0),0,MATCH(OFFSET($B1282,0,$A1282)+1,OFFSET($B1282,1,$A1282,ROW($A$1504)-ROW($A1282)),0))</f>
        <v>0</v>
      </c>
      <c r="J1282" s="132" t="s">
        <v>29</v>
      </c>
      <c r="K1282" s="121" t="str">
        <f t="shared" ca="1" si="1659"/>
        <v>14.6.5.</v>
      </c>
      <c r="L1282" s="137" t="str">
        <f t="shared" ca="1" si="1651"/>
        <v>Cotação</v>
      </c>
      <c r="M1282" s="122" t="s">
        <v>80</v>
      </c>
      <c r="N1282" s="139" t="s">
        <v>149</v>
      </c>
      <c r="O1282" s="137" t="str">
        <f t="shared" ca="1" si="1660"/>
        <v>Fotocópias</v>
      </c>
      <c r="P1282" s="138" t="str">
        <f t="shared" ca="1" si="1652"/>
        <v>Unidade</v>
      </c>
      <c r="Q1282" s="134">
        <v>300</v>
      </c>
      <c r="R1282" s="124">
        <f t="shared" ca="1" si="1653"/>
        <v>0.3</v>
      </c>
      <c r="S1282" s="136" t="s">
        <v>62</v>
      </c>
      <c r="T1282" s="123">
        <f t="shared" ca="1" si="1654"/>
        <v>0.38</v>
      </c>
      <c r="U1282" s="126">
        <f t="shared" ca="1" si="1655"/>
        <v>114</v>
      </c>
      <c r="V1282" s="1"/>
      <c r="W1282" s="39" t="str">
        <f ca="1">IF(OR($A1282=0,$A1282="S",$A1282&gt;CFF!$A$9),"",MAX(W$11:OFFSET(W1282,-1,0))+1)</f>
        <v/>
      </c>
      <c r="X1282" s="4" t="str">
        <f t="shared" si="1656"/>
        <v>Serv. Terc.-001</v>
      </c>
      <c r="Y1282" s="39">
        <f t="shared" ca="1" si="1661"/>
        <v>81</v>
      </c>
      <c r="Z1282" s="1"/>
      <c r="AA1282" s="133">
        <f>IF($J1282=$G$2,ROUND(IF(ISNUMBER(S1282),S1282,IF(LEFT(S1282,2)="DI",HLOOKUP(S1282,DADOS!$T$29:$X$30,2,FALSE),0)),4),"")</f>
        <v>0.25</v>
      </c>
      <c r="AB1282" s="2"/>
    </row>
    <row r="1283" spans="1:28">
      <c r="A1283" t="str">
        <f t="shared" si="1657"/>
        <v>S</v>
      </c>
      <c r="B1283">
        <f t="shared" si="1658"/>
        <v>0</v>
      </c>
      <c r="C1283">
        <f t="shared" ca="1" si="1646"/>
        <v>14</v>
      </c>
      <c r="D1283">
        <f t="shared" ca="1" si="1647"/>
        <v>6</v>
      </c>
      <c r="E1283">
        <f t="shared" ca="1" si="1648"/>
        <v>0</v>
      </c>
      <c r="F1283">
        <f t="shared" ca="1" si="1649"/>
        <v>0</v>
      </c>
      <c r="G1283">
        <f t="shared" ca="1" si="1650"/>
        <v>6</v>
      </c>
      <c r="H1283">
        <f ca="1">IF(OR($A1283="S",$A1283=0),0,MATCH(0,OFFSET($B1283,1,$A1283,ROW($A$1504)-ROW($A1283)),0))</f>
        <v>0</v>
      </c>
      <c r="I1283">
        <f ca="1">IF(OR($A1283="S",$A1283=0),0,MATCH(OFFSET($B1283,0,$A1283)+1,OFFSET($B1283,1,$A1283,ROW($A$1504)-ROW($A1283)),0))</f>
        <v>0</v>
      </c>
      <c r="J1283" s="132" t="s">
        <v>29</v>
      </c>
      <c r="K1283" s="121" t="str">
        <f t="shared" ca="1" si="1659"/>
        <v>14.6.6.</v>
      </c>
      <c r="L1283" s="137" t="str">
        <f t="shared" ca="1" si="1651"/>
        <v>Cotação</v>
      </c>
      <c r="M1283" s="122" t="s">
        <v>80</v>
      </c>
      <c r="N1283" s="139" t="s">
        <v>256</v>
      </c>
      <c r="O1283" s="137" t="str">
        <f ca="1">IF(NOT(ISERROR($Y1283)),IF($Y1283&lt;&gt;FALSE,INDEX(Banco,$Y1283,5),""),"")</f>
        <v>Instrutor/Monitor (Educação Fisíca)</v>
      </c>
      <c r="P1283" s="138" t="str">
        <f t="shared" ca="1" si="1652"/>
        <v>Horas</v>
      </c>
      <c r="Q1283" s="134">
        <v>3</v>
      </c>
      <c r="R1283" s="124">
        <f t="shared" ca="1" si="1653"/>
        <v>100</v>
      </c>
      <c r="S1283" s="136" t="s">
        <v>62</v>
      </c>
      <c r="T1283" s="123">
        <f t="shared" ca="1" si="1654"/>
        <v>125</v>
      </c>
      <c r="U1283" s="126">
        <f t="shared" ca="1" si="1655"/>
        <v>375</v>
      </c>
      <c r="V1283" s="1"/>
      <c r="W1283" s="39" t="str">
        <f ca="1">IF(OR($A1283=0,$A1283="S",$A1283&gt;CFF!$A$9),"",MAX(W$11:OFFSET(W1283,-1,0))+1)</f>
        <v/>
      </c>
      <c r="X1283" s="4" t="str">
        <f t="shared" si="1656"/>
        <v>Serv. Terc.-017</v>
      </c>
      <c r="Y1283" s="39">
        <f t="shared" ca="1" si="1661"/>
        <v>97</v>
      </c>
      <c r="Z1283" s="1"/>
      <c r="AA1283" s="133">
        <f>IF($J1283=$G$2,ROUND(IF(ISNUMBER(S1283),S1283,IF(LEFT(S1283,2)="DI",HLOOKUP(S1283,DADOS!$T$29:$X$30,2,FALSE),0)),4),"")</f>
        <v>0.25</v>
      </c>
      <c r="AB1283" s="2"/>
    </row>
    <row r="1284" spans="1:28">
      <c r="A1284" t="str">
        <f t="shared" si="1657"/>
        <v>S</v>
      </c>
      <c r="B1284">
        <f t="shared" si="1658"/>
        <v>0</v>
      </c>
      <c r="C1284">
        <f t="shared" ca="1" si="1646"/>
        <v>14</v>
      </c>
      <c r="D1284">
        <f t="shared" ca="1" si="1647"/>
        <v>6</v>
      </c>
      <c r="E1284">
        <f t="shared" ca="1" si="1648"/>
        <v>0</v>
      </c>
      <c r="F1284">
        <f t="shared" ca="1" si="1649"/>
        <v>0</v>
      </c>
      <c r="G1284">
        <f t="shared" ca="1" si="1650"/>
        <v>7</v>
      </c>
      <c r="H1284">
        <f ca="1">IF(OR($A1284="S",$A1284=0),0,MATCH(0,OFFSET($B1284,1,$A1284,ROW($A$1504)-ROW($A1284)),0))</f>
        <v>0</v>
      </c>
      <c r="I1284">
        <f ca="1">IF(OR($A1284="S",$A1284=0),0,MATCH(OFFSET($B1284,0,$A1284)+1,OFFSET($B1284,1,$A1284,ROW($A$1504)-ROW($A1284)),0))</f>
        <v>0</v>
      </c>
      <c r="J1284" s="132" t="s">
        <v>29</v>
      </c>
      <c r="K1284" s="121" t="str">
        <f t="shared" ca="1" si="1659"/>
        <v>14.6.7.</v>
      </c>
      <c r="L1284" s="137" t="str">
        <f t="shared" ca="1" si="1651"/>
        <v>Cotação</v>
      </c>
      <c r="M1284" s="122" t="s">
        <v>80</v>
      </c>
      <c r="N1284" s="139" t="s">
        <v>152</v>
      </c>
      <c r="O1284" s="137" t="str">
        <f t="shared" ca="1" si="1660"/>
        <v>Carro de som com gravação de vinheta</v>
      </c>
      <c r="P1284" s="138" t="str">
        <f t="shared" ca="1" si="1652"/>
        <v>Horas</v>
      </c>
      <c r="Q1284" s="134">
        <v>3</v>
      </c>
      <c r="R1284" s="124">
        <f t="shared" ca="1" si="1653"/>
        <v>200</v>
      </c>
      <c r="S1284" s="136" t="s">
        <v>62</v>
      </c>
      <c r="T1284" s="123">
        <f t="shared" ca="1" si="1654"/>
        <v>250</v>
      </c>
      <c r="U1284" s="126">
        <f t="shared" ca="1" si="1655"/>
        <v>750</v>
      </c>
      <c r="V1284" s="1"/>
      <c r="W1284" s="39" t="str">
        <f ca="1">IF(OR($A1284=0,$A1284="S",$A1284&gt;CFF!$A$9),"",MAX(W$11:OFFSET(W1284,-1,0))+1)</f>
        <v/>
      </c>
      <c r="X1284" s="4" t="str">
        <f t="shared" si="1656"/>
        <v>Serv. Terc.-002</v>
      </c>
      <c r="Y1284" s="39">
        <f t="shared" ca="1" si="1661"/>
        <v>82</v>
      </c>
      <c r="Z1284" s="1"/>
      <c r="AA1284" s="133">
        <f>IF($J1284=$G$2,ROUND(IF(ISNUMBER(S1284),S1284,IF(LEFT(S1284,2)="DI",HLOOKUP(S1284,DADOS!$T$29:$X$30,2,FALSE),0)),4),"")</f>
        <v>0.25</v>
      </c>
      <c r="AB1284" s="2"/>
    </row>
    <row r="1285" spans="1:28">
      <c r="A1285" t="str">
        <f t="shared" si="1657"/>
        <v>S</v>
      </c>
      <c r="B1285">
        <f t="shared" si="1658"/>
        <v>0</v>
      </c>
      <c r="C1285">
        <f t="shared" ca="1" si="1646"/>
        <v>14</v>
      </c>
      <c r="D1285">
        <f t="shared" ca="1" si="1647"/>
        <v>6</v>
      </c>
      <c r="E1285">
        <f t="shared" ca="1" si="1648"/>
        <v>0</v>
      </c>
      <c r="F1285">
        <f t="shared" ca="1" si="1649"/>
        <v>0</v>
      </c>
      <c r="G1285">
        <f t="shared" ca="1" si="1650"/>
        <v>8</v>
      </c>
      <c r="H1285">
        <f ca="1">IF(OR($A1285="S",$A1285=0),0,MATCH(0,OFFSET($B1285,1,$A1285,ROW($A$1504)-ROW($A1285)),0))</f>
        <v>0</v>
      </c>
      <c r="I1285">
        <f ca="1">IF(OR($A1285="S",$A1285=0),0,MATCH(OFFSET($B1285,0,$A1285)+1,OFFSET($B1285,1,$A1285,ROW($A$1504)-ROW($A1285)),0))</f>
        <v>0</v>
      </c>
      <c r="J1285" s="132" t="s">
        <v>29</v>
      </c>
      <c r="K1285" s="121" t="str">
        <f t="shared" ca="1" si="1659"/>
        <v>14.6.8.</v>
      </c>
      <c r="L1285" s="137" t="str">
        <f t="shared" ca="1" si="1651"/>
        <v>Cotação</v>
      </c>
      <c r="M1285" s="122" t="s">
        <v>80</v>
      </c>
      <c r="N1285" s="139" t="s">
        <v>151</v>
      </c>
      <c r="O1285" s="137" t="str">
        <f t="shared" ca="1" si="1660"/>
        <v>Locação de mesas</v>
      </c>
      <c r="P1285" s="138" t="str">
        <f t="shared" ca="1" si="1652"/>
        <v>Unidade</v>
      </c>
      <c r="Q1285" s="134">
        <v>20</v>
      </c>
      <c r="R1285" s="124">
        <f t="shared" ca="1" si="1653"/>
        <v>3</v>
      </c>
      <c r="S1285" s="136" t="s">
        <v>62</v>
      </c>
      <c r="T1285" s="123">
        <f t="shared" ca="1" si="1654"/>
        <v>3.75</v>
      </c>
      <c r="U1285" s="126">
        <f t="shared" ca="1" si="1655"/>
        <v>75</v>
      </c>
      <c r="V1285" s="1"/>
      <c r="W1285" s="39" t="str">
        <f ca="1">IF(OR($A1285=0,$A1285="S",$A1285&gt;CFF!$A$9),"",MAX(W$11:OFFSET(W1285,-1,0))+1)</f>
        <v/>
      </c>
      <c r="X1285" s="4" t="str">
        <f t="shared" si="1656"/>
        <v>Serv. Terc.-003</v>
      </c>
      <c r="Y1285" s="39">
        <f t="shared" ca="1" si="1661"/>
        <v>83</v>
      </c>
      <c r="Z1285" s="1"/>
      <c r="AA1285" s="133">
        <f>IF($J1285=$G$2,ROUND(IF(ISNUMBER(S1285),S1285,IF(LEFT(S1285,2)="DI",HLOOKUP(S1285,DADOS!$T$29:$X$30,2,FALSE),0)),4),"")</f>
        <v>0.25</v>
      </c>
      <c r="AB1285" s="2"/>
    </row>
    <row r="1286" spans="1:28">
      <c r="A1286" t="str">
        <f t="shared" si="1657"/>
        <v>S</v>
      </c>
      <c r="B1286">
        <f t="shared" si="1658"/>
        <v>0</v>
      </c>
      <c r="C1286">
        <f t="shared" ca="1" si="1646"/>
        <v>14</v>
      </c>
      <c r="D1286">
        <f t="shared" ca="1" si="1647"/>
        <v>6</v>
      </c>
      <c r="E1286">
        <f t="shared" ca="1" si="1648"/>
        <v>0</v>
      </c>
      <c r="F1286">
        <f t="shared" ca="1" si="1649"/>
        <v>0</v>
      </c>
      <c r="G1286">
        <f t="shared" ca="1" si="1650"/>
        <v>9</v>
      </c>
      <c r="H1286">
        <f ca="1">IF(OR($A1286="S",$A1286=0),0,MATCH(0,OFFSET($B1286,1,$A1286,ROW($A$1504)-ROW($A1286)),0))</f>
        <v>0</v>
      </c>
      <c r="I1286">
        <f ca="1">IF(OR($A1286="S",$A1286=0),0,MATCH(OFFSET($B1286,0,$A1286)+1,OFFSET($B1286,1,$A1286,ROW($A$1504)-ROW($A1286)),0))</f>
        <v>0</v>
      </c>
      <c r="J1286" s="132" t="s">
        <v>29</v>
      </c>
      <c r="K1286" s="121" t="str">
        <f t="shared" ca="1" si="1659"/>
        <v>14.6.9.</v>
      </c>
      <c r="L1286" s="137" t="str">
        <f t="shared" ca="1" si="1651"/>
        <v>Cotação</v>
      </c>
      <c r="M1286" s="122" t="s">
        <v>80</v>
      </c>
      <c r="N1286" s="139" t="s">
        <v>153</v>
      </c>
      <c r="O1286" s="137" t="str">
        <f t="shared" ca="1" si="1660"/>
        <v>Locação de cadeiras</v>
      </c>
      <c r="P1286" s="138" t="str">
        <f t="shared" ca="1" si="1652"/>
        <v>Unidade</v>
      </c>
      <c r="Q1286" s="134">
        <v>400</v>
      </c>
      <c r="R1286" s="124">
        <f t="shared" ca="1" si="1653"/>
        <v>2</v>
      </c>
      <c r="S1286" s="136" t="s">
        <v>62</v>
      </c>
      <c r="T1286" s="123">
        <f t="shared" ca="1" si="1654"/>
        <v>2.5</v>
      </c>
      <c r="U1286" s="126">
        <f t="shared" ca="1" si="1655"/>
        <v>1000</v>
      </c>
      <c r="V1286" s="1"/>
      <c r="W1286" s="39" t="str">
        <f ca="1">IF(OR($A1286=0,$A1286="S",$A1286&gt;CFF!$A$9),"",MAX(W$11:OFFSET(W1286,-1,0))+1)</f>
        <v/>
      </c>
      <c r="X1286" s="4" t="str">
        <f t="shared" si="1656"/>
        <v>Serv. Terc.-004</v>
      </c>
      <c r="Y1286" s="39">
        <f t="shared" ca="1" si="1661"/>
        <v>84</v>
      </c>
      <c r="Z1286" s="1"/>
      <c r="AA1286" s="133">
        <f>IF($J1286=$G$2,ROUND(IF(ISNUMBER(S1286),S1286,IF(LEFT(S1286,2)="DI",HLOOKUP(S1286,DADOS!$T$29:$X$30,2,FALSE),0)),4),"")</f>
        <v>0.25</v>
      </c>
      <c r="AB1286" s="2"/>
    </row>
    <row r="1287" spans="1:28">
      <c r="A1287" t="str">
        <f t="shared" si="1657"/>
        <v>S</v>
      </c>
      <c r="B1287">
        <f t="shared" si="1658"/>
        <v>0</v>
      </c>
      <c r="C1287">
        <f t="shared" ca="1" si="1646"/>
        <v>14</v>
      </c>
      <c r="D1287">
        <f t="shared" ca="1" si="1647"/>
        <v>6</v>
      </c>
      <c r="E1287">
        <f t="shared" ca="1" si="1648"/>
        <v>0</v>
      </c>
      <c r="F1287">
        <f t="shared" ca="1" si="1649"/>
        <v>0</v>
      </c>
      <c r="G1287">
        <f t="shared" ca="1" si="1650"/>
        <v>10</v>
      </c>
      <c r="H1287">
        <f ca="1">IF(OR($A1287="S",$A1287=0),0,MATCH(0,OFFSET($B1287,1,$A1287,ROW($A$1504)-ROW($A1287)),0))</f>
        <v>0</v>
      </c>
      <c r="I1287">
        <f ca="1">IF(OR($A1287="S",$A1287=0),0,MATCH(OFFSET($B1287,0,$A1287)+1,OFFSET($B1287,1,$A1287,ROW($A$1504)-ROW($A1287)),0))</f>
        <v>0</v>
      </c>
      <c r="J1287" s="132" t="s">
        <v>29</v>
      </c>
      <c r="K1287" s="121" t="str">
        <f t="shared" ca="1" si="1659"/>
        <v>14.6.10.</v>
      </c>
      <c r="L1287" s="137" t="str">
        <f t="shared" ca="1" si="1651"/>
        <v>Cotação</v>
      </c>
      <c r="M1287" s="122" t="s">
        <v>80</v>
      </c>
      <c r="N1287" s="139" t="s">
        <v>154</v>
      </c>
      <c r="O1287" s="137" t="str">
        <f t="shared" ca="1" si="1660"/>
        <v>Locação de caixa térmica</v>
      </c>
      <c r="P1287" s="138" t="str">
        <f t="shared" ca="1" si="1652"/>
        <v>Unidade</v>
      </c>
      <c r="Q1287" s="134">
        <v>2</v>
      </c>
      <c r="R1287" s="124">
        <f t="shared" ca="1" si="1653"/>
        <v>40</v>
      </c>
      <c r="S1287" s="136" t="s">
        <v>62</v>
      </c>
      <c r="T1287" s="123">
        <f t="shared" ca="1" si="1654"/>
        <v>50</v>
      </c>
      <c r="U1287" s="126">
        <f t="shared" ca="1" si="1655"/>
        <v>100</v>
      </c>
      <c r="V1287" s="1"/>
      <c r="W1287" s="39" t="str">
        <f ca="1">IF(OR($A1287=0,$A1287="S",$A1287&gt;CFF!$A$9),"",MAX(W$11:OFFSET(W1287,-1,0))+1)</f>
        <v/>
      </c>
      <c r="X1287" s="4" t="str">
        <f t="shared" si="1656"/>
        <v>Serv. Terc.-005</v>
      </c>
      <c r="Y1287" s="39">
        <f t="shared" ca="1" si="1661"/>
        <v>85</v>
      </c>
      <c r="Z1287" s="1"/>
      <c r="AA1287" s="133">
        <f>IF($J1287=$G$2,ROUND(IF(ISNUMBER(S1287),S1287,IF(LEFT(S1287,2)="DI",HLOOKUP(S1287,DADOS!$T$29:$X$30,2,FALSE),0)),4),"")</f>
        <v>0.25</v>
      </c>
      <c r="AB1287" s="2"/>
    </row>
    <row r="1288" spans="1:28">
      <c r="A1288" t="str">
        <f t="shared" si="1657"/>
        <v>S</v>
      </c>
      <c r="B1288">
        <f t="shared" si="1658"/>
        <v>0</v>
      </c>
      <c r="C1288">
        <f t="shared" ca="1" si="1646"/>
        <v>14</v>
      </c>
      <c r="D1288">
        <f t="shared" ca="1" si="1647"/>
        <v>6</v>
      </c>
      <c r="E1288">
        <f t="shared" ca="1" si="1648"/>
        <v>0</v>
      </c>
      <c r="F1288">
        <f t="shared" ca="1" si="1649"/>
        <v>0</v>
      </c>
      <c r="G1288">
        <f t="shared" ca="1" si="1650"/>
        <v>11</v>
      </c>
      <c r="H1288">
        <f ca="1">IF(OR($A1288="S",$A1288=0),0,MATCH(0,OFFSET($B1288,1,$A1288,ROW($A$1504)-ROW($A1288)),0))</f>
        <v>0</v>
      </c>
      <c r="I1288">
        <f ca="1">IF(OR($A1288="S",$A1288=0),0,MATCH(OFFSET($B1288,0,$A1288)+1,OFFSET($B1288,1,$A1288,ROW($A$1504)-ROW($A1288)),0))</f>
        <v>0</v>
      </c>
      <c r="J1288" s="132" t="s">
        <v>29</v>
      </c>
      <c r="K1288" s="121" t="str">
        <f t="shared" ca="1" si="1659"/>
        <v>14.6.11.</v>
      </c>
      <c r="L1288" s="137" t="str">
        <f t="shared" ca="1" si="1651"/>
        <v>Cotação</v>
      </c>
      <c r="M1288" s="122" t="s">
        <v>80</v>
      </c>
      <c r="N1288" s="139" t="s">
        <v>155</v>
      </c>
      <c r="O1288" s="137" t="str">
        <f t="shared" ca="1" si="1660"/>
        <v>Locação de tendas</v>
      </c>
      <c r="P1288" s="138" t="str">
        <f t="shared" ca="1" si="1652"/>
        <v>Unidade</v>
      </c>
      <c r="Q1288" s="134">
        <v>3</v>
      </c>
      <c r="R1288" s="124">
        <f t="shared" ca="1" si="1653"/>
        <v>250</v>
      </c>
      <c r="S1288" s="136" t="s">
        <v>62</v>
      </c>
      <c r="T1288" s="123">
        <f t="shared" ca="1" si="1654"/>
        <v>312.5</v>
      </c>
      <c r="U1288" s="126">
        <f t="shared" ca="1" si="1655"/>
        <v>937.5</v>
      </c>
      <c r="V1288" s="1"/>
      <c r="W1288" s="39" t="str">
        <f ca="1">IF(OR($A1288=0,$A1288="S",$A1288&gt;CFF!$A$9),"",MAX(W$11:OFFSET(W1288,-1,0))+1)</f>
        <v/>
      </c>
      <c r="X1288" s="4" t="str">
        <f t="shared" si="1656"/>
        <v>Serv. Terc.-006</v>
      </c>
      <c r="Y1288" s="39">
        <f t="shared" ca="1" si="1661"/>
        <v>86</v>
      </c>
      <c r="Z1288" s="1"/>
      <c r="AA1288" s="133">
        <f>IF($J1288=$G$2,ROUND(IF(ISNUMBER(S1288),S1288,IF(LEFT(S1288,2)="DI",HLOOKUP(S1288,DADOS!$T$29:$X$30,2,FALSE),0)),4),"")</f>
        <v>0.25</v>
      </c>
      <c r="AB1288" s="2"/>
    </row>
    <row r="1289" spans="1:28">
      <c r="A1289" t="str">
        <f t="shared" ref="A1289:A1305" si="1662">CHOOSE(1+LOG(1+2*(J1289=$C$2)+4*(J1289=$D$2)+8*(J1289=$E$2)+16*(J1289=$F$2)+32*(J1289=$G$2),2),0,1,2,3,4,"S")</f>
        <v>S</v>
      </c>
      <c r="B1289">
        <f t="shared" ref="B1289:B1305" si="1663">IF(OR(A1289="S",A1289=0),0,IF(ISERROR(I1289),H1289,SMALL(H1289:I1289,1)))</f>
        <v>0</v>
      </c>
      <c r="C1289">
        <f t="shared" ca="1" si="1646"/>
        <v>14</v>
      </c>
      <c r="D1289">
        <f t="shared" ca="1" si="1647"/>
        <v>6</v>
      </c>
      <c r="E1289">
        <f t="shared" ca="1" si="1648"/>
        <v>0</v>
      </c>
      <c r="F1289">
        <f t="shared" ca="1" si="1649"/>
        <v>0</v>
      </c>
      <c r="G1289">
        <f t="shared" ca="1" si="1650"/>
        <v>12</v>
      </c>
      <c r="H1289">
        <f ca="1">IF(OR($A1289="S",$A1289=0),0,MATCH(0,OFFSET($B1289,1,$A1289,ROW($A$1504)-ROW($A1289)),0))</f>
        <v>0</v>
      </c>
      <c r="I1289">
        <f ca="1">IF(OR($A1289="S",$A1289=0),0,MATCH(OFFSET($B1289,0,$A1289)+1,OFFSET($B1289,1,$A1289,ROW($A$1504)-ROW($A1289)),0))</f>
        <v>0</v>
      </c>
      <c r="J1289" s="132" t="s">
        <v>29</v>
      </c>
      <c r="K1289" s="121" t="str">
        <f t="shared" ref="K1289:K1305" ca="1" si="1664">IF($A1289=0,"-",CONCATENATE(C1289&amp;".",IF(AND($A$5&gt;=2,$A1289&gt;=2),D1289&amp;".",""),IF(AND($A$5&gt;=3,$A1289&gt;=3),E1289&amp;".",""),IF(AND($A$5&gt;=4,$A1289&gt;=4),F1289&amp;".",""),IF($A1289="S",G1289&amp;".","")))</f>
        <v>14.6.12.</v>
      </c>
      <c r="L1289" s="137" t="str">
        <f t="shared" ca="1" si="1651"/>
        <v>Cotação</v>
      </c>
      <c r="M1289" s="122" t="s">
        <v>80</v>
      </c>
      <c r="N1289" s="139" t="s">
        <v>157</v>
      </c>
      <c r="O1289" s="137" t="str">
        <f t="shared" ca="1" si="1660"/>
        <v>Locação de pula-pula com monitor</v>
      </c>
      <c r="P1289" s="138" t="str">
        <f t="shared" ca="1" si="1652"/>
        <v>Unidade</v>
      </c>
      <c r="Q1289" s="134">
        <v>2</v>
      </c>
      <c r="R1289" s="124">
        <f t="shared" ca="1" si="1653"/>
        <v>220</v>
      </c>
      <c r="S1289" s="136" t="s">
        <v>62</v>
      </c>
      <c r="T1289" s="123">
        <f t="shared" ca="1" si="1654"/>
        <v>275</v>
      </c>
      <c r="U1289" s="126">
        <f t="shared" ca="1" si="1655"/>
        <v>550</v>
      </c>
      <c r="V1289" s="1"/>
      <c r="W1289" s="39" t="str">
        <f ca="1">IF(OR($A1289=0,$A1289="S",$A1289&gt;CFF!$A$9),"",MAX(W$11:OFFSET(W1289,-1,0))+1)</f>
        <v/>
      </c>
      <c r="X1289" s="4" t="str">
        <f t="shared" si="1656"/>
        <v>Serv. Terc.-008</v>
      </c>
      <c r="Y1289" s="39">
        <f t="shared" ref="Y1289:Y1305" ca="1" si="1665">IF(X1289&lt;&gt;FALSE,MATCH(X1289,OFFSET(Banco,0,0,,1),0))</f>
        <v>88</v>
      </c>
      <c r="Z1289" s="1"/>
      <c r="AA1289" s="133">
        <f>IF($J1289=$G$2,ROUND(IF(ISNUMBER(S1289),S1289,IF(LEFT(S1289,2)="DI",HLOOKUP(S1289,DADOS!$T$29:$X$30,2,FALSE),0)),4),"")</f>
        <v>0.25</v>
      </c>
      <c r="AB1289" s="2"/>
    </row>
    <row r="1290" spans="1:28">
      <c r="A1290" t="str">
        <f t="shared" si="1662"/>
        <v>S</v>
      </c>
      <c r="B1290">
        <f t="shared" si="1663"/>
        <v>0</v>
      </c>
      <c r="C1290">
        <f t="shared" ca="1" si="1646"/>
        <v>14</v>
      </c>
      <c r="D1290">
        <f t="shared" ca="1" si="1647"/>
        <v>6</v>
      </c>
      <c r="E1290">
        <f t="shared" ca="1" si="1648"/>
        <v>0</v>
      </c>
      <c r="F1290">
        <f t="shared" ca="1" si="1649"/>
        <v>0</v>
      </c>
      <c r="G1290">
        <f t="shared" ca="1" si="1650"/>
        <v>13</v>
      </c>
      <c r="H1290">
        <f ca="1">IF(OR($A1290="S",$A1290=0),0,MATCH(0,OFFSET($B1290,1,$A1290,ROW($A$1504)-ROW($A1290)),0))</f>
        <v>0</v>
      </c>
      <c r="I1290">
        <f ca="1">IF(OR($A1290="S",$A1290=0),0,MATCH(OFFSET($B1290,0,$A1290)+1,OFFSET($B1290,1,$A1290,ROW($A$1504)-ROW($A1290)),0))</f>
        <v>0</v>
      </c>
      <c r="J1290" s="132" t="s">
        <v>29</v>
      </c>
      <c r="K1290" s="121" t="str">
        <f t="shared" ca="1" si="1664"/>
        <v>14.6.13.</v>
      </c>
      <c r="L1290" s="137" t="str">
        <f t="shared" ca="1" si="1651"/>
        <v>Cotação</v>
      </c>
      <c r="M1290" s="122" t="s">
        <v>80</v>
      </c>
      <c r="N1290" s="139" t="s">
        <v>161</v>
      </c>
      <c r="O1290" s="137" t="str">
        <f t="shared" ca="1" si="1660"/>
        <v>Água (garrafão de 20 litros)</v>
      </c>
      <c r="P1290" s="138" t="str">
        <f t="shared" ca="1" si="1652"/>
        <v>Unidade</v>
      </c>
      <c r="Q1290" s="134">
        <v>2</v>
      </c>
      <c r="R1290" s="124">
        <f t="shared" ca="1" si="1653"/>
        <v>10</v>
      </c>
      <c r="S1290" s="136" t="s">
        <v>62</v>
      </c>
      <c r="T1290" s="123">
        <f t="shared" ca="1" si="1654"/>
        <v>12.5</v>
      </c>
      <c r="U1290" s="126">
        <f t="shared" ca="1" si="1655"/>
        <v>25</v>
      </c>
      <c r="V1290" s="1"/>
      <c r="W1290" s="39" t="str">
        <f ca="1">IF(OR($A1290=0,$A1290="S",$A1290&gt;CFF!$A$9),"",MAX(W$11:OFFSET(W1290,-1,0))+1)</f>
        <v/>
      </c>
      <c r="X1290" s="4" t="str">
        <f t="shared" si="1656"/>
        <v>Serv. Terc.-012</v>
      </c>
      <c r="Y1290" s="39">
        <f t="shared" ca="1" si="1665"/>
        <v>92</v>
      </c>
      <c r="Z1290" s="1"/>
      <c r="AA1290" s="133">
        <f>IF($J1290=$G$2,ROUND(IF(ISNUMBER(S1290),S1290,IF(LEFT(S1290,2)="DI",HLOOKUP(S1290,DADOS!$T$29:$X$30,2,FALSE),0)),4),"")</f>
        <v>0.25</v>
      </c>
      <c r="AB1290" s="2"/>
    </row>
    <row r="1291" spans="1:28">
      <c r="A1291" t="str">
        <f t="shared" si="1662"/>
        <v>S</v>
      </c>
      <c r="B1291">
        <f t="shared" si="1663"/>
        <v>0</v>
      </c>
      <c r="C1291">
        <f t="shared" ca="1" si="1646"/>
        <v>14</v>
      </c>
      <c r="D1291">
        <f t="shared" ca="1" si="1647"/>
        <v>6</v>
      </c>
      <c r="E1291">
        <f t="shared" ca="1" si="1648"/>
        <v>0</v>
      </c>
      <c r="F1291">
        <f t="shared" ca="1" si="1649"/>
        <v>0</v>
      </c>
      <c r="G1291">
        <f t="shared" ca="1" si="1650"/>
        <v>14</v>
      </c>
      <c r="H1291">
        <f ca="1">IF(OR($A1291="S",$A1291=0),0,MATCH(0,OFFSET($B1291,1,$A1291,ROW($A$1504)-ROW($A1291)),0))</f>
        <v>0</v>
      </c>
      <c r="I1291">
        <f ca="1">IF(OR($A1291="S",$A1291=0),0,MATCH(OFFSET($B1291,0,$A1291)+1,OFFSET($B1291,1,$A1291,ROW($A$1504)-ROW($A1291)),0))</f>
        <v>0</v>
      </c>
      <c r="J1291" s="132" t="s">
        <v>29</v>
      </c>
      <c r="K1291" s="121" t="str">
        <f t="shared" ca="1" si="1664"/>
        <v>14.6.14.</v>
      </c>
      <c r="L1291" s="137" t="str">
        <f t="shared" ca="1" si="1651"/>
        <v xml:space="preserve">Cotação </v>
      </c>
      <c r="M1291" s="122" t="s">
        <v>80</v>
      </c>
      <c r="N1291" s="139" t="s">
        <v>160</v>
      </c>
      <c r="O1291" s="137" t="str">
        <f t="shared" ca="1" si="1660"/>
        <v>Barra de gelo</v>
      </c>
      <c r="P1291" s="138" t="str">
        <f t="shared" ca="1" si="1652"/>
        <v>Unidade</v>
      </c>
      <c r="Q1291" s="134">
        <v>9</v>
      </c>
      <c r="R1291" s="124">
        <f t="shared" ca="1" si="1653"/>
        <v>12</v>
      </c>
      <c r="S1291" s="136" t="s">
        <v>62</v>
      </c>
      <c r="T1291" s="123">
        <f t="shared" ca="1" si="1654"/>
        <v>15</v>
      </c>
      <c r="U1291" s="126">
        <f t="shared" ca="1" si="1655"/>
        <v>135</v>
      </c>
      <c r="V1291" s="1"/>
      <c r="W1291" s="39" t="str">
        <f ca="1">IF(OR($A1291=0,$A1291="S",$A1291&gt;CFF!$A$9),"",MAX(W$11:OFFSET(W1291,-1,0))+1)</f>
        <v/>
      </c>
      <c r="X1291" s="4" t="str">
        <f t="shared" si="1656"/>
        <v>Serv. Terc.-011</v>
      </c>
      <c r="Y1291" s="39">
        <f t="shared" ca="1" si="1665"/>
        <v>91</v>
      </c>
      <c r="Z1291" s="1"/>
      <c r="AA1291" s="133">
        <f>IF($J1291=$G$2,ROUND(IF(ISNUMBER(S1291),S1291,IF(LEFT(S1291,2)="DI",HLOOKUP(S1291,DADOS!$T$29:$X$30,2,FALSE),0)),4),"")</f>
        <v>0.25</v>
      </c>
      <c r="AB1291" s="2"/>
    </row>
    <row r="1292" spans="1:28">
      <c r="A1292" t="str">
        <f t="shared" si="1662"/>
        <v>S</v>
      </c>
      <c r="B1292">
        <f t="shared" si="1663"/>
        <v>0</v>
      </c>
      <c r="C1292">
        <f t="shared" ca="1" si="1646"/>
        <v>14</v>
      </c>
      <c r="D1292">
        <f t="shared" ca="1" si="1647"/>
        <v>6</v>
      </c>
      <c r="E1292">
        <f t="shared" ca="1" si="1648"/>
        <v>0</v>
      </c>
      <c r="F1292">
        <f t="shared" ca="1" si="1649"/>
        <v>0</v>
      </c>
      <c r="G1292">
        <f t="shared" ca="1" si="1650"/>
        <v>15</v>
      </c>
      <c r="H1292">
        <f ca="1">IF(OR($A1292="S",$A1292=0),0,MATCH(0,OFFSET($B1292,1,$A1292,ROW($A$1504)-ROW($A1292)),0))</f>
        <v>0</v>
      </c>
      <c r="I1292">
        <f ca="1">IF(OR($A1292="S",$A1292=0),0,MATCH(OFFSET($B1292,0,$A1292)+1,OFFSET($B1292,1,$A1292,ROW($A$1504)-ROW($A1292)),0))</f>
        <v>0</v>
      </c>
      <c r="J1292" s="132" t="s">
        <v>29</v>
      </c>
      <c r="K1292" s="121" t="str">
        <f t="shared" ca="1" si="1664"/>
        <v>14.6.15.</v>
      </c>
      <c r="L1292" s="137" t="str">
        <f t="shared" ca="1" si="1651"/>
        <v>Cotação</v>
      </c>
      <c r="M1292" s="122" t="s">
        <v>80</v>
      </c>
      <c r="N1292" s="139" t="s">
        <v>150</v>
      </c>
      <c r="O1292" s="137" t="str">
        <f t="shared" ca="1" si="1660"/>
        <v>Sucos</v>
      </c>
      <c r="P1292" s="138" t="str">
        <f t="shared" ca="1" si="1652"/>
        <v>Unidade</v>
      </c>
      <c r="Q1292" s="134">
        <v>12</v>
      </c>
      <c r="R1292" s="124">
        <f t="shared" ca="1" si="1653"/>
        <v>6.4</v>
      </c>
      <c r="S1292" s="136" t="s">
        <v>62</v>
      </c>
      <c r="T1292" s="123">
        <f t="shared" ca="1" si="1654"/>
        <v>8</v>
      </c>
      <c r="U1292" s="126">
        <f t="shared" ca="1" si="1655"/>
        <v>96</v>
      </c>
      <c r="V1292" s="1"/>
      <c r="W1292" s="39" t="str">
        <f ca="1">IF(OR($A1292=0,$A1292="S",$A1292&gt;CFF!$A$9),"",MAX(W$11:OFFSET(W1292,-1,0))+1)</f>
        <v/>
      </c>
      <c r="X1292" s="4" t="str">
        <f t="shared" si="1656"/>
        <v>Serv. Terc.-013</v>
      </c>
      <c r="Y1292" s="39">
        <f t="shared" ca="1" si="1665"/>
        <v>93</v>
      </c>
      <c r="Z1292" s="1"/>
      <c r="AA1292" s="133">
        <f>IF($J1292=$G$2,ROUND(IF(ISNUMBER(S1292),S1292,IF(LEFT(S1292,2)="DI",HLOOKUP(S1292,DADOS!$T$29:$X$30,2,FALSE),0)),4),"")</f>
        <v>0.25</v>
      </c>
      <c r="AB1292" s="2"/>
    </row>
    <row r="1293" spans="1:28">
      <c r="A1293" t="str">
        <f>CHOOSE(1+LOG(1+2*(J1293=$C$2)+4*(J1293=$D$2)+8*(J1293=$E$2)+16*(J1293=$F$2)+32*(J1293=$G$2),2),0,1,2,3,4,"S")</f>
        <v>S</v>
      </c>
      <c r="B1293">
        <f>IF(OR(A1293="S",A1293=0),0,IF(ISERROR(I1293),H1293,SMALL(H1293:I1293,1)))</f>
        <v>0</v>
      </c>
      <c r="C1293">
        <f t="shared" ca="1" si="1646"/>
        <v>14</v>
      </c>
      <c r="D1293">
        <f t="shared" ca="1" si="1647"/>
        <v>6</v>
      </c>
      <c r="E1293">
        <f t="shared" ca="1" si="1648"/>
        <v>0</v>
      </c>
      <c r="F1293">
        <f t="shared" ca="1" si="1649"/>
        <v>0</v>
      </c>
      <c r="G1293">
        <f t="shared" ca="1" si="1650"/>
        <v>16</v>
      </c>
      <c r="H1293">
        <f ca="1">IF(OR($A1293="S",$A1293=0),0,MATCH(0,OFFSET($B1293,1,$A1293,ROW($A$1504)-ROW($A1293)),0))</f>
        <v>0</v>
      </c>
      <c r="I1293">
        <f ca="1">IF(OR($A1293="S",$A1293=0),0,MATCH(OFFSET($B1293,0,$A1293)+1,OFFSET($B1293,1,$A1293,ROW($A$1504)-ROW($A1293)),0))</f>
        <v>0</v>
      </c>
      <c r="J1293" s="132" t="s">
        <v>29</v>
      </c>
      <c r="K1293" s="121" t="str">
        <f ca="1">IF($A1293=0,"-",CONCATENATE(C1293&amp;".",IF(AND($A$5&gt;=2,$A1293&gt;=2),D1293&amp;".",""),IF(AND($A$5&gt;=3,$A1293&gt;=3),E1293&amp;".",""),IF(AND($A$5&gt;=4,$A1293&gt;=4),F1293&amp;".",""),IF($A1293="S",G1293&amp;".","")))</f>
        <v>14.6.16.</v>
      </c>
      <c r="L1293" s="137" t="str">
        <f t="shared" ca="1" si="1651"/>
        <v>Cotação</v>
      </c>
      <c r="M1293" s="122" t="s">
        <v>80</v>
      </c>
      <c r="N1293" s="139" t="s">
        <v>171</v>
      </c>
      <c r="O1293" s="137" t="str">
        <f ca="1">IF(NOT(ISERROR($Y1293)),IF($Y1293&lt;&gt;FALSE,INDEX(Banco,$Y1293,5),""),"")</f>
        <v xml:space="preserve">Refrigerantes (02 litros) </v>
      </c>
      <c r="P1293" s="138" t="str">
        <f t="shared" ca="1" si="1652"/>
        <v>Unidade</v>
      </c>
      <c r="Q1293" s="134">
        <v>20</v>
      </c>
      <c r="R1293" s="124">
        <f t="shared" ca="1" si="1653"/>
        <v>6</v>
      </c>
      <c r="S1293" s="136" t="s">
        <v>62</v>
      </c>
      <c r="T1293" s="123">
        <f t="shared" ca="1" si="1654"/>
        <v>7.5</v>
      </c>
      <c r="U1293" s="126">
        <f t="shared" ca="1" si="1655"/>
        <v>150</v>
      </c>
      <c r="V1293" s="1"/>
      <c r="W1293" s="39" t="str">
        <f ca="1">IF(OR($A1293=0,$A1293="S",$A1293&gt;CFF!$A$9),"",MAX(W$11:OFFSET(W1293,-1,0))+1)</f>
        <v/>
      </c>
      <c r="X1293" s="4" t="str">
        <f t="shared" si="1656"/>
        <v>Serv. Terc.-027</v>
      </c>
      <c r="Y1293" s="39">
        <f ca="1">IF(X1293&lt;&gt;FALSE,MATCH(X1293,OFFSET(Banco,0,0,,1),0))</f>
        <v>107</v>
      </c>
      <c r="Z1293" s="1"/>
      <c r="AA1293" s="133">
        <f>IF($J1293=$G$2,ROUND(IF(ISNUMBER(S1293),S1293,IF(LEFT(S1293,2)="DI",HLOOKUP(S1293,DADOS!$T$29:$X$30,2,FALSE),0)),4),"")</f>
        <v>0.25</v>
      </c>
      <c r="AB1293" s="2"/>
    </row>
    <row r="1294" spans="1:28">
      <c r="A1294" t="str">
        <f t="shared" si="1662"/>
        <v>S</v>
      </c>
      <c r="B1294">
        <f t="shared" si="1663"/>
        <v>0</v>
      </c>
      <c r="C1294">
        <f t="shared" ca="1" si="1646"/>
        <v>14</v>
      </c>
      <c r="D1294">
        <f t="shared" ca="1" si="1647"/>
        <v>6</v>
      </c>
      <c r="E1294">
        <f t="shared" ca="1" si="1648"/>
        <v>0</v>
      </c>
      <c r="F1294">
        <f t="shared" ca="1" si="1649"/>
        <v>0</v>
      </c>
      <c r="G1294">
        <f t="shared" ca="1" si="1650"/>
        <v>17</v>
      </c>
      <c r="H1294">
        <f ca="1">IF(OR($A1294="S",$A1294=0),0,MATCH(0,OFFSET($B1294,1,$A1294,ROW($A$1504)-ROW($A1294)),0))</f>
        <v>0</v>
      </c>
      <c r="I1294">
        <f ca="1">IF(OR($A1294="S",$A1294=0),0,MATCH(OFFSET($B1294,0,$A1294)+1,OFFSET($B1294,1,$A1294,ROW($A$1504)-ROW($A1294)),0))</f>
        <v>0</v>
      </c>
      <c r="J1294" s="132" t="s">
        <v>29</v>
      </c>
      <c r="K1294" s="121" t="str">
        <f t="shared" ca="1" si="1664"/>
        <v>14.6.17.</v>
      </c>
      <c r="L1294" s="137" t="str">
        <f t="shared" ca="1" si="1651"/>
        <v xml:space="preserve">Cotação </v>
      </c>
      <c r="M1294" s="122" t="s">
        <v>80</v>
      </c>
      <c r="N1294" s="139" t="s">
        <v>159</v>
      </c>
      <c r="O1294" s="137" t="str">
        <f t="shared" ca="1" si="1660"/>
        <v>Brindes ( descrição nos orçamentos e PTS)</v>
      </c>
      <c r="P1294" s="138" t="str">
        <f t="shared" ca="1" si="1652"/>
        <v>Unidade</v>
      </c>
      <c r="Q1294" s="134">
        <v>8</v>
      </c>
      <c r="R1294" s="124">
        <f t="shared" ca="1" si="1653"/>
        <v>120</v>
      </c>
      <c r="S1294" s="136" t="s">
        <v>62</v>
      </c>
      <c r="T1294" s="123">
        <f t="shared" ca="1" si="1654"/>
        <v>150</v>
      </c>
      <c r="U1294" s="126">
        <f t="shared" ca="1" si="1655"/>
        <v>1200</v>
      </c>
      <c r="V1294" s="1"/>
      <c r="W1294" s="39" t="str">
        <f ca="1">IF(OR($A1294=0,$A1294="S",$A1294&gt;CFF!$A$9),"",MAX(W$11:OFFSET(W1294,-1,0))+1)</f>
        <v/>
      </c>
      <c r="X1294" s="4" t="str">
        <f t="shared" si="1656"/>
        <v>Serv. Terc.-010</v>
      </c>
      <c r="Y1294" s="39">
        <f t="shared" ca="1" si="1665"/>
        <v>90</v>
      </c>
      <c r="Z1294" s="1"/>
      <c r="AA1294" s="133">
        <f>IF($J1294=$G$2,ROUND(IF(ISNUMBER(S1294),S1294,IF(LEFT(S1294,2)="DI",HLOOKUP(S1294,DADOS!$T$29:$X$30,2,FALSE),0)),4),"")</f>
        <v>0.25</v>
      </c>
      <c r="AB1294" s="2"/>
    </row>
    <row r="1295" spans="1:28">
      <c r="A1295" t="str">
        <f t="shared" si="1662"/>
        <v>S</v>
      </c>
      <c r="B1295">
        <f t="shared" si="1663"/>
        <v>0</v>
      </c>
      <c r="C1295">
        <f t="shared" ca="1" si="1646"/>
        <v>14</v>
      </c>
      <c r="D1295">
        <f t="shared" ca="1" si="1647"/>
        <v>6</v>
      </c>
      <c r="E1295">
        <f t="shared" ca="1" si="1648"/>
        <v>0</v>
      </c>
      <c r="F1295">
        <f t="shared" ca="1" si="1649"/>
        <v>0</v>
      </c>
      <c r="G1295">
        <f t="shared" ca="1" si="1650"/>
        <v>18</v>
      </c>
      <c r="H1295">
        <f ca="1">IF(OR($A1295="S",$A1295=0),0,MATCH(0,OFFSET($B1295,1,$A1295,ROW($A$1504)-ROW($A1295)),0))</f>
        <v>0</v>
      </c>
      <c r="I1295">
        <f ca="1">IF(OR($A1295="S",$A1295=0),0,MATCH(OFFSET($B1295,0,$A1295)+1,OFFSET($B1295,1,$A1295,ROW($A$1504)-ROW($A1295)),0))</f>
        <v>0</v>
      </c>
      <c r="J1295" s="132" t="s">
        <v>29</v>
      </c>
      <c r="K1295" s="121" t="str">
        <f t="shared" ca="1" si="1664"/>
        <v>14.6.18.</v>
      </c>
      <c r="L1295" s="137" t="str">
        <f t="shared" ca="1" si="1651"/>
        <v>Cotação</v>
      </c>
      <c r="M1295" s="122" t="s">
        <v>80</v>
      </c>
      <c r="N1295" s="139" t="s">
        <v>162</v>
      </c>
      <c r="O1295" s="137" t="str">
        <f t="shared" ca="1" si="1660"/>
        <v>Coffee break (salgados)</v>
      </c>
      <c r="P1295" s="138" t="str">
        <f t="shared" ca="1" si="1652"/>
        <v>Centro</v>
      </c>
      <c r="Q1295" s="134">
        <v>15</v>
      </c>
      <c r="R1295" s="124">
        <f t="shared" ca="1" si="1653"/>
        <v>65</v>
      </c>
      <c r="S1295" s="136" t="s">
        <v>62</v>
      </c>
      <c r="T1295" s="123">
        <f t="shared" ca="1" si="1654"/>
        <v>81.25</v>
      </c>
      <c r="U1295" s="126">
        <f t="shared" ca="1" si="1655"/>
        <v>1218.75</v>
      </c>
      <c r="V1295" s="1"/>
      <c r="W1295" s="39" t="str">
        <f ca="1">IF(OR($A1295=0,$A1295="S",$A1295&gt;CFF!$A$9),"",MAX(W$11:OFFSET(W1295,-1,0))+1)</f>
        <v/>
      </c>
      <c r="X1295" s="4" t="str">
        <f t="shared" si="1656"/>
        <v>Serv. Terc.-015</v>
      </c>
      <c r="Y1295" s="39">
        <f t="shared" ca="1" si="1665"/>
        <v>95</v>
      </c>
      <c r="Z1295" s="1"/>
      <c r="AA1295" s="133">
        <f>IF($J1295=$G$2,ROUND(IF(ISNUMBER(S1295),S1295,IF(LEFT(S1295,2)="DI",HLOOKUP(S1295,DADOS!$T$29:$X$30,2,FALSE),0)),4),"")</f>
        <v>0.25</v>
      </c>
      <c r="AB1295" s="2"/>
    </row>
    <row r="1296" spans="1:28">
      <c r="A1296" t="str">
        <f>CHOOSE(1+LOG(1+2*(J1296=$C$2)+4*(J1296=$D$2)+8*(J1296=$E$2)+16*(J1296=$F$2)+32*(J1296=$G$2),2),0,1,2,3,4,"S")</f>
        <v>S</v>
      </c>
      <c r="B1296">
        <f>IF(OR(A1296="S",A1296=0),0,IF(ISERROR(I1296),H1296,SMALL(H1296:I1296,1)))</f>
        <v>0</v>
      </c>
      <c r="C1296">
        <f t="shared" ca="1" si="1646"/>
        <v>14</v>
      </c>
      <c r="D1296">
        <f t="shared" ca="1" si="1647"/>
        <v>6</v>
      </c>
      <c r="E1296">
        <f t="shared" ca="1" si="1648"/>
        <v>0</v>
      </c>
      <c r="F1296">
        <f t="shared" ca="1" si="1649"/>
        <v>0</v>
      </c>
      <c r="G1296">
        <f t="shared" ca="1" si="1650"/>
        <v>19</v>
      </c>
      <c r="H1296">
        <f ca="1">IF(OR($A1296="S",$A1296=0),0,MATCH(0,OFFSET($B1296,1,$A1296,ROW($A$1504)-ROW($A1296)),0))</f>
        <v>0</v>
      </c>
      <c r="I1296">
        <f ca="1">IF(OR($A1296="S",$A1296=0),0,MATCH(OFFSET($B1296,0,$A1296)+1,OFFSET($B1296,1,$A1296,ROW($A$1504)-ROW($A1296)),0))</f>
        <v>0</v>
      </c>
      <c r="J1296" s="132" t="s">
        <v>29</v>
      </c>
      <c r="K1296" s="121" t="str">
        <f ca="1">IF($A1296=0,"-",CONCATENATE(C1296&amp;".",IF(AND($A$5&gt;=2,$A1296&gt;=2),D1296&amp;".",""),IF(AND($A$5&gt;=3,$A1296&gt;=3),E1296&amp;".",""),IF(AND($A$5&gt;=4,$A1296&gt;=4),F1296&amp;".",""),IF($A1296="S",G1296&amp;".","")))</f>
        <v>14.6.19.</v>
      </c>
      <c r="L1296" s="137" t="str">
        <f t="shared" ca="1" si="1651"/>
        <v>SINCON/MT</v>
      </c>
      <c r="M1296" s="122" t="s">
        <v>80</v>
      </c>
      <c r="N1296" s="139" t="s">
        <v>277</v>
      </c>
      <c r="O1296" s="137" t="str">
        <f ca="1">IF(NOT(ISERROR($Y1296)),IF($Y1296&lt;&gt;FALSE,INDEX(Banco,$Y1296,5),""),"")</f>
        <v>Economista</v>
      </c>
      <c r="P1296" s="138" t="str">
        <f t="shared" ca="1" si="1652"/>
        <v>Horas</v>
      </c>
      <c r="Q1296" s="134">
        <v>3</v>
      </c>
      <c r="R1296" s="124">
        <f t="shared" ca="1" si="1653"/>
        <v>350</v>
      </c>
      <c r="S1296" s="136" t="s">
        <v>62</v>
      </c>
      <c r="T1296" s="123">
        <f t="shared" ca="1" si="1654"/>
        <v>437.5</v>
      </c>
      <c r="U1296" s="126">
        <f t="shared" ca="1" si="1655"/>
        <v>1312.5</v>
      </c>
      <c r="V1296" s="1"/>
      <c r="W1296" s="39" t="str">
        <f ca="1">IF(OR($A1296=0,$A1296="S",$A1296&gt;CFF!$A$9),"",MAX(W$11:OFFSET(W1296,-1,0))+1)</f>
        <v/>
      </c>
      <c r="X1296" s="4" t="str">
        <f t="shared" si="1656"/>
        <v>Serv. Terc.-063</v>
      </c>
      <c r="Y1296" s="39">
        <f ca="1">IF(X1296&lt;&gt;FALSE,MATCH(X1296,OFFSET(Banco,0,0,,1),0))</f>
        <v>143</v>
      </c>
      <c r="Z1296" s="1"/>
      <c r="AA1296" s="133">
        <f>IF($J1296=$G$2,ROUND(IF(ISNUMBER(S1296),S1296,IF(LEFT(S1296,2)="DI",HLOOKUP(S1296,DADOS!$T$29:$X$30,2,FALSE),0)),4),"")</f>
        <v>0.25</v>
      </c>
      <c r="AB1296" s="2"/>
    </row>
    <row r="1297" spans="1:28">
      <c r="A1297" t="str">
        <f t="shared" si="1662"/>
        <v>S</v>
      </c>
      <c r="B1297">
        <f t="shared" si="1663"/>
        <v>0</v>
      </c>
      <c r="C1297">
        <f t="shared" ca="1" si="1646"/>
        <v>14</v>
      </c>
      <c r="D1297">
        <f t="shared" ca="1" si="1647"/>
        <v>6</v>
      </c>
      <c r="E1297">
        <f t="shared" ca="1" si="1648"/>
        <v>0</v>
      </c>
      <c r="F1297">
        <f t="shared" ca="1" si="1649"/>
        <v>0</v>
      </c>
      <c r="G1297">
        <f t="shared" ca="1" si="1650"/>
        <v>20</v>
      </c>
      <c r="H1297">
        <f ca="1">IF(OR($A1297="S",$A1297=0),0,MATCH(0,OFFSET($B1297,1,$A1297,ROW($A$1504)-ROW($A1297)),0))</f>
        <v>0</v>
      </c>
      <c r="I1297">
        <f ca="1">IF(OR($A1297="S",$A1297=0),0,MATCH(OFFSET($B1297,0,$A1297)+1,OFFSET($B1297,1,$A1297,ROW($A$1504)-ROW($A1297)),0))</f>
        <v>0</v>
      </c>
      <c r="J1297" s="132" t="s">
        <v>29</v>
      </c>
      <c r="K1297" s="121" t="str">
        <f t="shared" ca="1" si="1664"/>
        <v>14.6.20.</v>
      </c>
      <c r="L1297" s="137" t="str">
        <f t="shared" ca="1" si="1651"/>
        <v>Cotação</v>
      </c>
      <c r="M1297" s="122" t="s">
        <v>79</v>
      </c>
      <c r="N1297" s="139" t="s">
        <v>163</v>
      </c>
      <c r="O1297" s="137" t="str">
        <f t="shared" ca="1" si="1660"/>
        <v>Guloseimas (balas e pirulito)</v>
      </c>
      <c r="P1297" s="138" t="str">
        <f t="shared" ca="1" si="1652"/>
        <v>Pacote</v>
      </c>
      <c r="Q1297" s="134">
        <v>8</v>
      </c>
      <c r="R1297" s="124">
        <f t="shared" ca="1" si="1653"/>
        <v>12</v>
      </c>
      <c r="S1297" s="136" t="s">
        <v>62</v>
      </c>
      <c r="T1297" s="123">
        <f t="shared" ca="1" si="1654"/>
        <v>15</v>
      </c>
      <c r="U1297" s="126">
        <f t="shared" ca="1" si="1655"/>
        <v>120</v>
      </c>
      <c r="V1297" s="1"/>
      <c r="W1297" s="39" t="str">
        <f ca="1">IF(OR($A1297=0,$A1297="S",$A1297&gt;CFF!$A$9),"",MAX(W$11:OFFSET(W1297,-1,0))+1)</f>
        <v/>
      </c>
      <c r="X1297" s="4" t="str">
        <f t="shared" si="1656"/>
        <v>Rec. Materiais-020</v>
      </c>
      <c r="Y1297" s="39">
        <f t="shared" ca="1" si="1665"/>
        <v>29</v>
      </c>
      <c r="Z1297" s="1"/>
      <c r="AA1297" s="133">
        <f>IF($J1297=$G$2,ROUND(IF(ISNUMBER(S1297),S1297,IF(LEFT(S1297,2)="DI",HLOOKUP(S1297,DADOS!$T$29:$X$30,2,FALSE),0)),4),"")</f>
        <v>0.25</v>
      </c>
      <c r="AB1297" s="2"/>
    </row>
    <row r="1298" spans="1:28">
      <c r="A1298" t="str">
        <f t="shared" si="1662"/>
        <v>S</v>
      </c>
      <c r="B1298">
        <f t="shared" si="1663"/>
        <v>0</v>
      </c>
      <c r="C1298">
        <f t="shared" ca="1" si="1646"/>
        <v>14</v>
      </c>
      <c r="D1298">
        <f t="shared" ca="1" si="1647"/>
        <v>6</v>
      </c>
      <c r="E1298">
        <f t="shared" ca="1" si="1648"/>
        <v>0</v>
      </c>
      <c r="F1298">
        <f t="shared" ca="1" si="1649"/>
        <v>0</v>
      </c>
      <c r="G1298">
        <f t="shared" ca="1" si="1650"/>
        <v>21</v>
      </c>
      <c r="H1298">
        <f ca="1">IF(OR($A1298="S",$A1298=0),0,MATCH(0,OFFSET($B1298,1,$A1298,ROW($A$1504)-ROW($A1298)),0))</f>
        <v>0</v>
      </c>
      <c r="I1298">
        <f ca="1">IF(OR($A1298="S",$A1298=0),0,MATCH(OFFSET($B1298,0,$A1298)+1,OFFSET($B1298,1,$A1298,ROW($A$1504)-ROW($A1298)),0))</f>
        <v>0</v>
      </c>
      <c r="J1298" s="132" t="s">
        <v>29</v>
      </c>
      <c r="K1298" s="121" t="str">
        <f t="shared" ca="1" si="1664"/>
        <v>14.6.21.</v>
      </c>
      <c r="L1298" s="137" t="str">
        <f t="shared" ca="1" si="1651"/>
        <v>Cotação</v>
      </c>
      <c r="M1298" s="122" t="s">
        <v>79</v>
      </c>
      <c r="N1298" s="139" t="s">
        <v>165</v>
      </c>
      <c r="O1298" s="137" t="str">
        <f t="shared" ca="1" si="1660"/>
        <v>Papel de presente</v>
      </c>
      <c r="P1298" s="138" t="str">
        <f t="shared" ca="1" si="1652"/>
        <v>Folhas</v>
      </c>
      <c r="Q1298" s="134">
        <v>16</v>
      </c>
      <c r="R1298" s="124">
        <f t="shared" ca="1" si="1653"/>
        <v>1.5</v>
      </c>
      <c r="S1298" s="136" t="s">
        <v>62</v>
      </c>
      <c r="T1298" s="123">
        <f t="shared" ca="1" si="1654"/>
        <v>1.88</v>
      </c>
      <c r="U1298" s="126">
        <f t="shared" ca="1" si="1655"/>
        <v>30.08</v>
      </c>
      <c r="V1298" s="1"/>
      <c r="W1298" s="39" t="str">
        <f ca="1">IF(OR($A1298=0,$A1298="S",$A1298&gt;CFF!$A$9),"",MAX(W$11:OFFSET(W1298,-1,0))+1)</f>
        <v/>
      </c>
      <c r="X1298" s="4" t="str">
        <f t="shared" si="1656"/>
        <v>Rec. Materiais-021</v>
      </c>
      <c r="Y1298" s="39">
        <f t="shared" ca="1" si="1665"/>
        <v>30</v>
      </c>
      <c r="Z1298" s="1"/>
      <c r="AA1298" s="133">
        <f>IF($J1298=$G$2,ROUND(IF(ISNUMBER(S1298),S1298,IF(LEFT(S1298,2)="DI",HLOOKUP(S1298,DADOS!$T$29:$X$30,2,FALSE),0)),4),"")</f>
        <v>0.25</v>
      </c>
      <c r="AB1298" s="2"/>
    </row>
    <row r="1299" spans="1:28">
      <c r="A1299" t="str">
        <f t="shared" si="1662"/>
        <v>S</v>
      </c>
      <c r="B1299">
        <f t="shared" si="1663"/>
        <v>0</v>
      </c>
      <c r="C1299">
        <f t="shared" ca="1" si="1646"/>
        <v>14</v>
      </c>
      <c r="D1299">
        <f t="shared" ca="1" si="1647"/>
        <v>6</v>
      </c>
      <c r="E1299">
        <f t="shared" ca="1" si="1648"/>
        <v>0</v>
      </c>
      <c r="F1299">
        <f t="shared" ca="1" si="1649"/>
        <v>0</v>
      </c>
      <c r="G1299">
        <f t="shared" ca="1" si="1650"/>
        <v>22</v>
      </c>
      <c r="H1299">
        <f ca="1">IF(OR($A1299="S",$A1299=0),0,MATCH(0,OFFSET($B1299,1,$A1299,ROW($A$1504)-ROW($A1299)),0))</f>
        <v>0</v>
      </c>
      <c r="I1299">
        <f ca="1">IF(OR($A1299="S",$A1299=0),0,MATCH(OFFSET($B1299,0,$A1299)+1,OFFSET($B1299,1,$A1299,ROW($A$1504)-ROW($A1299)),0))</f>
        <v>0</v>
      </c>
      <c r="J1299" s="132" t="s">
        <v>29</v>
      </c>
      <c r="K1299" s="121" t="str">
        <f t="shared" ca="1" si="1664"/>
        <v>14.6.22.</v>
      </c>
      <c r="L1299" s="137" t="str">
        <f t="shared" ca="1" si="1651"/>
        <v>Cotação</v>
      </c>
      <c r="M1299" s="122" t="s">
        <v>79</v>
      </c>
      <c r="N1299" s="139" t="s">
        <v>170</v>
      </c>
      <c r="O1299" s="137" t="str">
        <f t="shared" ca="1" si="1660"/>
        <v>Saco de lixo (100 litros)</v>
      </c>
      <c r="P1299" s="138" t="str">
        <f t="shared" ca="1" si="1652"/>
        <v>Pacote</v>
      </c>
      <c r="Q1299" s="134">
        <v>2</v>
      </c>
      <c r="R1299" s="124">
        <f t="shared" ca="1" si="1653"/>
        <v>15</v>
      </c>
      <c r="S1299" s="136" t="s">
        <v>62</v>
      </c>
      <c r="T1299" s="123">
        <f t="shared" ca="1" si="1654"/>
        <v>18.75</v>
      </c>
      <c r="U1299" s="126">
        <f t="shared" ca="1" si="1655"/>
        <v>37.5</v>
      </c>
      <c r="V1299" s="1"/>
      <c r="W1299" s="39" t="str">
        <f ca="1">IF(OR($A1299=0,$A1299="S",$A1299&gt;CFF!$A$9),"",MAX(W$11:OFFSET(W1299,-1,0))+1)</f>
        <v/>
      </c>
      <c r="X1299" s="4" t="str">
        <f t="shared" si="1656"/>
        <v>Rec. Materiais-026</v>
      </c>
      <c r="Y1299" s="39">
        <f t="shared" ca="1" si="1665"/>
        <v>35</v>
      </c>
      <c r="Z1299" s="1"/>
      <c r="AA1299" s="133">
        <f>IF($J1299=$G$2,ROUND(IF(ISNUMBER(S1299),S1299,IF(LEFT(S1299,2)="DI",HLOOKUP(S1299,DADOS!$T$29:$X$30,2,FALSE),0)),4),"")</f>
        <v>0.25</v>
      </c>
      <c r="AB1299" s="2"/>
    </row>
    <row r="1300" spans="1:28">
      <c r="A1300" t="str">
        <f t="shared" si="1662"/>
        <v>S</v>
      </c>
      <c r="B1300">
        <f t="shared" si="1663"/>
        <v>0</v>
      </c>
      <c r="C1300">
        <f t="shared" ca="1" si="1646"/>
        <v>14</v>
      </c>
      <c r="D1300">
        <f t="shared" ca="1" si="1647"/>
        <v>6</v>
      </c>
      <c r="E1300">
        <f t="shared" ca="1" si="1648"/>
        <v>0</v>
      </c>
      <c r="F1300">
        <f t="shared" ca="1" si="1649"/>
        <v>0</v>
      </c>
      <c r="G1300">
        <f t="shared" ca="1" si="1650"/>
        <v>23</v>
      </c>
      <c r="H1300">
        <f ca="1">IF(OR($A1300="S",$A1300=0),0,MATCH(0,OFFSET($B1300,1,$A1300,ROW($A$1504)-ROW($A1300)),0))</f>
        <v>0</v>
      </c>
      <c r="I1300">
        <f ca="1">IF(OR($A1300="S",$A1300=0),0,MATCH(OFFSET($B1300,0,$A1300)+1,OFFSET($B1300,1,$A1300,ROW($A$1504)-ROW($A1300)),0))</f>
        <v>0</v>
      </c>
      <c r="J1300" s="132" t="s">
        <v>29</v>
      </c>
      <c r="K1300" s="121" t="str">
        <f t="shared" ca="1" si="1664"/>
        <v>14.6.23.</v>
      </c>
      <c r="L1300" s="137" t="str">
        <f t="shared" ca="1" si="1651"/>
        <v>Cotação</v>
      </c>
      <c r="M1300" s="122" t="s">
        <v>79</v>
      </c>
      <c r="N1300" s="139" t="s">
        <v>164</v>
      </c>
      <c r="O1300" s="137" t="str">
        <f t="shared" ca="1" si="1660"/>
        <v>Copos descartáveis (2500 unidades)</v>
      </c>
      <c r="P1300" s="138" t="str">
        <f t="shared" ca="1" si="1652"/>
        <v>Caixa</v>
      </c>
      <c r="Q1300" s="134">
        <v>1</v>
      </c>
      <c r="R1300" s="124">
        <f t="shared" ca="1" si="1653"/>
        <v>77.400000000000006</v>
      </c>
      <c r="S1300" s="136" t="s">
        <v>62</v>
      </c>
      <c r="T1300" s="123">
        <f t="shared" ca="1" si="1654"/>
        <v>96.75</v>
      </c>
      <c r="U1300" s="126">
        <f t="shared" ca="1" si="1655"/>
        <v>96.75</v>
      </c>
      <c r="V1300" s="1"/>
      <c r="W1300" s="39" t="str">
        <f ca="1">IF(OR($A1300=0,$A1300="S",$A1300&gt;CFF!$A$9),"",MAX(W$11:OFFSET(W1300,-1,0))+1)</f>
        <v/>
      </c>
      <c r="X1300" s="4" t="str">
        <f t="shared" si="1656"/>
        <v>Rec. Materiais-019</v>
      </c>
      <c r="Y1300" s="39">
        <f t="shared" ca="1" si="1665"/>
        <v>28</v>
      </c>
      <c r="Z1300" s="1"/>
      <c r="AA1300" s="133">
        <f>IF($J1300=$G$2,ROUND(IF(ISNUMBER(S1300),S1300,IF(LEFT(S1300,2)="DI",HLOOKUP(S1300,DADOS!$T$29:$X$30,2,FALSE),0)),4),"")</f>
        <v>0.25</v>
      </c>
      <c r="AB1300" s="2"/>
    </row>
    <row r="1301" spans="1:28">
      <c r="A1301" t="str">
        <f t="shared" si="1662"/>
        <v>S</v>
      </c>
      <c r="B1301">
        <f t="shared" si="1663"/>
        <v>0</v>
      </c>
      <c r="C1301">
        <f t="shared" ca="1" si="1646"/>
        <v>14</v>
      </c>
      <c r="D1301">
        <f t="shared" ca="1" si="1647"/>
        <v>6</v>
      </c>
      <c r="E1301">
        <f t="shared" ca="1" si="1648"/>
        <v>0</v>
      </c>
      <c r="F1301">
        <f t="shared" ca="1" si="1649"/>
        <v>0</v>
      </c>
      <c r="G1301">
        <f t="shared" ca="1" si="1650"/>
        <v>24</v>
      </c>
      <c r="H1301">
        <f ca="1">IF(OR($A1301="S",$A1301=0),0,MATCH(0,OFFSET($B1301,1,$A1301,ROW($A$1504)-ROW($A1301)),0))</f>
        <v>0</v>
      </c>
      <c r="I1301">
        <f ca="1">IF(OR($A1301="S",$A1301=0),0,MATCH(OFFSET($B1301,0,$A1301)+1,OFFSET($B1301,1,$A1301,ROW($A$1504)-ROW($A1301)),0))</f>
        <v>0</v>
      </c>
      <c r="J1301" s="132" t="s">
        <v>29</v>
      </c>
      <c r="K1301" s="121" t="str">
        <f t="shared" ca="1" si="1664"/>
        <v>14.6.24.</v>
      </c>
      <c r="L1301" s="137" t="str">
        <f t="shared" ca="1" si="1651"/>
        <v>Cotação</v>
      </c>
      <c r="M1301" s="122" t="s">
        <v>79</v>
      </c>
      <c r="N1301" s="139" t="s">
        <v>149</v>
      </c>
      <c r="O1301" s="137" t="str">
        <f ca="1">IF(NOT(ISERROR($Y1301)),IF($Y1301&lt;&gt;FALSE,INDEX(Banco,$Y1301,5),""),"")</f>
        <v>Papel A4</v>
      </c>
      <c r="P1301" s="138" t="str">
        <f t="shared" ca="1" si="1652"/>
        <v>Resma</v>
      </c>
      <c r="Q1301" s="134">
        <v>1</v>
      </c>
      <c r="R1301" s="124">
        <f t="shared" ca="1" si="1653"/>
        <v>28</v>
      </c>
      <c r="S1301" s="136" t="s">
        <v>62</v>
      </c>
      <c r="T1301" s="123">
        <f t="shared" ca="1" si="1654"/>
        <v>35</v>
      </c>
      <c r="U1301" s="126">
        <f t="shared" ca="1" si="1655"/>
        <v>35</v>
      </c>
      <c r="V1301" s="1"/>
      <c r="W1301" s="39" t="str">
        <f ca="1">IF(OR($A1301=0,$A1301="S",$A1301&gt;CFF!$A$9),"",MAX(W$11:OFFSET(W1301,-1,0))+1)</f>
        <v/>
      </c>
      <c r="X1301" s="4" t="str">
        <f t="shared" si="1656"/>
        <v>Rec. Materiais-001</v>
      </c>
      <c r="Y1301" s="39">
        <f t="shared" ca="1" si="1665"/>
        <v>10</v>
      </c>
      <c r="Z1301" s="1"/>
      <c r="AA1301" s="133">
        <f>IF($J1301=$G$2,ROUND(IF(ISNUMBER(S1301),S1301,IF(LEFT(S1301,2)="DI",HLOOKUP(S1301,DADOS!$T$29:$X$30,2,FALSE),0)),4),"")</f>
        <v>0.25</v>
      </c>
      <c r="AB1301" s="2"/>
    </row>
    <row r="1302" spans="1:28">
      <c r="A1302" t="str">
        <f t="shared" si="1662"/>
        <v>S</v>
      </c>
      <c r="B1302">
        <f t="shared" si="1663"/>
        <v>0</v>
      </c>
      <c r="C1302">
        <f t="shared" ca="1" si="1646"/>
        <v>14</v>
      </c>
      <c r="D1302">
        <f t="shared" ca="1" si="1647"/>
        <v>6</v>
      </c>
      <c r="E1302">
        <f t="shared" ca="1" si="1648"/>
        <v>0</v>
      </c>
      <c r="F1302">
        <f t="shared" ca="1" si="1649"/>
        <v>0</v>
      </c>
      <c r="G1302">
        <f t="shared" ca="1" si="1650"/>
        <v>25</v>
      </c>
      <c r="H1302">
        <f ca="1">IF(OR($A1302="S",$A1302=0),0,MATCH(0,OFFSET($B1302,1,$A1302,ROW($A$1504)-ROW($A1302)),0))</f>
        <v>0</v>
      </c>
      <c r="I1302">
        <f ca="1">IF(OR($A1302="S",$A1302=0),0,MATCH(OFFSET($B1302,0,$A1302)+1,OFFSET($B1302,1,$A1302,ROW($A$1504)-ROW($A1302)),0))</f>
        <v>0</v>
      </c>
      <c r="J1302" s="132" t="s">
        <v>29</v>
      </c>
      <c r="K1302" s="121" t="str">
        <f t="shared" ca="1" si="1664"/>
        <v>14.6.25.</v>
      </c>
      <c r="L1302" s="137" t="str">
        <f t="shared" ca="1" si="1651"/>
        <v>Cotação</v>
      </c>
      <c r="M1302" s="122" t="s">
        <v>79</v>
      </c>
      <c r="N1302" s="139" t="s">
        <v>152</v>
      </c>
      <c r="O1302" s="137" t="str">
        <f ca="1">IF(NOT(ISERROR($Y1302)),IF($Y1302&lt;&gt;FALSE,INDEX(Banco,$Y1302,5),""),"")</f>
        <v>Toner para impressora</v>
      </c>
      <c r="P1302" s="138" t="str">
        <f t="shared" ca="1" si="1652"/>
        <v>Unidade</v>
      </c>
      <c r="Q1302" s="134">
        <v>4</v>
      </c>
      <c r="R1302" s="124">
        <f t="shared" ca="1" si="1653"/>
        <v>180</v>
      </c>
      <c r="S1302" s="136" t="s">
        <v>62</v>
      </c>
      <c r="T1302" s="123">
        <f t="shared" ca="1" si="1654"/>
        <v>225</v>
      </c>
      <c r="U1302" s="126">
        <f t="shared" ca="1" si="1655"/>
        <v>900</v>
      </c>
      <c r="V1302" s="1"/>
      <c r="W1302" s="39" t="str">
        <f ca="1">IF(OR($A1302=0,$A1302="S",$A1302&gt;CFF!$A$9),"",MAX(W$11:OFFSET(W1302,-1,0))+1)</f>
        <v/>
      </c>
      <c r="X1302" s="4" t="str">
        <f t="shared" si="1656"/>
        <v>Rec. Materiais-002</v>
      </c>
      <c r="Y1302" s="39">
        <f t="shared" ca="1" si="1665"/>
        <v>11</v>
      </c>
      <c r="Z1302" s="1"/>
      <c r="AA1302" s="133">
        <f>IF($J1302=$G$2,ROUND(IF(ISNUMBER(S1302),S1302,IF(LEFT(S1302,2)="DI",HLOOKUP(S1302,DADOS!$T$29:$X$30,2,FALSE),0)),4),"")</f>
        <v>0.25</v>
      </c>
      <c r="AB1302" s="2"/>
    </row>
    <row r="1303" spans="1:28">
      <c r="A1303" t="str">
        <f t="shared" si="1662"/>
        <v>S</v>
      </c>
      <c r="B1303">
        <f t="shared" si="1663"/>
        <v>0</v>
      </c>
      <c r="C1303">
        <f t="shared" ca="1" si="1646"/>
        <v>14</v>
      </c>
      <c r="D1303">
        <f t="shared" ca="1" si="1647"/>
        <v>6</v>
      </c>
      <c r="E1303">
        <f t="shared" ca="1" si="1648"/>
        <v>0</v>
      </c>
      <c r="F1303">
        <f t="shared" ca="1" si="1649"/>
        <v>0</v>
      </c>
      <c r="G1303">
        <f t="shared" ca="1" si="1650"/>
        <v>26</v>
      </c>
      <c r="H1303">
        <f ca="1">IF(OR($A1303="S",$A1303=0),0,MATCH(0,OFFSET($B1303,1,$A1303,ROW($A$1504)-ROW($A1303)),0))</f>
        <v>0</v>
      </c>
      <c r="I1303">
        <f ca="1">IF(OR($A1303="S",$A1303=0),0,MATCH(OFFSET($B1303,0,$A1303)+1,OFFSET($B1303,1,$A1303,ROW($A$1504)-ROW($A1303)),0))</f>
        <v>0</v>
      </c>
      <c r="J1303" s="132" t="s">
        <v>29</v>
      </c>
      <c r="K1303" s="121" t="str">
        <f t="shared" ca="1" si="1664"/>
        <v>14.6.26.</v>
      </c>
      <c r="L1303" s="137" t="str">
        <f t="shared" ca="1" si="1651"/>
        <v>Cotação</v>
      </c>
      <c r="M1303" s="122" t="s">
        <v>80</v>
      </c>
      <c r="N1303" s="139" t="s">
        <v>235</v>
      </c>
      <c r="O1303" s="137" t="str">
        <f t="shared" ca="1" si="1660"/>
        <v>Informativo sobre Educação Financeira/Orçamento Familiar</v>
      </c>
      <c r="P1303" s="138" t="str">
        <f t="shared" ca="1" si="1652"/>
        <v>Unidade</v>
      </c>
      <c r="Q1303" s="134">
        <v>656</v>
      </c>
      <c r="R1303" s="124">
        <f t="shared" ca="1" si="1653"/>
        <v>6</v>
      </c>
      <c r="S1303" s="136" t="s">
        <v>62</v>
      </c>
      <c r="T1303" s="123">
        <f t="shared" ca="1" si="1654"/>
        <v>7.5</v>
      </c>
      <c r="U1303" s="126">
        <f t="shared" ca="1" si="1655"/>
        <v>4920</v>
      </c>
      <c r="V1303" s="1"/>
      <c r="W1303" s="39" t="str">
        <f ca="1">IF(OR($A1303=0,$A1303="S",$A1303&gt;CFF!$A$9),"",MAX(W$11:OFFSET(W1303,-1,0))+1)</f>
        <v/>
      </c>
      <c r="X1303" s="4" t="str">
        <f t="shared" si="1656"/>
        <v>Serv. Terc.-079</v>
      </c>
      <c r="Y1303" s="39">
        <f t="shared" ca="1" si="1665"/>
        <v>159</v>
      </c>
      <c r="Z1303" s="1"/>
      <c r="AA1303" s="133">
        <f>IF($J1303=$G$2,ROUND(IF(ISNUMBER(S1303),S1303,IF(LEFT(S1303,2)="DI",HLOOKUP(S1303,DADOS!$T$29:$X$30,2,FALSE),0)),4),"")</f>
        <v>0.25</v>
      </c>
      <c r="AB1303" s="2"/>
    </row>
    <row r="1304" spans="1:28">
      <c r="A1304">
        <f>CHOOSE(1+LOG(1+2*(J1304=$C$2)+4*(J1304=$D$2)+8*(J1304=$E$2)+16*(J1304=$F$2)+32*(J1304=$G$2),2),0,1,2,3,4,"S")</f>
        <v>2</v>
      </c>
      <c r="B1304">
        <f ca="1">IF(OR(A1304="S",A1304=0),0,IF(ISERROR(I1304),H1304,SMALL(H1304:I1304,1)))</f>
        <v>20</v>
      </c>
      <c r="C1304">
        <f ca="1">IF($A1304=1,OFFSET(C1304,-1,0)+1,OFFSET(C1304,-1,0))</f>
        <v>14</v>
      </c>
      <c r="D1304">
        <f ca="1">IF($A1304=1,0,IF($A1304=2,OFFSET(D1304,-1,0)+1,OFFSET(D1304,-1,0)))</f>
        <v>7</v>
      </c>
      <c r="E1304">
        <f ca="1">IF(AND($A1304&lt;=2,$A1304&lt;&gt;0),0,IF($A1304=3,OFFSET(E1304,-1,0)+1,OFFSET(E1304,-1,0)))</f>
        <v>0</v>
      </c>
      <c r="F1304">
        <f ca="1">IF(AND($A1304&lt;=3,$A1304&lt;&gt;0),0,IF($A1304=4,OFFSET(F1304,-1,0)+1,OFFSET(F1304,-1,0)))</f>
        <v>0</v>
      </c>
      <c r="G1304">
        <f ca="1">IF(AND($A1304&lt;=4,$A1304&lt;&gt;0),0,IF($A1304="S",OFFSET(G1304,-1,0)+1,OFFSET(G1304,-1,0)))</f>
        <v>0</v>
      </c>
      <c r="H1304">
        <f ca="1">IF(OR($A1304="S",$A1304=0),0,MATCH(0,OFFSET($B1304,1,$A1304,ROW($A$1504)-ROW($A1304)),0))</f>
        <v>40</v>
      </c>
      <c r="I1304">
        <f ca="1">IF(OR($A1304="S",$A1304=0),0,MATCH(OFFSET($B1304,0,$A1304)+1,OFFSET($B1304,1,$A1304,ROW($A$1504)-ROW($A1304)),0))</f>
        <v>20</v>
      </c>
      <c r="J1304" s="132" t="s">
        <v>68</v>
      </c>
      <c r="K1304" s="121" t="str">
        <f ca="1">IF($A1304=0,"-",CONCATENATE(C1304&amp;".",IF(AND($A$5&gt;=2,$A1304&gt;=2),D1304&amp;".",""),IF(AND($A$5&gt;=3,$A1304&gt;=3),E1304&amp;".",""),IF(AND($A$5&gt;=4,$A1304&gt;=4),F1304&amp;".",""),IF($A1304="S",G1304&amp;".","")))</f>
        <v>14.7.</v>
      </c>
      <c r="L1304" s="137" t="str">
        <f ca="1">IF(NOT(ISERROR($Y1304)),IF($Y1304&lt;&gt;FALSE,INDEX(Banco,$Y1304,4),""),"")</f>
        <v/>
      </c>
      <c r="M1304" s="122"/>
      <c r="N1304" s="139"/>
      <c r="O1304" s="137" t="s">
        <v>442</v>
      </c>
      <c r="P1304" s="138" t="str">
        <f ca="1">IF(NOT(ISERROR($Y1304)),IF($Y1304&lt;&gt;FALSE,INDEX(Banco,$Y1304,6),""),"")</f>
        <v/>
      </c>
      <c r="Q1304" s="134"/>
      <c r="R1304" s="124">
        <f ca="1">IF(NOT(ISERROR($Y1304)),IF($Y1304&lt;&gt;FALSE,INDEX(Banco,$Y1304,7),0),0)</f>
        <v>0</v>
      </c>
      <c r="S1304" s="136" t="s">
        <v>62</v>
      </c>
      <c r="T1304" s="123">
        <f>IF($J1304=$G$2,ROUND(ROUND($R1304,2)*IF($R$9="Preço Unitário (R$)",1,1+$AA1304),2),0)</f>
        <v>0</v>
      </c>
      <c r="U1304" s="126">
        <f ca="1">IF($A1304="S",VTOTAL1,IF($A1304=0,0,ROUND(SomaAgrup,2)))</f>
        <v>9618.57</v>
      </c>
      <c r="V1304" s="1"/>
      <c r="W1304" s="39">
        <f ca="1">IF(OR($A1304=0,$A1304="S",$A1304&gt;CFF!$A$9),"",MAX(W$11:OFFSET(W1304,-1,0))+1)</f>
        <v>115</v>
      </c>
      <c r="X1304" s="4" t="b">
        <f>IF(AND($J1304=$G$2,$N1304&lt;&gt;"",$M1304&lt;&gt;""),CONCATENATE($M1304,"-",$N1304))</f>
        <v>0</v>
      </c>
      <c r="Y1304" s="39" t="b">
        <f ca="1">IF(X1304&lt;&gt;FALSE,MATCH(X1304,OFFSET(Banco,0,0,,1),0))</f>
        <v>0</v>
      </c>
      <c r="Z1304" s="1"/>
      <c r="AA1304" s="133" t="str">
        <f>IF($J1304=$G$2,ROUND(IF(ISNUMBER(S1304),S1304,IF(LEFT(S1304,2)="DI",HLOOKUP(S1304,DADOS!$T$29:$X$30,2,FALSE),0)),4),"")</f>
        <v/>
      </c>
      <c r="AB1304" s="2"/>
    </row>
    <row r="1305" spans="1:28">
      <c r="A1305" t="str">
        <f t="shared" si="1662"/>
        <v>S</v>
      </c>
      <c r="B1305">
        <f t="shared" si="1663"/>
        <v>0</v>
      </c>
      <c r="C1305">
        <f t="shared" ca="1" si="1646"/>
        <v>14</v>
      </c>
      <c r="D1305">
        <f t="shared" ca="1" si="1647"/>
        <v>7</v>
      </c>
      <c r="E1305">
        <f t="shared" ca="1" si="1648"/>
        <v>0</v>
      </c>
      <c r="F1305">
        <f t="shared" ca="1" si="1649"/>
        <v>0</v>
      </c>
      <c r="G1305">
        <f t="shared" ca="1" si="1650"/>
        <v>1</v>
      </c>
      <c r="H1305">
        <f ca="1">IF(OR($A1305="S",$A1305=0),0,MATCH(0,OFFSET($B1305,1,$A1305,ROW($A$1504)-ROW($A1305)),0))</f>
        <v>0</v>
      </c>
      <c r="I1305">
        <f ca="1">IF(OR($A1305="S",$A1305=0),0,MATCH(OFFSET($B1305,0,$A1305)+1,OFFSET($B1305,1,$A1305,ROW($A$1504)-ROW($A1305)),0))</f>
        <v>0</v>
      </c>
      <c r="J1305" s="132" t="s">
        <v>29</v>
      </c>
      <c r="K1305" s="121" t="str">
        <f t="shared" ca="1" si="1664"/>
        <v>14.7.1.</v>
      </c>
      <c r="L1305" s="137" t="str">
        <f t="shared" ca="1" si="1651"/>
        <v>CRESS</v>
      </c>
      <c r="M1305" s="122" t="s">
        <v>78</v>
      </c>
      <c r="N1305" s="139" t="s">
        <v>149</v>
      </c>
      <c r="O1305" s="137" t="str">
        <f ca="1">IF(NOT(ISERROR($Y1305)),IF($Y1305&lt;&gt;FALSE,INDEX(Banco,$Y1305,5),""),"")</f>
        <v>Responsável Técnica</v>
      </c>
      <c r="P1305" s="138" t="str">
        <f t="shared" ca="1" si="1652"/>
        <v>Horas</v>
      </c>
      <c r="Q1305" s="134">
        <v>6</v>
      </c>
      <c r="R1305" s="124">
        <f t="shared" ca="1" si="1653"/>
        <v>150.28</v>
      </c>
      <c r="S1305" s="136" t="s">
        <v>62</v>
      </c>
      <c r="T1305" s="123">
        <f t="shared" ca="1" si="1654"/>
        <v>187.85</v>
      </c>
      <c r="U1305" s="126">
        <f t="shared" ca="1" si="1655"/>
        <v>1127.0999999999999</v>
      </c>
      <c r="V1305" s="1"/>
      <c r="W1305" s="39" t="str">
        <f ca="1">IF(OR($A1305=0,$A1305="S",$A1305&gt;CFF!$A$9),"",MAX(W$11:OFFSET(W1305,-1,0))+1)</f>
        <v/>
      </c>
      <c r="X1305" s="4" t="str">
        <f t="shared" si="1656"/>
        <v>Rec. Humanos-001</v>
      </c>
      <c r="Y1305" s="39">
        <f t="shared" ca="1" si="1665"/>
        <v>3</v>
      </c>
      <c r="Z1305" s="1"/>
      <c r="AA1305" s="133">
        <f>IF($J1305=$G$2,ROUND(IF(ISNUMBER(S1305),S1305,IF(LEFT(S1305,2)="DI",HLOOKUP(S1305,DADOS!$T$29:$X$30,2,FALSE),0)),4),"")</f>
        <v>0.25</v>
      </c>
      <c r="AB1305" s="2"/>
    </row>
    <row r="1306" spans="1:28">
      <c r="A1306" t="str">
        <f t="shared" ref="A1306:A1313" si="1666">CHOOSE(1+LOG(1+2*(J1306=$C$2)+4*(J1306=$D$2)+8*(J1306=$E$2)+16*(J1306=$F$2)+32*(J1306=$G$2),2),0,1,2,3,4,"S")</f>
        <v>S</v>
      </c>
      <c r="B1306">
        <f t="shared" ref="B1306:B1313" si="1667">IF(OR(A1306="S",A1306=0),0,IF(ISERROR(I1306),H1306,SMALL(H1306:I1306,1)))</f>
        <v>0</v>
      </c>
      <c r="C1306">
        <f t="shared" ref="C1306:C1312" ca="1" si="1668">IF($A1306=1,OFFSET(C1306,-1,0)+1,OFFSET(C1306,-1,0))</f>
        <v>14</v>
      </c>
      <c r="D1306">
        <f t="shared" ref="D1306:D1312" ca="1" si="1669">IF($A1306=1,0,IF($A1306=2,OFFSET(D1306,-1,0)+1,OFFSET(D1306,-1,0)))</f>
        <v>7</v>
      </c>
      <c r="E1306">
        <f t="shared" ref="E1306:E1312" ca="1" si="1670">IF(AND($A1306&lt;=2,$A1306&lt;&gt;0),0,IF($A1306=3,OFFSET(E1306,-1,0)+1,OFFSET(E1306,-1,0)))</f>
        <v>0</v>
      </c>
      <c r="F1306">
        <f t="shared" ref="F1306:F1312" ca="1" si="1671">IF(AND($A1306&lt;=3,$A1306&lt;&gt;0),0,IF($A1306=4,OFFSET(F1306,-1,0)+1,OFFSET(F1306,-1,0)))</f>
        <v>0</v>
      </c>
      <c r="G1306">
        <f t="shared" ref="G1306:G1312" ca="1" si="1672">IF(AND($A1306&lt;=4,$A1306&lt;&gt;0),0,IF($A1306="S",OFFSET(G1306,-1,0)+1,OFFSET(G1306,-1,0)))</f>
        <v>2</v>
      </c>
      <c r="H1306">
        <f ca="1">IF(OR($A1306="S",$A1306=0),0,MATCH(0,OFFSET($B1306,1,$A1306,ROW($A$1504)-ROW($A1306)),0))</f>
        <v>0</v>
      </c>
      <c r="I1306">
        <f ca="1">IF(OR($A1306="S",$A1306=0),0,MATCH(OFFSET($B1306,0,$A1306)+1,OFFSET($B1306,1,$A1306,ROW($A$1504)-ROW($A1306)),0))</f>
        <v>0</v>
      </c>
      <c r="J1306" s="132" t="s">
        <v>29</v>
      </c>
      <c r="K1306" s="121" t="str">
        <f t="shared" ref="K1306:K1313" ca="1" si="1673">IF($A1306=0,"-",CONCATENATE(C1306&amp;".",IF(AND($A$5&gt;=2,$A1306&gt;=2),D1306&amp;".",""),IF(AND($A$5&gt;=3,$A1306&gt;=3),E1306&amp;".",""),IF(AND($A$5&gt;=4,$A1306&gt;=4),F1306&amp;".",""),IF($A1306="S",G1306&amp;".","")))</f>
        <v>14.7.2.</v>
      </c>
      <c r="L1306" s="137" t="str">
        <f t="shared" ref="L1306:L1312" ca="1" si="1674">IF(NOT(ISERROR($Y1306)),IF($Y1306&lt;&gt;FALSE,INDEX(Banco,$Y1306,4),""),"")</f>
        <v>CRESS</v>
      </c>
      <c r="M1306" s="122" t="s">
        <v>78</v>
      </c>
      <c r="N1306" s="139" t="s">
        <v>152</v>
      </c>
      <c r="O1306" s="137" t="str">
        <f t="shared" ref="O1306:O1323" ca="1" si="1675">IF(NOT(ISERROR($Y1306)),IF($Y1306&lt;&gt;FALSE,INDEX(Banco,$Y1306,5),""),"")</f>
        <v>Assistente Social</v>
      </c>
      <c r="P1306" s="138" t="str">
        <f t="shared" ref="P1306:P1312" ca="1" si="1676">IF(NOT(ISERROR($Y1306)),IF($Y1306&lt;&gt;FALSE,INDEX(Banco,$Y1306,6),""),"")</f>
        <v>Horas</v>
      </c>
      <c r="Q1306" s="134">
        <v>4</v>
      </c>
      <c r="R1306" s="124">
        <f t="shared" ref="R1306:R1312" ca="1" si="1677">IF(NOT(ISERROR($Y1306)),IF($Y1306&lt;&gt;FALSE,INDEX(Banco,$Y1306,7),0),0)</f>
        <v>133.81</v>
      </c>
      <c r="S1306" s="136" t="s">
        <v>62</v>
      </c>
      <c r="T1306" s="123">
        <f t="shared" ref="T1306:T1312" ca="1" si="1678">IF($J1306=$G$2,ROUND(ROUND($R1306,2)*IF($R$9="Preço Unitário (R$)",1,1+$AA1306),2),0)</f>
        <v>167.26</v>
      </c>
      <c r="U1306" s="126">
        <f t="shared" ref="U1306:U1312" ca="1" si="1679">IF($A1306="S",VTOTAL1,IF($A1306=0,0,ROUND(SomaAgrup,2)))</f>
        <v>669.04</v>
      </c>
      <c r="V1306" s="1"/>
      <c r="W1306" s="39" t="str">
        <f ca="1">IF(OR($A1306=0,$A1306="S",$A1306&gt;CFF!$A$9),"",MAX(W$11:OFFSET(W1306,-1,0))+1)</f>
        <v/>
      </c>
      <c r="X1306" s="4" t="str">
        <f t="shared" ref="X1306:X1312" si="1680">IF(AND($J1306=$G$2,$N1306&lt;&gt;"",$M1306&lt;&gt;""),CONCATENATE($M1306,"-",$N1306))</f>
        <v>Rec. Humanos-002</v>
      </c>
      <c r="Y1306" s="39">
        <f t="shared" ref="Y1306:Y1313" ca="1" si="1681">IF(X1306&lt;&gt;FALSE,MATCH(X1306,OFFSET(Banco,0,0,,1),0))</f>
        <v>4</v>
      </c>
      <c r="Z1306" s="1"/>
      <c r="AA1306" s="133">
        <f>IF($J1306=$G$2,ROUND(IF(ISNUMBER(S1306),S1306,IF(LEFT(S1306,2)="DI",HLOOKUP(S1306,DADOS!$T$29:$X$30,2,FALSE),0)),4),"")</f>
        <v>0.25</v>
      </c>
      <c r="AB1306" s="2"/>
    </row>
    <row r="1307" spans="1:28">
      <c r="A1307" t="str">
        <f t="shared" si="1666"/>
        <v>S</v>
      </c>
      <c r="B1307">
        <f t="shared" si="1667"/>
        <v>0</v>
      </c>
      <c r="C1307">
        <f t="shared" ca="1" si="1668"/>
        <v>14</v>
      </c>
      <c r="D1307">
        <f t="shared" ca="1" si="1669"/>
        <v>7</v>
      </c>
      <c r="E1307">
        <f t="shared" ca="1" si="1670"/>
        <v>0</v>
      </c>
      <c r="F1307">
        <f t="shared" ca="1" si="1671"/>
        <v>0</v>
      </c>
      <c r="G1307">
        <f t="shared" ca="1" si="1672"/>
        <v>3</v>
      </c>
      <c r="H1307">
        <f ca="1">IF(OR($A1307="S",$A1307=0),0,MATCH(0,OFFSET($B1307,1,$A1307,ROW($A$1504)-ROW($A1307)),0))</f>
        <v>0</v>
      </c>
      <c r="I1307">
        <f ca="1">IF(OR($A1307="S",$A1307=0),0,MATCH(OFFSET($B1307,0,$A1307)+1,OFFSET($B1307,1,$A1307,ROW($A$1504)-ROW($A1307)),0))</f>
        <v>0</v>
      </c>
      <c r="J1307" s="132" t="s">
        <v>29</v>
      </c>
      <c r="K1307" s="121" t="str">
        <f t="shared" ca="1" si="1673"/>
        <v>14.7.3.</v>
      </c>
      <c r="L1307" s="137" t="str">
        <f t="shared" ca="1" si="1674"/>
        <v>Cotação</v>
      </c>
      <c r="M1307" s="122" t="s">
        <v>78</v>
      </c>
      <c r="N1307" s="139" t="s">
        <v>151</v>
      </c>
      <c r="O1307" s="137" t="str">
        <f t="shared" ca="1" si="1675"/>
        <v xml:space="preserve">Administrador (Técnico de Apoio) </v>
      </c>
      <c r="P1307" s="138" t="str">
        <f t="shared" ca="1" si="1676"/>
        <v>Horas</v>
      </c>
      <c r="Q1307" s="134">
        <v>4</v>
      </c>
      <c r="R1307" s="124">
        <f t="shared" ca="1" si="1677"/>
        <v>103.65</v>
      </c>
      <c r="S1307" s="136" t="s">
        <v>62</v>
      </c>
      <c r="T1307" s="123">
        <f t="shared" ca="1" si="1678"/>
        <v>129.56</v>
      </c>
      <c r="U1307" s="126">
        <f t="shared" ca="1" si="1679"/>
        <v>518.24</v>
      </c>
      <c r="V1307" s="1"/>
      <c r="W1307" s="39" t="str">
        <f ca="1">IF(OR($A1307=0,$A1307="S",$A1307&gt;CFF!$A$9),"",MAX(W$11:OFFSET(W1307,-1,0))+1)</f>
        <v/>
      </c>
      <c r="X1307" s="4" t="str">
        <f t="shared" si="1680"/>
        <v>Rec. Humanos-003</v>
      </c>
      <c r="Y1307" s="39">
        <f t="shared" ca="1" si="1681"/>
        <v>5</v>
      </c>
      <c r="Z1307" s="1"/>
      <c r="AA1307" s="133">
        <f>IF($J1307=$G$2,ROUND(IF(ISNUMBER(S1307),S1307,IF(LEFT(S1307,2)="DI",HLOOKUP(S1307,DADOS!$T$29:$X$30,2,FALSE),0)),4),"")</f>
        <v>0.25</v>
      </c>
      <c r="AB1307" s="2"/>
    </row>
    <row r="1308" spans="1:28">
      <c r="A1308" t="str">
        <f t="shared" si="1666"/>
        <v>S</v>
      </c>
      <c r="B1308">
        <f t="shared" si="1667"/>
        <v>0</v>
      </c>
      <c r="C1308">
        <f t="shared" ca="1" si="1668"/>
        <v>14</v>
      </c>
      <c r="D1308">
        <f t="shared" ca="1" si="1669"/>
        <v>7</v>
      </c>
      <c r="E1308">
        <f t="shared" ca="1" si="1670"/>
        <v>0</v>
      </c>
      <c r="F1308">
        <f t="shared" ca="1" si="1671"/>
        <v>0</v>
      </c>
      <c r="G1308">
        <f t="shared" ca="1" si="1672"/>
        <v>4</v>
      </c>
      <c r="H1308">
        <f ca="1">IF(OR($A1308="S",$A1308=0),0,MATCH(0,OFFSET($B1308,1,$A1308,ROW($A$1504)-ROW($A1308)),0))</f>
        <v>0</v>
      </c>
      <c r="I1308">
        <f ca="1">IF(OR($A1308="S",$A1308=0),0,MATCH(OFFSET($B1308,0,$A1308)+1,OFFSET($B1308,1,$A1308,ROW($A$1504)-ROW($A1308)),0))</f>
        <v>0</v>
      </c>
      <c r="J1308" s="132" t="s">
        <v>29</v>
      </c>
      <c r="K1308" s="121" t="str">
        <f t="shared" ca="1" si="1673"/>
        <v>14.7.4.</v>
      </c>
      <c r="L1308" s="137" t="str">
        <f t="shared" ca="1" si="1674"/>
        <v>SINE</v>
      </c>
      <c r="M1308" s="122" t="s">
        <v>78</v>
      </c>
      <c r="N1308" s="139" t="s">
        <v>153</v>
      </c>
      <c r="O1308" s="137" t="str">
        <f t="shared" ca="1" si="1675"/>
        <v>Estagiários</v>
      </c>
      <c r="P1308" s="138" t="str">
        <f t="shared" ca="1" si="1676"/>
        <v>Horas</v>
      </c>
      <c r="Q1308" s="134">
        <v>10</v>
      </c>
      <c r="R1308" s="124">
        <f t="shared" ca="1" si="1677"/>
        <v>9.7899999999999991</v>
      </c>
      <c r="S1308" s="136" t="s">
        <v>62</v>
      </c>
      <c r="T1308" s="123">
        <f t="shared" ca="1" si="1678"/>
        <v>12.24</v>
      </c>
      <c r="U1308" s="126">
        <f t="shared" ca="1" si="1679"/>
        <v>122.4</v>
      </c>
      <c r="V1308" s="1"/>
      <c r="W1308" s="39" t="str">
        <f ca="1">IF(OR($A1308=0,$A1308="S",$A1308&gt;CFF!$A$9),"",MAX(W$11:OFFSET(W1308,-1,0))+1)</f>
        <v/>
      </c>
      <c r="X1308" s="4" t="str">
        <f t="shared" si="1680"/>
        <v>Rec. Humanos-004</v>
      </c>
      <c r="Y1308" s="39">
        <f t="shared" ca="1" si="1681"/>
        <v>6</v>
      </c>
      <c r="Z1308" s="1"/>
      <c r="AA1308" s="133">
        <f>IF($J1308=$G$2,ROUND(IF(ISNUMBER(S1308),S1308,IF(LEFT(S1308,2)="DI",HLOOKUP(S1308,DADOS!$T$29:$X$30,2,FALSE),0)),4),"")</f>
        <v>0.25</v>
      </c>
      <c r="AB1308" s="2"/>
    </row>
    <row r="1309" spans="1:28">
      <c r="A1309" t="str">
        <f t="shared" si="1666"/>
        <v>S</v>
      </c>
      <c r="B1309">
        <f t="shared" si="1667"/>
        <v>0</v>
      </c>
      <c r="C1309">
        <f t="shared" ca="1" si="1668"/>
        <v>14</v>
      </c>
      <c r="D1309">
        <f t="shared" ca="1" si="1669"/>
        <v>7</v>
      </c>
      <c r="E1309">
        <f t="shared" ca="1" si="1670"/>
        <v>0</v>
      </c>
      <c r="F1309">
        <f t="shared" ca="1" si="1671"/>
        <v>0</v>
      </c>
      <c r="G1309">
        <f t="shared" ca="1" si="1672"/>
        <v>5</v>
      </c>
      <c r="H1309">
        <f ca="1">IF(OR($A1309="S",$A1309=0),0,MATCH(0,OFFSET($B1309,1,$A1309,ROW($A$1504)-ROW($A1309)),0))</f>
        <v>0</v>
      </c>
      <c r="I1309">
        <f ca="1">IF(OR($A1309="S",$A1309=0),0,MATCH(OFFSET($B1309,0,$A1309)+1,OFFSET($B1309,1,$A1309,ROW($A$1504)-ROW($A1309)),0))</f>
        <v>0</v>
      </c>
      <c r="J1309" s="132" t="s">
        <v>29</v>
      </c>
      <c r="K1309" s="121" t="str">
        <f t="shared" ca="1" si="1673"/>
        <v>14.7.5.</v>
      </c>
      <c r="L1309" s="137" t="str">
        <f t="shared" ca="1" si="1674"/>
        <v>Cotação</v>
      </c>
      <c r="M1309" s="122" t="s">
        <v>80</v>
      </c>
      <c r="N1309" s="139" t="s">
        <v>149</v>
      </c>
      <c r="O1309" s="137" t="str">
        <f t="shared" ca="1" si="1675"/>
        <v>Fotocópias</v>
      </c>
      <c r="P1309" s="138" t="str">
        <f t="shared" ca="1" si="1676"/>
        <v>Unidade</v>
      </c>
      <c r="Q1309" s="134">
        <v>150</v>
      </c>
      <c r="R1309" s="124">
        <f t="shared" ca="1" si="1677"/>
        <v>0.3</v>
      </c>
      <c r="S1309" s="136" t="s">
        <v>62</v>
      </c>
      <c r="T1309" s="123">
        <f t="shared" ca="1" si="1678"/>
        <v>0.38</v>
      </c>
      <c r="U1309" s="126">
        <f t="shared" ca="1" si="1679"/>
        <v>57</v>
      </c>
      <c r="V1309" s="1"/>
      <c r="W1309" s="39" t="str">
        <f ca="1">IF(OR($A1309=0,$A1309="S",$A1309&gt;CFF!$A$9),"",MAX(W$11:OFFSET(W1309,-1,0))+1)</f>
        <v/>
      </c>
      <c r="X1309" s="4" t="str">
        <f t="shared" si="1680"/>
        <v>Serv. Terc.-001</v>
      </c>
      <c r="Y1309" s="39">
        <f t="shared" ca="1" si="1681"/>
        <v>81</v>
      </c>
      <c r="Z1309" s="1"/>
      <c r="AA1309" s="133">
        <f>IF($J1309=$G$2,ROUND(IF(ISNUMBER(S1309),S1309,IF(LEFT(S1309,2)="DI",HLOOKUP(S1309,DADOS!$T$29:$X$30,2,FALSE),0)),4),"")</f>
        <v>0.25</v>
      </c>
      <c r="AB1309" s="2"/>
    </row>
    <row r="1310" spans="1:28">
      <c r="A1310" t="str">
        <f>CHOOSE(1+LOG(1+2*(J1310=$C$2)+4*(J1310=$D$2)+8*(J1310=$E$2)+16*(J1310=$F$2)+32*(J1310=$G$2),2),0,1,2,3,4,"S")</f>
        <v>S</v>
      </c>
      <c r="B1310">
        <f>IF(OR(A1310="S",A1310=0),0,IF(ISERROR(I1310),H1310,SMALL(H1310:I1310,1)))</f>
        <v>0</v>
      </c>
      <c r="C1310">
        <f ca="1">IF($A1310=1,OFFSET(C1310,-1,0)+1,OFFSET(C1310,-1,0))</f>
        <v>14</v>
      </c>
      <c r="D1310">
        <f ca="1">IF($A1310=1,0,IF($A1310=2,OFFSET(D1310,-1,0)+1,OFFSET(D1310,-1,0)))</f>
        <v>7</v>
      </c>
      <c r="E1310">
        <f ca="1">IF(AND($A1310&lt;=2,$A1310&lt;&gt;0),0,IF($A1310=3,OFFSET(E1310,-1,0)+1,OFFSET(E1310,-1,0)))</f>
        <v>0</v>
      </c>
      <c r="F1310">
        <f ca="1">IF(AND($A1310&lt;=3,$A1310&lt;&gt;0),0,IF($A1310=4,OFFSET(F1310,-1,0)+1,OFFSET(F1310,-1,0)))</f>
        <v>0</v>
      </c>
      <c r="G1310">
        <f ca="1">IF(AND($A1310&lt;=4,$A1310&lt;&gt;0),0,IF($A1310="S",OFFSET(G1310,-1,0)+1,OFFSET(G1310,-1,0)))</f>
        <v>6</v>
      </c>
      <c r="H1310">
        <f ca="1">IF(OR($A1310="S",$A1310=0),0,MATCH(0,OFFSET($B1310,1,$A1310,ROW($A$1504)-ROW($A1310)),0))</f>
        <v>0</v>
      </c>
      <c r="I1310">
        <f ca="1">IF(OR($A1310="S",$A1310=0),0,MATCH(OFFSET($B1310,0,$A1310)+1,OFFSET($B1310,1,$A1310,ROW($A$1504)-ROW($A1310)),0))</f>
        <v>0</v>
      </c>
      <c r="J1310" s="132" t="s">
        <v>29</v>
      </c>
      <c r="K1310" s="121" t="str">
        <f ca="1">IF($A1310=0,"-",CONCATENATE(C1310&amp;".",IF(AND($A$5&gt;=2,$A1310&gt;=2),D1310&amp;".",""),IF(AND($A$5&gt;=3,$A1310&gt;=3),E1310&amp;".",""),IF(AND($A$5&gt;=4,$A1310&gt;=4),F1310&amp;".",""),IF($A1310="S",G1310&amp;".","")))</f>
        <v>14.7.6.</v>
      </c>
      <c r="L1310" s="137" t="str">
        <f ca="1">IF(NOT(ISERROR($Y1310)),IF($Y1310&lt;&gt;FALSE,INDEX(Banco,$Y1310,4),""),"")</f>
        <v>Cotação</v>
      </c>
      <c r="M1310" s="122" t="s">
        <v>80</v>
      </c>
      <c r="N1310" s="139" t="s">
        <v>256</v>
      </c>
      <c r="O1310" s="137" t="str">
        <f ca="1">IF(NOT(ISERROR($Y1310)),IF($Y1310&lt;&gt;FALSE,INDEX(Banco,$Y1310,5),""),"")</f>
        <v>Instrutor/Monitor (Educação Fisíca)</v>
      </c>
      <c r="P1310" s="138" t="str">
        <f ca="1">IF(NOT(ISERROR($Y1310)),IF($Y1310&lt;&gt;FALSE,INDEX(Banco,$Y1310,6),""),"")</f>
        <v>Horas</v>
      </c>
      <c r="Q1310" s="134">
        <v>2</v>
      </c>
      <c r="R1310" s="124">
        <f ca="1">IF(NOT(ISERROR($Y1310)),IF($Y1310&lt;&gt;FALSE,INDEX(Banco,$Y1310,7),0),0)</f>
        <v>100</v>
      </c>
      <c r="S1310" s="136" t="s">
        <v>62</v>
      </c>
      <c r="T1310" s="123">
        <f ca="1">IF($J1310=$G$2,ROUND(ROUND($R1310,2)*IF($R$9="Preço Unitário (R$)",1,1+$AA1310),2),0)</f>
        <v>125</v>
      </c>
      <c r="U1310" s="126">
        <f ca="1">IF($A1310="S",VTOTAL1,IF($A1310=0,0,ROUND(SomaAgrup,2)))</f>
        <v>250</v>
      </c>
      <c r="V1310" s="1"/>
      <c r="W1310" s="39" t="str">
        <f ca="1">IF(OR($A1310=0,$A1310="S",$A1310&gt;CFF!$A$9),"",MAX(W$11:OFFSET(W1310,-1,0))+1)</f>
        <v/>
      </c>
      <c r="X1310" s="4" t="str">
        <f>IF(AND($J1310=$G$2,$N1310&lt;&gt;"",$M1310&lt;&gt;""),CONCATENATE($M1310,"-",$N1310))</f>
        <v>Serv. Terc.-017</v>
      </c>
      <c r="Y1310" s="39">
        <f ca="1">IF(X1310&lt;&gt;FALSE,MATCH(X1310,OFFSET(Banco,0,0,,1),0))</f>
        <v>97</v>
      </c>
      <c r="Z1310" s="1"/>
      <c r="AA1310" s="133">
        <f>IF($J1310=$G$2,ROUND(IF(ISNUMBER(S1310),S1310,IF(LEFT(S1310,2)="DI",HLOOKUP(S1310,DADOS!$T$29:$X$30,2,FALSE),0)),4),"")</f>
        <v>0.25</v>
      </c>
      <c r="AB1310" s="2"/>
    </row>
    <row r="1311" spans="1:28">
      <c r="A1311" t="str">
        <f t="shared" si="1666"/>
        <v>S</v>
      </c>
      <c r="B1311">
        <f t="shared" si="1667"/>
        <v>0</v>
      </c>
      <c r="C1311">
        <f t="shared" ca="1" si="1668"/>
        <v>14</v>
      </c>
      <c r="D1311">
        <f t="shared" ca="1" si="1669"/>
        <v>7</v>
      </c>
      <c r="E1311">
        <f t="shared" ca="1" si="1670"/>
        <v>0</v>
      </c>
      <c r="F1311">
        <f t="shared" ca="1" si="1671"/>
        <v>0</v>
      </c>
      <c r="G1311">
        <f t="shared" ca="1" si="1672"/>
        <v>7</v>
      </c>
      <c r="H1311">
        <f ca="1">IF(OR($A1311="S",$A1311=0),0,MATCH(0,OFFSET($B1311,1,$A1311,ROW($A$1504)-ROW($A1311)),0))</f>
        <v>0</v>
      </c>
      <c r="I1311">
        <f ca="1">IF(OR($A1311="S",$A1311=0),0,MATCH(OFFSET($B1311,0,$A1311)+1,OFFSET($B1311,1,$A1311,ROW($A$1504)-ROW($A1311)),0))</f>
        <v>0</v>
      </c>
      <c r="J1311" s="132" t="s">
        <v>29</v>
      </c>
      <c r="K1311" s="121" t="str">
        <f t="shared" ca="1" si="1673"/>
        <v>14.7.7.</v>
      </c>
      <c r="L1311" s="137" t="str">
        <f t="shared" ca="1" si="1674"/>
        <v>Cotação</v>
      </c>
      <c r="M1311" s="122" t="s">
        <v>80</v>
      </c>
      <c r="N1311" s="139" t="s">
        <v>152</v>
      </c>
      <c r="O1311" s="137" t="str">
        <f t="shared" ca="1" si="1675"/>
        <v>Carro de som com gravação de vinheta</v>
      </c>
      <c r="P1311" s="138" t="str">
        <f t="shared" ca="1" si="1676"/>
        <v>Horas</v>
      </c>
      <c r="Q1311" s="134">
        <v>2</v>
      </c>
      <c r="R1311" s="124">
        <f t="shared" ca="1" si="1677"/>
        <v>200</v>
      </c>
      <c r="S1311" s="136" t="s">
        <v>62</v>
      </c>
      <c r="T1311" s="123">
        <f t="shared" ca="1" si="1678"/>
        <v>250</v>
      </c>
      <c r="U1311" s="126">
        <f t="shared" ca="1" si="1679"/>
        <v>500</v>
      </c>
      <c r="V1311" s="1"/>
      <c r="W1311" s="39" t="str">
        <f ca="1">IF(OR($A1311=0,$A1311="S",$A1311&gt;CFF!$A$9),"",MAX(W$11:OFFSET(W1311,-1,0))+1)</f>
        <v/>
      </c>
      <c r="X1311" s="4" t="str">
        <f t="shared" si="1680"/>
        <v>Serv. Terc.-002</v>
      </c>
      <c r="Y1311" s="39">
        <f t="shared" ca="1" si="1681"/>
        <v>82</v>
      </c>
      <c r="Z1311" s="1"/>
      <c r="AA1311" s="133">
        <f>IF($J1311=$G$2,ROUND(IF(ISNUMBER(S1311),S1311,IF(LEFT(S1311,2)="DI",HLOOKUP(S1311,DADOS!$T$29:$X$30,2,FALSE),0)),4),"")</f>
        <v>0.25</v>
      </c>
      <c r="AB1311" s="2"/>
    </row>
    <row r="1312" spans="1:28">
      <c r="A1312" t="str">
        <f t="shared" si="1666"/>
        <v>S</v>
      </c>
      <c r="B1312">
        <f t="shared" si="1667"/>
        <v>0</v>
      </c>
      <c r="C1312">
        <f t="shared" ca="1" si="1668"/>
        <v>14</v>
      </c>
      <c r="D1312">
        <f t="shared" ca="1" si="1669"/>
        <v>7</v>
      </c>
      <c r="E1312">
        <f t="shared" ca="1" si="1670"/>
        <v>0</v>
      </c>
      <c r="F1312">
        <f t="shared" ca="1" si="1671"/>
        <v>0</v>
      </c>
      <c r="G1312">
        <f t="shared" ca="1" si="1672"/>
        <v>8</v>
      </c>
      <c r="H1312">
        <f ca="1">IF(OR($A1312="S",$A1312=0),0,MATCH(0,OFFSET($B1312,1,$A1312,ROW($A$1504)-ROW($A1312)),0))</f>
        <v>0</v>
      </c>
      <c r="I1312">
        <f ca="1">IF(OR($A1312="S",$A1312=0),0,MATCH(OFFSET($B1312,0,$A1312)+1,OFFSET($B1312,1,$A1312,ROW($A$1504)-ROW($A1312)),0))</f>
        <v>0</v>
      </c>
      <c r="J1312" s="132" t="s">
        <v>29</v>
      </c>
      <c r="K1312" s="121" t="str">
        <f t="shared" ca="1" si="1673"/>
        <v>14.7.8.</v>
      </c>
      <c r="L1312" s="137" t="str">
        <f t="shared" ca="1" si="1674"/>
        <v>Cotação</v>
      </c>
      <c r="M1312" s="122" t="s">
        <v>80</v>
      </c>
      <c r="N1312" s="139" t="s">
        <v>154</v>
      </c>
      <c r="O1312" s="137" t="str">
        <f t="shared" ca="1" si="1675"/>
        <v>Locação de caixa térmica</v>
      </c>
      <c r="P1312" s="138" t="str">
        <f t="shared" ca="1" si="1676"/>
        <v>Unidade</v>
      </c>
      <c r="Q1312" s="134">
        <v>2</v>
      </c>
      <c r="R1312" s="124">
        <f t="shared" ca="1" si="1677"/>
        <v>40</v>
      </c>
      <c r="S1312" s="136" t="s">
        <v>62</v>
      </c>
      <c r="T1312" s="123">
        <f t="shared" ca="1" si="1678"/>
        <v>50</v>
      </c>
      <c r="U1312" s="126">
        <f t="shared" ca="1" si="1679"/>
        <v>100</v>
      </c>
      <c r="V1312" s="1"/>
      <c r="W1312" s="39" t="str">
        <f ca="1">IF(OR($A1312=0,$A1312="S",$A1312&gt;CFF!$A$9),"",MAX(W$11:OFFSET(W1312,-1,0))+1)</f>
        <v/>
      </c>
      <c r="X1312" s="4" t="str">
        <f t="shared" si="1680"/>
        <v>Serv. Terc.-005</v>
      </c>
      <c r="Y1312" s="39">
        <f t="shared" ca="1" si="1681"/>
        <v>85</v>
      </c>
      <c r="Z1312" s="1"/>
      <c r="AA1312" s="133">
        <f>IF($J1312=$G$2,ROUND(IF(ISNUMBER(S1312),S1312,IF(LEFT(S1312,2)="DI",HLOOKUP(S1312,DADOS!$T$29:$X$30,2,FALSE),0)),4),"")</f>
        <v>0.25</v>
      </c>
      <c r="AB1312" s="2"/>
    </row>
    <row r="1313" spans="1:28">
      <c r="A1313" t="str">
        <f t="shared" si="1666"/>
        <v>S</v>
      </c>
      <c r="B1313">
        <f t="shared" si="1667"/>
        <v>0</v>
      </c>
      <c r="C1313">
        <f t="shared" ref="C1313:C1323" ca="1" si="1682">IF($A1313=1,OFFSET(C1313,-1,0)+1,OFFSET(C1313,-1,0))</f>
        <v>14</v>
      </c>
      <c r="D1313">
        <f t="shared" ref="D1313:D1323" ca="1" si="1683">IF($A1313=1,0,IF($A1313=2,OFFSET(D1313,-1,0)+1,OFFSET(D1313,-1,0)))</f>
        <v>7</v>
      </c>
      <c r="E1313">
        <f t="shared" ref="E1313:E1323" ca="1" si="1684">IF(AND($A1313&lt;=2,$A1313&lt;&gt;0),0,IF($A1313=3,OFFSET(E1313,-1,0)+1,OFFSET(E1313,-1,0)))</f>
        <v>0</v>
      </c>
      <c r="F1313">
        <f t="shared" ref="F1313:F1323" ca="1" si="1685">IF(AND($A1313&lt;=3,$A1313&lt;&gt;0),0,IF($A1313=4,OFFSET(F1313,-1,0)+1,OFFSET(F1313,-1,0)))</f>
        <v>0</v>
      </c>
      <c r="G1313">
        <f t="shared" ref="G1313:G1323" ca="1" si="1686">IF(AND($A1313&lt;=4,$A1313&lt;&gt;0),0,IF($A1313="S",OFFSET(G1313,-1,0)+1,OFFSET(G1313,-1,0)))</f>
        <v>9</v>
      </c>
      <c r="H1313">
        <f ca="1">IF(OR($A1313="S",$A1313=0),0,MATCH(0,OFFSET($B1313,1,$A1313,ROW($A$1504)-ROW($A1313)),0))</f>
        <v>0</v>
      </c>
      <c r="I1313">
        <f ca="1">IF(OR($A1313="S",$A1313=0),0,MATCH(OFFSET($B1313,0,$A1313)+1,OFFSET($B1313,1,$A1313,ROW($A$1504)-ROW($A1313)),0))</f>
        <v>0</v>
      </c>
      <c r="J1313" s="132" t="s">
        <v>29</v>
      </c>
      <c r="K1313" s="121" t="str">
        <f t="shared" ca="1" si="1673"/>
        <v>14.7.9.</v>
      </c>
      <c r="L1313" s="137" t="str">
        <f t="shared" ref="L1313:L1323" ca="1" si="1687">IF(NOT(ISERROR($Y1313)),IF($Y1313&lt;&gt;FALSE,INDEX(Banco,$Y1313,4),""),"")</f>
        <v>Cotação</v>
      </c>
      <c r="M1313" s="122" t="s">
        <v>80</v>
      </c>
      <c r="N1313" s="139" t="s">
        <v>157</v>
      </c>
      <c r="O1313" s="137" t="str">
        <f t="shared" ca="1" si="1675"/>
        <v>Locação de pula-pula com monitor</v>
      </c>
      <c r="P1313" s="138" t="str">
        <f t="shared" ref="P1313:P1323" ca="1" si="1688">IF(NOT(ISERROR($Y1313)),IF($Y1313&lt;&gt;FALSE,INDEX(Banco,$Y1313,6),""),"")</f>
        <v>Unidade</v>
      </c>
      <c r="Q1313" s="134">
        <v>2</v>
      </c>
      <c r="R1313" s="124">
        <f t="shared" ref="R1313:R1323" ca="1" si="1689">IF(NOT(ISERROR($Y1313)),IF($Y1313&lt;&gt;FALSE,INDEX(Banco,$Y1313,7),0),0)</f>
        <v>220</v>
      </c>
      <c r="S1313" s="136" t="s">
        <v>62</v>
      </c>
      <c r="T1313" s="123">
        <f t="shared" ref="T1313:T1323" ca="1" si="1690">IF($J1313=$G$2,ROUND(ROUND($R1313,2)*IF($R$9="Preço Unitário (R$)",1,1+$AA1313),2),0)</f>
        <v>275</v>
      </c>
      <c r="U1313" s="126">
        <f t="shared" ref="U1313:U1323" ca="1" si="1691">IF($A1313="S",VTOTAL1,IF($A1313=0,0,ROUND(SomaAgrup,2)))</f>
        <v>550</v>
      </c>
      <c r="V1313" s="1"/>
      <c r="W1313" s="39" t="str">
        <f ca="1">IF(OR($A1313=0,$A1313="S",$A1313&gt;CFF!$A$9),"",MAX(W$11:OFFSET(W1313,-1,0))+1)</f>
        <v/>
      </c>
      <c r="X1313" s="4" t="str">
        <f t="shared" ref="X1313:X1323" si="1692">IF(AND($J1313=$G$2,$N1313&lt;&gt;"",$M1313&lt;&gt;""),CONCATENATE($M1313,"-",$N1313))</f>
        <v>Serv. Terc.-008</v>
      </c>
      <c r="Y1313" s="39">
        <f t="shared" ca="1" si="1681"/>
        <v>88</v>
      </c>
      <c r="Z1313" s="1"/>
      <c r="AA1313" s="133">
        <f>IF($J1313=$G$2,ROUND(IF(ISNUMBER(S1313),S1313,IF(LEFT(S1313,2)="DI",HLOOKUP(S1313,DADOS!$T$29:$X$30,2,FALSE),0)),4),"")</f>
        <v>0.25</v>
      </c>
      <c r="AB1313" s="2"/>
    </row>
    <row r="1314" spans="1:28">
      <c r="A1314" t="str">
        <f t="shared" ref="A1314:A1323" si="1693">CHOOSE(1+LOG(1+2*(J1314=$C$2)+4*(J1314=$D$2)+8*(J1314=$E$2)+16*(J1314=$F$2)+32*(J1314=$G$2),2),0,1,2,3,4,"S")</f>
        <v>S</v>
      </c>
      <c r="B1314">
        <f t="shared" ref="B1314:B1323" si="1694">IF(OR(A1314="S",A1314=0),0,IF(ISERROR(I1314),H1314,SMALL(H1314:I1314,1)))</f>
        <v>0</v>
      </c>
      <c r="C1314">
        <f t="shared" ca="1" si="1682"/>
        <v>14</v>
      </c>
      <c r="D1314">
        <f t="shared" ca="1" si="1683"/>
        <v>7</v>
      </c>
      <c r="E1314">
        <f t="shared" ca="1" si="1684"/>
        <v>0</v>
      </c>
      <c r="F1314">
        <f t="shared" ca="1" si="1685"/>
        <v>0</v>
      </c>
      <c r="G1314">
        <f t="shared" ca="1" si="1686"/>
        <v>10</v>
      </c>
      <c r="H1314">
        <f ca="1">IF(OR($A1314="S",$A1314=0),0,MATCH(0,OFFSET($B1314,1,$A1314,ROW($A$1504)-ROW($A1314)),0))</f>
        <v>0</v>
      </c>
      <c r="I1314">
        <f ca="1">IF(OR($A1314="S",$A1314=0),0,MATCH(OFFSET($B1314,0,$A1314)+1,OFFSET($B1314,1,$A1314,ROW($A$1504)-ROW($A1314)),0))</f>
        <v>0</v>
      </c>
      <c r="J1314" s="132" t="s">
        <v>29</v>
      </c>
      <c r="K1314" s="121" t="str">
        <f t="shared" ref="K1314:K1323" ca="1" si="1695">IF($A1314=0,"-",CONCATENATE(C1314&amp;".",IF(AND($A$5&gt;=2,$A1314&gt;=2),D1314&amp;".",""),IF(AND($A$5&gt;=3,$A1314&gt;=3),E1314&amp;".",""),IF(AND($A$5&gt;=4,$A1314&gt;=4),F1314&amp;".",""),IF($A1314="S",G1314&amp;".","")))</f>
        <v>14.7.10.</v>
      </c>
      <c r="L1314" s="137" t="str">
        <f t="shared" ca="1" si="1687"/>
        <v xml:space="preserve">Cotação </v>
      </c>
      <c r="M1314" s="122" t="s">
        <v>80</v>
      </c>
      <c r="N1314" s="139" t="s">
        <v>160</v>
      </c>
      <c r="O1314" s="137" t="str">
        <f t="shared" ca="1" si="1675"/>
        <v>Barra de gelo</v>
      </c>
      <c r="P1314" s="138" t="str">
        <f t="shared" ca="1" si="1688"/>
        <v>Unidade</v>
      </c>
      <c r="Q1314" s="134">
        <v>4</v>
      </c>
      <c r="R1314" s="124">
        <f t="shared" ca="1" si="1689"/>
        <v>12</v>
      </c>
      <c r="S1314" s="136" t="s">
        <v>62</v>
      </c>
      <c r="T1314" s="123">
        <f t="shared" ca="1" si="1690"/>
        <v>15</v>
      </c>
      <c r="U1314" s="126">
        <f t="shared" ca="1" si="1691"/>
        <v>60</v>
      </c>
      <c r="V1314" s="1"/>
      <c r="W1314" s="39" t="str">
        <f ca="1">IF(OR($A1314=0,$A1314="S",$A1314&gt;CFF!$A$9),"",MAX(W$11:OFFSET(W1314,-1,0))+1)</f>
        <v/>
      </c>
      <c r="X1314" s="4" t="str">
        <f t="shared" si="1692"/>
        <v>Serv. Terc.-011</v>
      </c>
      <c r="Y1314" s="39">
        <f t="shared" ref="Y1314:Y1323" ca="1" si="1696">IF(X1314&lt;&gt;FALSE,MATCH(X1314,OFFSET(Banco,0,0,,1),0))</f>
        <v>91</v>
      </c>
      <c r="Z1314" s="1"/>
      <c r="AA1314" s="133">
        <f>IF($J1314=$G$2,ROUND(IF(ISNUMBER(S1314),S1314,IF(LEFT(S1314,2)="DI",HLOOKUP(S1314,DADOS!$T$29:$X$30,2,FALSE),0)),4),"")</f>
        <v>0.25</v>
      </c>
      <c r="AB1314" s="2"/>
    </row>
    <row r="1315" spans="1:28">
      <c r="A1315" t="str">
        <f t="shared" si="1693"/>
        <v>S</v>
      </c>
      <c r="B1315">
        <f t="shared" si="1694"/>
        <v>0</v>
      </c>
      <c r="C1315">
        <f t="shared" ca="1" si="1682"/>
        <v>14</v>
      </c>
      <c r="D1315">
        <f t="shared" ca="1" si="1683"/>
        <v>7</v>
      </c>
      <c r="E1315">
        <f t="shared" ca="1" si="1684"/>
        <v>0</v>
      </c>
      <c r="F1315">
        <f t="shared" ca="1" si="1685"/>
        <v>0</v>
      </c>
      <c r="G1315">
        <f t="shared" ca="1" si="1686"/>
        <v>11</v>
      </c>
      <c r="H1315">
        <f ca="1">IF(OR($A1315="S",$A1315=0),0,MATCH(0,OFFSET($B1315,1,$A1315,ROW($A$1504)-ROW($A1315)),0))</f>
        <v>0</v>
      </c>
      <c r="I1315">
        <f ca="1">IF(OR($A1315="S",$A1315=0),0,MATCH(OFFSET($B1315,0,$A1315)+1,OFFSET($B1315,1,$A1315,ROW($A$1504)-ROW($A1315)),0))</f>
        <v>0</v>
      </c>
      <c r="J1315" s="132" t="s">
        <v>29</v>
      </c>
      <c r="K1315" s="121" t="str">
        <f t="shared" ca="1" si="1695"/>
        <v>14.7.11.</v>
      </c>
      <c r="L1315" s="137" t="str">
        <f t="shared" ca="1" si="1687"/>
        <v>Cotação</v>
      </c>
      <c r="M1315" s="122" t="s">
        <v>80</v>
      </c>
      <c r="N1315" s="139" t="s">
        <v>150</v>
      </c>
      <c r="O1315" s="137" t="str">
        <f t="shared" ca="1" si="1675"/>
        <v>Sucos</v>
      </c>
      <c r="P1315" s="138" t="str">
        <f t="shared" ca="1" si="1688"/>
        <v>Unidade</v>
      </c>
      <c r="Q1315" s="134">
        <v>12</v>
      </c>
      <c r="R1315" s="124">
        <f t="shared" ca="1" si="1689"/>
        <v>6.4</v>
      </c>
      <c r="S1315" s="136" t="s">
        <v>62</v>
      </c>
      <c r="T1315" s="123">
        <f t="shared" ca="1" si="1690"/>
        <v>8</v>
      </c>
      <c r="U1315" s="126">
        <f t="shared" ca="1" si="1691"/>
        <v>96</v>
      </c>
      <c r="V1315" s="1"/>
      <c r="W1315" s="39" t="str">
        <f ca="1">IF(OR($A1315=0,$A1315="S",$A1315&gt;CFF!$A$9),"",MAX(W$11:OFFSET(W1315,-1,0))+1)</f>
        <v/>
      </c>
      <c r="X1315" s="4" t="str">
        <f t="shared" si="1692"/>
        <v>Serv. Terc.-013</v>
      </c>
      <c r="Y1315" s="39">
        <f t="shared" ca="1" si="1696"/>
        <v>93</v>
      </c>
      <c r="Z1315" s="1"/>
      <c r="AA1315" s="133">
        <f>IF($J1315=$G$2,ROUND(IF(ISNUMBER(S1315),S1315,IF(LEFT(S1315,2)="DI",HLOOKUP(S1315,DADOS!$T$29:$X$30,2,FALSE),0)),4),"")</f>
        <v>0.25</v>
      </c>
      <c r="AB1315" s="2"/>
    </row>
    <row r="1316" spans="1:28">
      <c r="A1316" t="str">
        <f>CHOOSE(1+LOG(1+2*(J1316=$C$2)+4*(J1316=$D$2)+8*(J1316=$E$2)+16*(J1316=$F$2)+32*(J1316=$G$2),2),0,1,2,3,4,"S")</f>
        <v>S</v>
      </c>
      <c r="B1316">
        <f>IF(OR(A1316="S",A1316=0),0,IF(ISERROR(I1316),H1316,SMALL(H1316:I1316,1)))</f>
        <v>0</v>
      </c>
      <c r="C1316">
        <f t="shared" ca="1" si="1682"/>
        <v>14</v>
      </c>
      <c r="D1316">
        <f t="shared" ca="1" si="1683"/>
        <v>7</v>
      </c>
      <c r="E1316">
        <f t="shared" ca="1" si="1684"/>
        <v>0</v>
      </c>
      <c r="F1316">
        <f t="shared" ca="1" si="1685"/>
        <v>0</v>
      </c>
      <c r="G1316">
        <f t="shared" ca="1" si="1686"/>
        <v>12</v>
      </c>
      <c r="H1316">
        <f ca="1">IF(OR($A1316="S",$A1316=0),0,MATCH(0,OFFSET($B1316,1,$A1316,ROW($A$1504)-ROW($A1316)),0))</f>
        <v>0</v>
      </c>
      <c r="I1316">
        <f ca="1">IF(OR($A1316="S",$A1316=0),0,MATCH(OFFSET($B1316,0,$A1316)+1,OFFSET($B1316,1,$A1316,ROW($A$1504)-ROW($A1316)),0))</f>
        <v>0</v>
      </c>
      <c r="J1316" s="132" t="s">
        <v>29</v>
      </c>
      <c r="K1316" s="121" t="str">
        <f ca="1">IF($A1316=0,"-",CONCATENATE(C1316&amp;".",IF(AND($A$5&gt;=2,$A1316&gt;=2),D1316&amp;".",""),IF(AND($A$5&gt;=3,$A1316&gt;=3),E1316&amp;".",""),IF(AND($A$5&gt;=4,$A1316&gt;=4),F1316&amp;".",""),IF($A1316="S",G1316&amp;".","")))</f>
        <v>14.7.12.</v>
      </c>
      <c r="L1316" s="137" t="str">
        <f t="shared" ca="1" si="1687"/>
        <v>Cotação</v>
      </c>
      <c r="M1316" s="122" t="s">
        <v>80</v>
      </c>
      <c r="N1316" s="139" t="s">
        <v>171</v>
      </c>
      <c r="O1316" s="137" t="str">
        <f ca="1">IF(NOT(ISERROR($Y1316)),IF($Y1316&lt;&gt;FALSE,INDEX(Banco,$Y1316,5),""),"")</f>
        <v xml:space="preserve">Refrigerantes (02 litros) </v>
      </c>
      <c r="P1316" s="138" t="str">
        <f t="shared" ca="1" si="1688"/>
        <v>Unidade</v>
      </c>
      <c r="Q1316" s="134">
        <v>20</v>
      </c>
      <c r="R1316" s="124">
        <f t="shared" ca="1" si="1689"/>
        <v>6</v>
      </c>
      <c r="S1316" s="136" t="s">
        <v>62</v>
      </c>
      <c r="T1316" s="123">
        <f t="shared" ca="1" si="1690"/>
        <v>7.5</v>
      </c>
      <c r="U1316" s="126">
        <f t="shared" ca="1" si="1691"/>
        <v>150</v>
      </c>
      <c r="V1316" s="1"/>
      <c r="W1316" s="39" t="str">
        <f ca="1">IF(OR($A1316=0,$A1316="S",$A1316&gt;CFF!$A$9),"",MAX(W$11:OFFSET(W1316,-1,0))+1)</f>
        <v/>
      </c>
      <c r="X1316" s="4" t="str">
        <f t="shared" si="1692"/>
        <v>Serv. Terc.-027</v>
      </c>
      <c r="Y1316" s="39">
        <f ca="1">IF(X1316&lt;&gt;FALSE,MATCH(X1316,OFFSET(Banco,0,0,,1),0))</f>
        <v>107</v>
      </c>
      <c r="Z1316" s="1"/>
      <c r="AA1316" s="133">
        <f>IF($J1316=$G$2,ROUND(IF(ISNUMBER(S1316),S1316,IF(LEFT(S1316,2)="DI",HLOOKUP(S1316,DADOS!$T$29:$X$30,2,FALSE),0)),4),"")</f>
        <v>0.25</v>
      </c>
      <c r="AB1316" s="2"/>
    </row>
    <row r="1317" spans="1:28">
      <c r="A1317" t="str">
        <f t="shared" si="1693"/>
        <v>S</v>
      </c>
      <c r="B1317">
        <f t="shared" si="1694"/>
        <v>0</v>
      </c>
      <c r="C1317">
        <f t="shared" ca="1" si="1682"/>
        <v>14</v>
      </c>
      <c r="D1317">
        <f t="shared" ca="1" si="1683"/>
        <v>7</v>
      </c>
      <c r="E1317">
        <f t="shared" ca="1" si="1684"/>
        <v>0</v>
      </c>
      <c r="F1317">
        <f t="shared" ca="1" si="1685"/>
        <v>0</v>
      </c>
      <c r="G1317">
        <f t="shared" ca="1" si="1686"/>
        <v>13</v>
      </c>
      <c r="H1317">
        <f ca="1">IF(OR($A1317="S",$A1317=0),0,MATCH(0,OFFSET($B1317,1,$A1317,ROW($A$1504)-ROW($A1317)),0))</f>
        <v>0</v>
      </c>
      <c r="I1317">
        <f ca="1">IF(OR($A1317="S",$A1317=0),0,MATCH(OFFSET($B1317,0,$A1317)+1,OFFSET($B1317,1,$A1317,ROW($A$1504)-ROW($A1317)),0))</f>
        <v>0</v>
      </c>
      <c r="J1317" s="132" t="s">
        <v>29</v>
      </c>
      <c r="K1317" s="121" t="str">
        <f t="shared" ca="1" si="1695"/>
        <v>14.7.13.</v>
      </c>
      <c r="L1317" s="137" t="str">
        <f t="shared" ca="1" si="1687"/>
        <v xml:space="preserve">Cotação </v>
      </c>
      <c r="M1317" s="122" t="s">
        <v>80</v>
      </c>
      <c r="N1317" s="139" t="s">
        <v>159</v>
      </c>
      <c r="O1317" s="137" t="str">
        <f t="shared" ca="1" si="1675"/>
        <v>Brindes ( descrição nos orçamentos e PTS)</v>
      </c>
      <c r="P1317" s="138" t="str">
        <f t="shared" ca="1" si="1688"/>
        <v>Unidade</v>
      </c>
      <c r="Q1317" s="134">
        <v>4</v>
      </c>
      <c r="R1317" s="124">
        <f t="shared" ca="1" si="1689"/>
        <v>120</v>
      </c>
      <c r="S1317" s="136" t="s">
        <v>62</v>
      </c>
      <c r="T1317" s="123">
        <f t="shared" ca="1" si="1690"/>
        <v>150</v>
      </c>
      <c r="U1317" s="126">
        <f t="shared" ca="1" si="1691"/>
        <v>600</v>
      </c>
      <c r="V1317" s="1"/>
      <c r="W1317" s="39" t="str">
        <f ca="1">IF(OR($A1317=0,$A1317="S",$A1317&gt;CFF!$A$9),"",MAX(W$11:OFFSET(W1317,-1,0))+1)</f>
        <v/>
      </c>
      <c r="X1317" s="4" t="str">
        <f t="shared" si="1692"/>
        <v>Serv. Terc.-010</v>
      </c>
      <c r="Y1317" s="39">
        <f t="shared" ca="1" si="1696"/>
        <v>90</v>
      </c>
      <c r="Z1317" s="1"/>
      <c r="AA1317" s="133">
        <f>IF($J1317=$G$2,ROUND(IF(ISNUMBER(S1317),S1317,IF(LEFT(S1317,2)="DI",HLOOKUP(S1317,DADOS!$T$29:$X$30,2,FALSE),0)),4),"")</f>
        <v>0.25</v>
      </c>
      <c r="AB1317" s="2"/>
    </row>
    <row r="1318" spans="1:28">
      <c r="A1318" t="str">
        <f t="shared" si="1693"/>
        <v>S</v>
      </c>
      <c r="B1318">
        <f t="shared" si="1694"/>
        <v>0</v>
      </c>
      <c r="C1318">
        <f t="shared" ca="1" si="1682"/>
        <v>14</v>
      </c>
      <c r="D1318">
        <f t="shared" ca="1" si="1683"/>
        <v>7</v>
      </c>
      <c r="E1318">
        <f t="shared" ca="1" si="1684"/>
        <v>0</v>
      </c>
      <c r="F1318">
        <f t="shared" ca="1" si="1685"/>
        <v>0</v>
      </c>
      <c r="G1318">
        <f t="shared" ca="1" si="1686"/>
        <v>14</v>
      </c>
      <c r="H1318">
        <f ca="1">IF(OR($A1318="S",$A1318=0),0,MATCH(0,OFFSET($B1318,1,$A1318,ROW($A$1504)-ROW($A1318)),0))</f>
        <v>0</v>
      </c>
      <c r="I1318">
        <f ca="1">IF(OR($A1318="S",$A1318=0),0,MATCH(OFFSET($B1318,0,$A1318)+1,OFFSET($B1318,1,$A1318,ROW($A$1504)-ROW($A1318)),0))</f>
        <v>0</v>
      </c>
      <c r="J1318" s="132" t="s">
        <v>29</v>
      </c>
      <c r="K1318" s="121" t="str">
        <f t="shared" ca="1" si="1695"/>
        <v>14.7.14.</v>
      </c>
      <c r="L1318" s="137" t="str">
        <f t="shared" ca="1" si="1687"/>
        <v>Cotação</v>
      </c>
      <c r="M1318" s="122" t="s">
        <v>80</v>
      </c>
      <c r="N1318" s="139" t="s">
        <v>162</v>
      </c>
      <c r="O1318" s="137" t="str">
        <f t="shared" ca="1" si="1675"/>
        <v>Coffee break (salgados)</v>
      </c>
      <c r="P1318" s="138" t="str">
        <f t="shared" ca="1" si="1688"/>
        <v>Centro</v>
      </c>
      <c r="Q1318" s="134">
        <v>15</v>
      </c>
      <c r="R1318" s="124">
        <f t="shared" ca="1" si="1689"/>
        <v>65</v>
      </c>
      <c r="S1318" s="136" t="s">
        <v>62</v>
      </c>
      <c r="T1318" s="123">
        <f t="shared" ca="1" si="1690"/>
        <v>81.25</v>
      </c>
      <c r="U1318" s="126">
        <f t="shared" ca="1" si="1691"/>
        <v>1218.75</v>
      </c>
      <c r="V1318" s="1"/>
      <c r="W1318" s="39" t="str">
        <f ca="1">IF(OR($A1318=0,$A1318="S",$A1318&gt;CFF!$A$9),"",MAX(W$11:OFFSET(W1318,-1,0))+1)</f>
        <v/>
      </c>
      <c r="X1318" s="4" t="str">
        <f t="shared" si="1692"/>
        <v>Serv. Terc.-015</v>
      </c>
      <c r="Y1318" s="39">
        <f t="shared" ca="1" si="1696"/>
        <v>95</v>
      </c>
      <c r="Z1318" s="1"/>
      <c r="AA1318" s="133">
        <f>IF($J1318=$G$2,ROUND(IF(ISNUMBER(S1318),S1318,IF(LEFT(S1318,2)="DI",HLOOKUP(S1318,DADOS!$T$29:$X$30,2,FALSE),0)),4),"")</f>
        <v>0.25</v>
      </c>
      <c r="AB1318" s="2"/>
    </row>
    <row r="1319" spans="1:28">
      <c r="A1319" t="str">
        <f>CHOOSE(1+LOG(1+2*(J1319=$C$2)+4*(J1319=$D$2)+8*(J1319=$E$2)+16*(J1319=$F$2)+32*(J1319=$G$2),2),0,1,2,3,4,"S")</f>
        <v>S</v>
      </c>
      <c r="B1319">
        <f>IF(OR(A1319="S",A1319=0),0,IF(ISERROR(I1319),H1319,SMALL(H1319:I1319,1)))</f>
        <v>0</v>
      </c>
      <c r="C1319">
        <f t="shared" ca="1" si="1682"/>
        <v>14</v>
      </c>
      <c r="D1319">
        <f t="shared" ca="1" si="1683"/>
        <v>7</v>
      </c>
      <c r="E1319">
        <f t="shared" ca="1" si="1684"/>
        <v>0</v>
      </c>
      <c r="F1319">
        <f t="shared" ca="1" si="1685"/>
        <v>0</v>
      </c>
      <c r="G1319">
        <f t="shared" ca="1" si="1686"/>
        <v>15</v>
      </c>
      <c r="H1319">
        <f ca="1">IF(OR($A1319="S",$A1319=0),0,MATCH(0,OFFSET($B1319,1,$A1319,ROW($A$1504)-ROW($A1319)),0))</f>
        <v>0</v>
      </c>
      <c r="I1319">
        <f ca="1">IF(OR($A1319="S",$A1319=0),0,MATCH(OFFSET($B1319,0,$A1319)+1,OFFSET($B1319,1,$A1319,ROW($A$1504)-ROW($A1319)),0))</f>
        <v>0</v>
      </c>
      <c r="J1319" s="132" t="s">
        <v>29</v>
      </c>
      <c r="K1319" s="121" t="str">
        <f ca="1">IF($A1319=0,"-",CONCATENATE(C1319&amp;".",IF(AND($A$5&gt;=2,$A1319&gt;=2),D1319&amp;".",""),IF(AND($A$5&gt;=3,$A1319&gt;=3),E1319&amp;".",""),IF(AND($A$5&gt;=4,$A1319&gt;=4),F1319&amp;".",""),IF($A1319="S",G1319&amp;".","")))</f>
        <v>14.7.15.</v>
      </c>
      <c r="L1319" s="137" t="str">
        <f t="shared" ca="1" si="1687"/>
        <v>SINCON/MT</v>
      </c>
      <c r="M1319" s="122" t="s">
        <v>80</v>
      </c>
      <c r="N1319" s="139" t="s">
        <v>277</v>
      </c>
      <c r="O1319" s="137" t="str">
        <f ca="1">IF(NOT(ISERROR($Y1319)),IF($Y1319&lt;&gt;FALSE,INDEX(Banco,$Y1319,5),""),"")</f>
        <v>Economista</v>
      </c>
      <c r="P1319" s="138" t="str">
        <f t="shared" ca="1" si="1688"/>
        <v>Horas</v>
      </c>
      <c r="Q1319" s="134">
        <v>3</v>
      </c>
      <c r="R1319" s="124">
        <f t="shared" ca="1" si="1689"/>
        <v>350</v>
      </c>
      <c r="S1319" s="136" t="s">
        <v>62</v>
      </c>
      <c r="T1319" s="123">
        <f t="shared" ca="1" si="1690"/>
        <v>437.5</v>
      </c>
      <c r="U1319" s="126">
        <f t="shared" ca="1" si="1691"/>
        <v>1312.5</v>
      </c>
      <c r="V1319" s="1"/>
      <c r="W1319" s="39" t="str">
        <f ca="1">IF(OR($A1319=0,$A1319="S",$A1319&gt;CFF!$A$9),"",MAX(W$11:OFFSET(W1319,-1,0))+1)</f>
        <v/>
      </c>
      <c r="X1319" s="4" t="str">
        <f t="shared" si="1692"/>
        <v>Serv. Terc.-063</v>
      </c>
      <c r="Y1319" s="39">
        <f ca="1">IF(X1319&lt;&gt;FALSE,MATCH(X1319,OFFSET(Banco,0,0,,1),0))</f>
        <v>143</v>
      </c>
      <c r="Z1319" s="1"/>
      <c r="AA1319" s="133">
        <f>IF($J1319=$G$2,ROUND(IF(ISNUMBER(S1319),S1319,IF(LEFT(S1319,2)="DI",HLOOKUP(S1319,DADOS!$T$29:$X$30,2,FALSE),0)),4),"")</f>
        <v>0.25</v>
      </c>
      <c r="AB1319" s="2"/>
    </row>
    <row r="1320" spans="1:28">
      <c r="A1320" t="str">
        <f t="shared" si="1693"/>
        <v>S</v>
      </c>
      <c r="B1320">
        <f t="shared" si="1694"/>
        <v>0</v>
      </c>
      <c r="C1320">
        <f t="shared" ca="1" si="1682"/>
        <v>14</v>
      </c>
      <c r="D1320">
        <f t="shared" ca="1" si="1683"/>
        <v>7</v>
      </c>
      <c r="E1320">
        <f t="shared" ca="1" si="1684"/>
        <v>0</v>
      </c>
      <c r="F1320">
        <f t="shared" ca="1" si="1685"/>
        <v>0</v>
      </c>
      <c r="G1320">
        <f t="shared" ca="1" si="1686"/>
        <v>16</v>
      </c>
      <c r="H1320">
        <f ca="1">IF(OR($A1320="S",$A1320=0),0,MATCH(0,OFFSET($B1320,1,$A1320,ROW($A$1504)-ROW($A1320)),0))</f>
        <v>0</v>
      </c>
      <c r="I1320">
        <f ca="1">IF(OR($A1320="S",$A1320=0),0,MATCH(OFFSET($B1320,0,$A1320)+1,OFFSET($B1320,1,$A1320,ROW($A$1504)-ROW($A1320)),0))</f>
        <v>0</v>
      </c>
      <c r="J1320" s="132" t="s">
        <v>29</v>
      </c>
      <c r="K1320" s="121" t="str">
        <f t="shared" ca="1" si="1695"/>
        <v>14.7.16.</v>
      </c>
      <c r="L1320" s="137" t="str">
        <f t="shared" ca="1" si="1687"/>
        <v>Cotação</v>
      </c>
      <c r="M1320" s="122" t="s">
        <v>79</v>
      </c>
      <c r="N1320" s="139" t="s">
        <v>163</v>
      </c>
      <c r="O1320" s="137" t="str">
        <f t="shared" ca="1" si="1675"/>
        <v>Guloseimas (balas e pirulito)</v>
      </c>
      <c r="P1320" s="138" t="str">
        <f t="shared" ca="1" si="1688"/>
        <v>Pacote</v>
      </c>
      <c r="Q1320" s="134">
        <v>4</v>
      </c>
      <c r="R1320" s="124">
        <f t="shared" ca="1" si="1689"/>
        <v>12</v>
      </c>
      <c r="S1320" s="136" t="s">
        <v>62</v>
      </c>
      <c r="T1320" s="123">
        <f t="shared" ca="1" si="1690"/>
        <v>15</v>
      </c>
      <c r="U1320" s="126">
        <f t="shared" ca="1" si="1691"/>
        <v>60</v>
      </c>
      <c r="V1320" s="1"/>
      <c r="W1320" s="39" t="str">
        <f ca="1">IF(OR($A1320=0,$A1320="S",$A1320&gt;CFF!$A$9),"",MAX(W$11:OFFSET(W1320,-1,0))+1)</f>
        <v/>
      </c>
      <c r="X1320" s="4" t="str">
        <f t="shared" si="1692"/>
        <v>Rec. Materiais-020</v>
      </c>
      <c r="Y1320" s="39">
        <f t="shared" ca="1" si="1696"/>
        <v>29</v>
      </c>
      <c r="Z1320" s="1"/>
      <c r="AA1320" s="133">
        <f>IF($J1320=$G$2,ROUND(IF(ISNUMBER(S1320),S1320,IF(LEFT(S1320,2)="DI",HLOOKUP(S1320,DADOS!$T$29:$X$30,2,FALSE),0)),4),"")</f>
        <v>0.25</v>
      </c>
      <c r="AB1320" s="2"/>
    </row>
    <row r="1321" spans="1:28">
      <c r="A1321" t="str">
        <f t="shared" si="1693"/>
        <v>S</v>
      </c>
      <c r="B1321">
        <f t="shared" si="1694"/>
        <v>0</v>
      </c>
      <c r="C1321">
        <f t="shared" ca="1" si="1682"/>
        <v>14</v>
      </c>
      <c r="D1321">
        <f t="shared" ca="1" si="1683"/>
        <v>7</v>
      </c>
      <c r="E1321">
        <f t="shared" ca="1" si="1684"/>
        <v>0</v>
      </c>
      <c r="F1321">
        <f t="shared" ca="1" si="1685"/>
        <v>0</v>
      </c>
      <c r="G1321">
        <f t="shared" ca="1" si="1686"/>
        <v>17</v>
      </c>
      <c r="H1321">
        <f ca="1">IF(OR($A1321="S",$A1321=0),0,MATCH(0,OFFSET($B1321,1,$A1321,ROW($A$1504)-ROW($A1321)),0))</f>
        <v>0</v>
      </c>
      <c r="I1321">
        <f ca="1">IF(OR($A1321="S",$A1321=0),0,MATCH(OFFSET($B1321,0,$A1321)+1,OFFSET($B1321,1,$A1321,ROW($A$1504)-ROW($A1321)),0))</f>
        <v>0</v>
      </c>
      <c r="J1321" s="132" t="s">
        <v>29</v>
      </c>
      <c r="K1321" s="121" t="str">
        <f t="shared" ca="1" si="1695"/>
        <v>14.7.17.</v>
      </c>
      <c r="L1321" s="137" t="str">
        <f t="shared" ca="1" si="1687"/>
        <v>Cotação</v>
      </c>
      <c r="M1321" s="122" t="s">
        <v>79</v>
      </c>
      <c r="N1321" s="139" t="s">
        <v>165</v>
      </c>
      <c r="O1321" s="137" t="str">
        <f t="shared" ca="1" si="1675"/>
        <v>Papel de presente</v>
      </c>
      <c r="P1321" s="138" t="str">
        <f t="shared" ca="1" si="1688"/>
        <v>Folhas</v>
      </c>
      <c r="Q1321" s="134">
        <v>8</v>
      </c>
      <c r="R1321" s="124">
        <f t="shared" ca="1" si="1689"/>
        <v>1.5</v>
      </c>
      <c r="S1321" s="136" t="s">
        <v>62</v>
      </c>
      <c r="T1321" s="123">
        <f t="shared" ca="1" si="1690"/>
        <v>1.88</v>
      </c>
      <c r="U1321" s="126">
        <f t="shared" ca="1" si="1691"/>
        <v>15.04</v>
      </c>
      <c r="V1321" s="1"/>
      <c r="W1321" s="39" t="str">
        <f ca="1">IF(OR($A1321=0,$A1321="S",$A1321&gt;CFF!$A$9),"",MAX(W$11:OFFSET(W1321,-1,0))+1)</f>
        <v/>
      </c>
      <c r="X1321" s="4" t="str">
        <f t="shared" si="1692"/>
        <v>Rec. Materiais-021</v>
      </c>
      <c r="Y1321" s="39">
        <f t="shared" ca="1" si="1696"/>
        <v>30</v>
      </c>
      <c r="Z1321" s="1"/>
      <c r="AA1321" s="133">
        <f>IF($J1321=$G$2,ROUND(IF(ISNUMBER(S1321),S1321,IF(LEFT(S1321,2)="DI",HLOOKUP(S1321,DADOS!$T$29:$X$30,2,FALSE),0)),4),"")</f>
        <v>0.25</v>
      </c>
      <c r="AB1321" s="2"/>
    </row>
    <row r="1322" spans="1:28">
      <c r="A1322" t="str">
        <f t="shared" si="1693"/>
        <v>S</v>
      </c>
      <c r="B1322">
        <f t="shared" si="1694"/>
        <v>0</v>
      </c>
      <c r="C1322">
        <f t="shared" ca="1" si="1682"/>
        <v>14</v>
      </c>
      <c r="D1322">
        <f t="shared" ca="1" si="1683"/>
        <v>7</v>
      </c>
      <c r="E1322">
        <f t="shared" ca="1" si="1684"/>
        <v>0</v>
      </c>
      <c r="F1322">
        <f t="shared" ca="1" si="1685"/>
        <v>0</v>
      </c>
      <c r="G1322">
        <f t="shared" ca="1" si="1686"/>
        <v>18</v>
      </c>
      <c r="H1322">
        <f ca="1">IF(OR($A1322="S",$A1322=0),0,MATCH(0,OFFSET($B1322,1,$A1322,ROW($A$1504)-ROW($A1322)),0))</f>
        <v>0</v>
      </c>
      <c r="I1322">
        <f ca="1">IF(OR($A1322="S",$A1322=0),0,MATCH(OFFSET($B1322,0,$A1322)+1,OFFSET($B1322,1,$A1322,ROW($A$1504)-ROW($A1322)),0))</f>
        <v>0</v>
      </c>
      <c r="J1322" s="132" t="s">
        <v>29</v>
      </c>
      <c r="K1322" s="121" t="str">
        <f t="shared" ca="1" si="1695"/>
        <v>14.7.18.</v>
      </c>
      <c r="L1322" s="137" t="str">
        <f t="shared" ca="1" si="1687"/>
        <v>Cotação</v>
      </c>
      <c r="M1322" s="122" t="s">
        <v>79</v>
      </c>
      <c r="N1322" s="139" t="s">
        <v>170</v>
      </c>
      <c r="O1322" s="137" t="str">
        <f t="shared" ca="1" si="1675"/>
        <v>Saco de lixo (100 litros)</v>
      </c>
      <c r="P1322" s="138" t="str">
        <f t="shared" ca="1" si="1688"/>
        <v>Pacote</v>
      </c>
      <c r="Q1322" s="134">
        <v>2</v>
      </c>
      <c r="R1322" s="124">
        <f t="shared" ca="1" si="1689"/>
        <v>15</v>
      </c>
      <c r="S1322" s="136" t="s">
        <v>62</v>
      </c>
      <c r="T1322" s="123">
        <f t="shared" ca="1" si="1690"/>
        <v>18.75</v>
      </c>
      <c r="U1322" s="126">
        <f t="shared" ca="1" si="1691"/>
        <v>37.5</v>
      </c>
      <c r="V1322" s="1"/>
      <c r="W1322" s="39" t="str">
        <f ca="1">IF(OR($A1322=0,$A1322="S",$A1322&gt;CFF!$A$9),"",MAX(W$11:OFFSET(W1322,-1,0))+1)</f>
        <v/>
      </c>
      <c r="X1322" s="4" t="str">
        <f t="shared" si="1692"/>
        <v>Rec. Materiais-026</v>
      </c>
      <c r="Y1322" s="39">
        <f t="shared" ca="1" si="1696"/>
        <v>35</v>
      </c>
      <c r="Z1322" s="1"/>
      <c r="AA1322" s="133">
        <f>IF($J1322=$G$2,ROUND(IF(ISNUMBER(S1322),S1322,IF(LEFT(S1322,2)="DI",HLOOKUP(S1322,DADOS!$T$29:$X$30,2,FALSE),0)),4),"")</f>
        <v>0.25</v>
      </c>
      <c r="AB1322" s="2"/>
    </row>
    <row r="1323" spans="1:28">
      <c r="A1323" t="str">
        <f t="shared" si="1693"/>
        <v>S</v>
      </c>
      <c r="B1323">
        <f t="shared" si="1694"/>
        <v>0</v>
      </c>
      <c r="C1323">
        <f t="shared" ca="1" si="1682"/>
        <v>14</v>
      </c>
      <c r="D1323">
        <f t="shared" ca="1" si="1683"/>
        <v>7</v>
      </c>
      <c r="E1323">
        <f t="shared" ca="1" si="1684"/>
        <v>0</v>
      </c>
      <c r="F1323">
        <f t="shared" ca="1" si="1685"/>
        <v>0</v>
      </c>
      <c r="G1323">
        <f t="shared" ca="1" si="1686"/>
        <v>19</v>
      </c>
      <c r="H1323">
        <f ca="1">IF(OR($A1323="S",$A1323=0),0,MATCH(0,OFFSET($B1323,1,$A1323,ROW($A$1504)-ROW($A1323)),0))</f>
        <v>0</v>
      </c>
      <c r="I1323">
        <f ca="1">IF(OR($A1323="S",$A1323=0),0,MATCH(OFFSET($B1323,0,$A1323)+1,OFFSET($B1323,1,$A1323,ROW($A$1504)-ROW($A1323)),0))</f>
        <v>0</v>
      </c>
      <c r="J1323" s="132" t="s">
        <v>29</v>
      </c>
      <c r="K1323" s="121" t="str">
        <f t="shared" ca="1" si="1695"/>
        <v>14.7.19.</v>
      </c>
      <c r="L1323" s="137" t="str">
        <f t="shared" ca="1" si="1687"/>
        <v>Cotação</v>
      </c>
      <c r="M1323" s="122" t="s">
        <v>80</v>
      </c>
      <c r="N1323" s="139" t="s">
        <v>235</v>
      </c>
      <c r="O1323" s="137" t="str">
        <f t="shared" ca="1" si="1675"/>
        <v>Informativo sobre Educação Financeira/Orçamento Familiar</v>
      </c>
      <c r="P1323" s="138" t="str">
        <f t="shared" ca="1" si="1688"/>
        <v>Unidade</v>
      </c>
      <c r="Q1323" s="134">
        <v>290</v>
      </c>
      <c r="R1323" s="124">
        <f t="shared" ca="1" si="1689"/>
        <v>6</v>
      </c>
      <c r="S1323" s="136" t="s">
        <v>62</v>
      </c>
      <c r="T1323" s="123">
        <f t="shared" ca="1" si="1690"/>
        <v>7.5</v>
      </c>
      <c r="U1323" s="126">
        <f t="shared" ca="1" si="1691"/>
        <v>2175</v>
      </c>
      <c r="V1323" s="1"/>
      <c r="W1323" s="39" t="str">
        <f ca="1">IF(OR($A1323=0,$A1323="S",$A1323&gt;CFF!$A$9),"",MAX(W$11:OFFSET(W1323,-1,0))+1)</f>
        <v/>
      </c>
      <c r="X1323" s="4" t="str">
        <f t="shared" si="1692"/>
        <v>Serv. Terc.-079</v>
      </c>
      <c r="Y1323" s="39">
        <f t="shared" ca="1" si="1696"/>
        <v>159</v>
      </c>
      <c r="Z1323" s="1"/>
      <c r="AA1323" s="133">
        <f>IF($J1323=$G$2,ROUND(IF(ISNUMBER(S1323),S1323,IF(LEFT(S1323,2)="DI",HLOOKUP(S1323,DADOS!$T$29:$X$30,2,FALSE),0)),4),"")</f>
        <v>0.25</v>
      </c>
      <c r="AB1323" s="2"/>
    </row>
    <row r="1324" spans="1:28" ht="25.5">
      <c r="A1324">
        <f>CHOOSE(1+LOG(1+2*(J1324=$C$2)+4*(J1324=$D$2)+8*(J1324=$E$2)+16*(J1324=$F$2)+32*(J1324=$G$2),2),0,1,2,3,4,"S")</f>
        <v>2</v>
      </c>
      <c r="B1324">
        <f ca="1">IF(OR(A1324="S",A1324=0),0,IF(ISERROR(I1324),H1324,SMALL(H1324:I1324,1)))</f>
        <v>20</v>
      </c>
      <c r="C1324">
        <f ca="1">IF($A1324=1,OFFSET(C1324,-1,0)+1,OFFSET(C1324,-1,0))</f>
        <v>14</v>
      </c>
      <c r="D1324">
        <f ca="1">IF($A1324=1,0,IF($A1324=2,OFFSET(D1324,-1,0)+1,OFFSET(D1324,-1,0)))</f>
        <v>8</v>
      </c>
      <c r="E1324">
        <f ca="1">IF(AND($A1324&lt;=2,$A1324&lt;&gt;0),0,IF($A1324=3,OFFSET(E1324,-1,0)+1,OFFSET(E1324,-1,0)))</f>
        <v>0</v>
      </c>
      <c r="F1324">
        <f ca="1">IF(AND($A1324&lt;=3,$A1324&lt;&gt;0),0,IF($A1324=4,OFFSET(F1324,-1,0)+1,OFFSET(F1324,-1,0)))</f>
        <v>0</v>
      </c>
      <c r="G1324">
        <f ca="1">IF(AND($A1324&lt;=4,$A1324&lt;&gt;0),0,IF($A1324="S",OFFSET(G1324,-1,0)+1,OFFSET(G1324,-1,0)))</f>
        <v>0</v>
      </c>
      <c r="H1324">
        <f ca="1">IF(OR($A1324="S",$A1324=0),0,MATCH(0,OFFSET($B1324,1,$A1324,ROW($A$1504)-ROW($A1324)),0))</f>
        <v>20</v>
      </c>
      <c r="I1324" t="e">
        <f ca="1">IF(OR($A1324="S",$A1324=0),0,MATCH(OFFSET($B1324,0,$A1324)+1,OFFSET($B1324,1,$A1324,ROW($A$1504)-ROW($A1324)),0))</f>
        <v>#N/A</v>
      </c>
      <c r="J1324" s="132" t="s">
        <v>68</v>
      </c>
      <c r="K1324" s="121" t="str">
        <f ca="1">IF($A1324=0,"-",CONCATENATE(C1324&amp;".",IF(AND($A$5&gt;=2,$A1324&gt;=2),D1324&amp;".",""),IF(AND($A$5&gt;=3,$A1324&gt;=3),E1324&amp;".",""),IF(AND($A$5&gt;=4,$A1324&gt;=4),F1324&amp;".",""),IF($A1324="S",G1324&amp;".","")))</f>
        <v>14.8.</v>
      </c>
      <c r="L1324" s="137" t="str">
        <f ca="1">IF(NOT(ISERROR($Y1324)),IF($Y1324&lt;&gt;FALSE,INDEX(Banco,$Y1324,4),""),"")</f>
        <v/>
      </c>
      <c r="M1324" s="122"/>
      <c r="N1324" s="139"/>
      <c r="O1324" s="137" t="s">
        <v>443</v>
      </c>
      <c r="P1324" s="138" t="str">
        <f ca="1">IF(NOT(ISERROR($Y1324)),IF($Y1324&lt;&gt;FALSE,INDEX(Banco,$Y1324,6),""),"")</f>
        <v/>
      </c>
      <c r="Q1324" s="134"/>
      <c r="R1324" s="124">
        <f ca="1">IF(NOT(ISERROR($Y1324)),IF($Y1324&lt;&gt;FALSE,INDEX(Banco,$Y1324,7),0),0)</f>
        <v>0</v>
      </c>
      <c r="S1324" s="136" t="s">
        <v>62</v>
      </c>
      <c r="T1324" s="123">
        <f>IF($J1324=$G$2,ROUND(ROUND($R1324,2)*IF($R$9="Preço Unitário (R$)",1,1+$AA1324),2),0)</f>
        <v>0</v>
      </c>
      <c r="U1324" s="126">
        <f ca="1">IF($A1324="S",VTOTAL1,IF($A1324=0,0,ROUND(SomaAgrup,2)))</f>
        <v>8988.57</v>
      </c>
      <c r="V1324" s="1"/>
      <c r="W1324" s="39">
        <f ca="1">IF(OR($A1324=0,$A1324="S",$A1324&gt;CFF!$A$9),"",MAX(W$11:OFFSET(W1324,-1,0))+1)</f>
        <v>116</v>
      </c>
      <c r="X1324" s="4" t="b">
        <f>IF(AND($J1324=$G$2,$N1324&lt;&gt;"",$M1324&lt;&gt;""),CONCATENATE($M1324,"-",$N1324))</f>
        <v>0</v>
      </c>
      <c r="Y1324" s="39" t="b">
        <f ca="1">IF(X1324&lt;&gt;FALSE,MATCH(X1324,OFFSET(Banco,0,0,,1),0))</f>
        <v>0</v>
      </c>
      <c r="Z1324" s="1"/>
      <c r="AA1324" s="133" t="str">
        <f>IF($J1324=$G$2,ROUND(IF(ISNUMBER(S1324),S1324,IF(LEFT(S1324,2)="DI",HLOOKUP(S1324,DADOS!$T$29:$X$30,2,FALSE),0)),4),"")</f>
        <v/>
      </c>
      <c r="AB1324" s="2"/>
    </row>
    <row r="1325" spans="1:28">
      <c r="A1325" t="str">
        <f t="shared" ref="A1325:A1330" si="1697">CHOOSE(1+LOG(1+2*(J1325=$C$2)+4*(J1325=$D$2)+8*(J1325=$E$2)+16*(J1325=$F$2)+32*(J1325=$G$2),2),0,1,2,3,4,"S")</f>
        <v>S</v>
      </c>
      <c r="B1325">
        <f t="shared" ref="B1325:B1330" si="1698">IF(OR(A1325="S",A1325=0),0,IF(ISERROR(I1325),H1325,SMALL(H1325:I1325,1)))</f>
        <v>0</v>
      </c>
      <c r="C1325">
        <f t="shared" ref="C1325:C1332" ca="1" si="1699">IF($A1325=1,OFFSET(C1325,-1,0)+1,OFFSET(C1325,-1,0))</f>
        <v>14</v>
      </c>
      <c r="D1325">
        <f t="shared" ref="D1325:D1332" ca="1" si="1700">IF($A1325=1,0,IF($A1325=2,OFFSET(D1325,-1,0)+1,OFFSET(D1325,-1,0)))</f>
        <v>8</v>
      </c>
      <c r="E1325">
        <f t="shared" ref="E1325:E1332" ca="1" si="1701">IF(AND($A1325&lt;=2,$A1325&lt;&gt;0),0,IF($A1325=3,OFFSET(E1325,-1,0)+1,OFFSET(E1325,-1,0)))</f>
        <v>0</v>
      </c>
      <c r="F1325">
        <f t="shared" ref="F1325:F1332" ca="1" si="1702">IF(AND($A1325&lt;=3,$A1325&lt;&gt;0),0,IF($A1325=4,OFFSET(F1325,-1,0)+1,OFFSET(F1325,-1,0)))</f>
        <v>0</v>
      </c>
      <c r="G1325">
        <f t="shared" ref="G1325:G1332" ca="1" si="1703">IF(AND($A1325&lt;=4,$A1325&lt;&gt;0),0,IF($A1325="S",OFFSET(G1325,-1,0)+1,OFFSET(G1325,-1,0)))</f>
        <v>1</v>
      </c>
      <c r="H1325">
        <f ca="1">IF(OR($A1325="S",$A1325=0),0,MATCH(0,OFFSET($B1325,1,$A1325,ROW($A$1504)-ROW($A1325)),0))</f>
        <v>0</v>
      </c>
      <c r="I1325">
        <f ca="1">IF(OR($A1325="S",$A1325=0),0,MATCH(OFFSET($B1325,0,$A1325)+1,OFFSET($B1325,1,$A1325,ROW($A$1504)-ROW($A1325)),0))</f>
        <v>0</v>
      </c>
      <c r="J1325" s="132" t="s">
        <v>29</v>
      </c>
      <c r="K1325" s="121" t="str">
        <f t="shared" ref="K1325:K1330" ca="1" si="1704">IF($A1325=0,"-",CONCATENATE(C1325&amp;".",IF(AND($A$5&gt;=2,$A1325&gt;=2),D1325&amp;".",""),IF(AND($A$5&gt;=3,$A1325&gt;=3),E1325&amp;".",""),IF(AND($A$5&gt;=4,$A1325&gt;=4),F1325&amp;".",""),IF($A1325="S",G1325&amp;".","")))</f>
        <v>14.8.1.</v>
      </c>
      <c r="L1325" s="137" t="str">
        <f t="shared" ref="L1325:L1332" ca="1" si="1705">IF(NOT(ISERROR($Y1325)),IF($Y1325&lt;&gt;FALSE,INDEX(Banco,$Y1325,4),""),"")</f>
        <v>CRESS</v>
      </c>
      <c r="M1325" s="122" t="s">
        <v>78</v>
      </c>
      <c r="N1325" s="139" t="s">
        <v>149</v>
      </c>
      <c r="O1325" s="137" t="str">
        <f ca="1">IF(NOT(ISERROR($Y1325)),IF($Y1325&lt;&gt;FALSE,INDEX(Banco,$Y1325,5),""),"")</f>
        <v>Responsável Técnica</v>
      </c>
      <c r="P1325" s="138" t="str">
        <f t="shared" ref="P1325:P1332" ca="1" si="1706">IF(NOT(ISERROR($Y1325)),IF($Y1325&lt;&gt;FALSE,INDEX(Banco,$Y1325,6),""),"")</f>
        <v>Horas</v>
      </c>
      <c r="Q1325" s="134">
        <v>6</v>
      </c>
      <c r="R1325" s="124">
        <f t="shared" ref="R1325:R1332" ca="1" si="1707">IF(NOT(ISERROR($Y1325)),IF($Y1325&lt;&gt;FALSE,INDEX(Banco,$Y1325,7),0),0)</f>
        <v>150.28</v>
      </c>
      <c r="S1325" s="136" t="s">
        <v>62</v>
      </c>
      <c r="T1325" s="123">
        <f t="shared" ref="T1325:T1332" ca="1" si="1708">IF($J1325=$G$2,ROUND(ROUND($R1325,2)*IF($R$9="Preço Unitário (R$)",1,1+$AA1325),2),0)</f>
        <v>187.85</v>
      </c>
      <c r="U1325" s="126">
        <f t="shared" ref="U1325:U1332" ca="1" si="1709">IF($A1325="S",VTOTAL1,IF($A1325=0,0,ROUND(SomaAgrup,2)))</f>
        <v>1127.0999999999999</v>
      </c>
      <c r="V1325" s="1"/>
      <c r="W1325" s="39" t="str">
        <f ca="1">IF(OR($A1325=0,$A1325="S",$A1325&gt;CFF!$A$9),"",MAX(W$11:OFFSET(W1325,-1,0))+1)</f>
        <v/>
      </c>
      <c r="X1325" s="4" t="str">
        <f t="shared" ref="X1325:X1332" si="1710">IF(AND($J1325=$G$2,$N1325&lt;&gt;"",$M1325&lt;&gt;""),CONCATENATE($M1325,"-",$N1325))</f>
        <v>Rec. Humanos-001</v>
      </c>
      <c r="Y1325" s="39">
        <f t="shared" ref="Y1325:Y1330" ca="1" si="1711">IF(X1325&lt;&gt;FALSE,MATCH(X1325,OFFSET(Banco,0,0,,1),0))</f>
        <v>3</v>
      </c>
      <c r="Z1325" s="1"/>
      <c r="AA1325" s="133">
        <f>IF($J1325=$G$2,ROUND(IF(ISNUMBER(S1325),S1325,IF(LEFT(S1325,2)="DI",HLOOKUP(S1325,DADOS!$T$29:$X$30,2,FALSE),0)),4),"")</f>
        <v>0.25</v>
      </c>
      <c r="AB1325" s="2"/>
    </row>
    <row r="1326" spans="1:28">
      <c r="A1326" t="str">
        <f t="shared" si="1697"/>
        <v>S</v>
      </c>
      <c r="B1326">
        <f t="shared" si="1698"/>
        <v>0</v>
      </c>
      <c r="C1326">
        <f t="shared" ca="1" si="1699"/>
        <v>14</v>
      </c>
      <c r="D1326">
        <f t="shared" ca="1" si="1700"/>
        <v>8</v>
      </c>
      <c r="E1326">
        <f t="shared" ca="1" si="1701"/>
        <v>0</v>
      </c>
      <c r="F1326">
        <f t="shared" ca="1" si="1702"/>
        <v>0</v>
      </c>
      <c r="G1326">
        <f t="shared" ca="1" si="1703"/>
        <v>2</v>
      </c>
      <c r="H1326">
        <f ca="1">IF(OR($A1326="S",$A1326=0),0,MATCH(0,OFFSET($B1326,1,$A1326,ROW($A$1504)-ROW($A1326)),0))</f>
        <v>0</v>
      </c>
      <c r="I1326">
        <f ca="1">IF(OR($A1326="S",$A1326=0),0,MATCH(OFFSET($B1326,0,$A1326)+1,OFFSET($B1326,1,$A1326,ROW($A$1504)-ROW($A1326)),0))</f>
        <v>0</v>
      </c>
      <c r="J1326" s="132" t="s">
        <v>29</v>
      </c>
      <c r="K1326" s="121" t="str">
        <f t="shared" ca="1" si="1704"/>
        <v>14.8.2.</v>
      </c>
      <c r="L1326" s="137" t="str">
        <f t="shared" ca="1" si="1705"/>
        <v>CRESS</v>
      </c>
      <c r="M1326" s="122" t="s">
        <v>78</v>
      </c>
      <c r="N1326" s="139" t="s">
        <v>152</v>
      </c>
      <c r="O1326" s="137" t="str">
        <f t="shared" ref="O1326:O1343" ca="1" si="1712">IF(NOT(ISERROR($Y1326)),IF($Y1326&lt;&gt;FALSE,INDEX(Banco,$Y1326,5),""),"")</f>
        <v>Assistente Social</v>
      </c>
      <c r="P1326" s="138" t="str">
        <f t="shared" ca="1" si="1706"/>
        <v>Horas</v>
      </c>
      <c r="Q1326" s="134">
        <v>4</v>
      </c>
      <c r="R1326" s="124">
        <f t="shared" ca="1" si="1707"/>
        <v>133.81</v>
      </c>
      <c r="S1326" s="136" t="s">
        <v>62</v>
      </c>
      <c r="T1326" s="123">
        <f t="shared" ca="1" si="1708"/>
        <v>167.26</v>
      </c>
      <c r="U1326" s="126">
        <f t="shared" ca="1" si="1709"/>
        <v>669.04</v>
      </c>
      <c r="V1326" s="1"/>
      <c r="W1326" s="39" t="str">
        <f ca="1">IF(OR($A1326=0,$A1326="S",$A1326&gt;CFF!$A$9),"",MAX(W$11:OFFSET(W1326,-1,0))+1)</f>
        <v/>
      </c>
      <c r="X1326" s="4" t="str">
        <f t="shared" si="1710"/>
        <v>Rec. Humanos-002</v>
      </c>
      <c r="Y1326" s="39">
        <f t="shared" ca="1" si="1711"/>
        <v>4</v>
      </c>
      <c r="Z1326" s="1"/>
      <c r="AA1326" s="133">
        <f>IF($J1326=$G$2,ROUND(IF(ISNUMBER(S1326),S1326,IF(LEFT(S1326,2)="DI",HLOOKUP(S1326,DADOS!$T$29:$X$30,2,FALSE),0)),4),"")</f>
        <v>0.25</v>
      </c>
      <c r="AB1326" s="2"/>
    </row>
    <row r="1327" spans="1:28">
      <c r="A1327" t="str">
        <f t="shared" si="1697"/>
        <v>S</v>
      </c>
      <c r="B1327">
        <f t="shared" si="1698"/>
        <v>0</v>
      </c>
      <c r="C1327">
        <f t="shared" ca="1" si="1699"/>
        <v>14</v>
      </c>
      <c r="D1327">
        <f t="shared" ca="1" si="1700"/>
        <v>8</v>
      </c>
      <c r="E1327">
        <f t="shared" ca="1" si="1701"/>
        <v>0</v>
      </c>
      <c r="F1327">
        <f t="shared" ca="1" si="1702"/>
        <v>0</v>
      </c>
      <c r="G1327">
        <f t="shared" ca="1" si="1703"/>
        <v>3</v>
      </c>
      <c r="H1327">
        <f ca="1">IF(OR($A1327="S",$A1327=0),0,MATCH(0,OFFSET($B1327,1,$A1327,ROW($A$1504)-ROW($A1327)),0))</f>
        <v>0</v>
      </c>
      <c r="I1327">
        <f ca="1">IF(OR($A1327="S",$A1327=0),0,MATCH(OFFSET($B1327,0,$A1327)+1,OFFSET($B1327,1,$A1327,ROW($A$1504)-ROW($A1327)),0))</f>
        <v>0</v>
      </c>
      <c r="J1327" s="132" t="s">
        <v>29</v>
      </c>
      <c r="K1327" s="121" t="str">
        <f t="shared" ca="1" si="1704"/>
        <v>14.8.3.</v>
      </c>
      <c r="L1327" s="137" t="str">
        <f t="shared" ca="1" si="1705"/>
        <v>Cotação</v>
      </c>
      <c r="M1327" s="122" t="s">
        <v>78</v>
      </c>
      <c r="N1327" s="139" t="s">
        <v>151</v>
      </c>
      <c r="O1327" s="137" t="str">
        <f t="shared" ca="1" si="1712"/>
        <v xml:space="preserve">Administrador (Técnico de Apoio) </v>
      </c>
      <c r="P1327" s="138" t="str">
        <f t="shared" ca="1" si="1706"/>
        <v>Horas</v>
      </c>
      <c r="Q1327" s="134">
        <v>4</v>
      </c>
      <c r="R1327" s="124">
        <f t="shared" ca="1" si="1707"/>
        <v>103.65</v>
      </c>
      <c r="S1327" s="136" t="s">
        <v>62</v>
      </c>
      <c r="T1327" s="123">
        <f t="shared" ca="1" si="1708"/>
        <v>129.56</v>
      </c>
      <c r="U1327" s="126">
        <f t="shared" ca="1" si="1709"/>
        <v>518.24</v>
      </c>
      <c r="V1327" s="1"/>
      <c r="W1327" s="39" t="str">
        <f ca="1">IF(OR($A1327=0,$A1327="S",$A1327&gt;CFF!$A$9),"",MAX(W$11:OFFSET(W1327,-1,0))+1)</f>
        <v/>
      </c>
      <c r="X1327" s="4" t="str">
        <f t="shared" si="1710"/>
        <v>Rec. Humanos-003</v>
      </c>
      <c r="Y1327" s="39">
        <f t="shared" ca="1" si="1711"/>
        <v>5</v>
      </c>
      <c r="Z1327" s="1"/>
      <c r="AA1327" s="133">
        <f>IF($J1327=$G$2,ROUND(IF(ISNUMBER(S1327),S1327,IF(LEFT(S1327,2)="DI",HLOOKUP(S1327,DADOS!$T$29:$X$30,2,FALSE),0)),4),"")</f>
        <v>0.25</v>
      </c>
      <c r="AB1327" s="2"/>
    </row>
    <row r="1328" spans="1:28">
      <c r="A1328" t="str">
        <f t="shared" si="1697"/>
        <v>S</v>
      </c>
      <c r="B1328">
        <f t="shared" si="1698"/>
        <v>0</v>
      </c>
      <c r="C1328">
        <f t="shared" ca="1" si="1699"/>
        <v>14</v>
      </c>
      <c r="D1328">
        <f t="shared" ca="1" si="1700"/>
        <v>8</v>
      </c>
      <c r="E1328">
        <f t="shared" ca="1" si="1701"/>
        <v>0</v>
      </c>
      <c r="F1328">
        <f t="shared" ca="1" si="1702"/>
        <v>0</v>
      </c>
      <c r="G1328">
        <f t="shared" ca="1" si="1703"/>
        <v>4</v>
      </c>
      <c r="H1328">
        <f ca="1">IF(OR($A1328="S",$A1328=0),0,MATCH(0,OFFSET($B1328,1,$A1328,ROW($A$1504)-ROW($A1328)),0))</f>
        <v>0</v>
      </c>
      <c r="I1328">
        <f ca="1">IF(OR($A1328="S",$A1328=0),0,MATCH(OFFSET($B1328,0,$A1328)+1,OFFSET($B1328,1,$A1328,ROW($A$1504)-ROW($A1328)),0))</f>
        <v>0</v>
      </c>
      <c r="J1328" s="132" t="s">
        <v>29</v>
      </c>
      <c r="K1328" s="121" t="str">
        <f t="shared" ca="1" si="1704"/>
        <v>14.8.4.</v>
      </c>
      <c r="L1328" s="137" t="str">
        <f t="shared" ca="1" si="1705"/>
        <v>SINE</v>
      </c>
      <c r="M1328" s="122" t="s">
        <v>78</v>
      </c>
      <c r="N1328" s="139" t="s">
        <v>153</v>
      </c>
      <c r="O1328" s="137" t="str">
        <f t="shared" ca="1" si="1712"/>
        <v>Estagiários</v>
      </c>
      <c r="P1328" s="138" t="str">
        <f t="shared" ca="1" si="1706"/>
        <v>Horas</v>
      </c>
      <c r="Q1328" s="134">
        <v>10</v>
      </c>
      <c r="R1328" s="124">
        <f t="shared" ca="1" si="1707"/>
        <v>9.7899999999999991</v>
      </c>
      <c r="S1328" s="136" t="s">
        <v>62</v>
      </c>
      <c r="T1328" s="123">
        <f t="shared" ca="1" si="1708"/>
        <v>12.24</v>
      </c>
      <c r="U1328" s="126">
        <f t="shared" ca="1" si="1709"/>
        <v>122.4</v>
      </c>
      <c r="V1328" s="1"/>
      <c r="W1328" s="39" t="str">
        <f ca="1">IF(OR($A1328=0,$A1328="S",$A1328&gt;CFF!$A$9),"",MAX(W$11:OFFSET(W1328,-1,0))+1)</f>
        <v/>
      </c>
      <c r="X1328" s="4" t="str">
        <f t="shared" si="1710"/>
        <v>Rec. Humanos-004</v>
      </c>
      <c r="Y1328" s="39">
        <f t="shared" ca="1" si="1711"/>
        <v>6</v>
      </c>
      <c r="Z1328" s="1"/>
      <c r="AA1328" s="133">
        <f>IF($J1328=$G$2,ROUND(IF(ISNUMBER(S1328),S1328,IF(LEFT(S1328,2)="DI",HLOOKUP(S1328,DADOS!$T$29:$X$30,2,FALSE),0)),4),"")</f>
        <v>0.25</v>
      </c>
      <c r="AB1328" s="2"/>
    </row>
    <row r="1329" spans="1:28">
      <c r="A1329" t="str">
        <f t="shared" si="1697"/>
        <v>S</v>
      </c>
      <c r="B1329">
        <f t="shared" si="1698"/>
        <v>0</v>
      </c>
      <c r="C1329">
        <f t="shared" ca="1" si="1699"/>
        <v>14</v>
      </c>
      <c r="D1329">
        <f t="shared" ca="1" si="1700"/>
        <v>8</v>
      </c>
      <c r="E1329">
        <f t="shared" ca="1" si="1701"/>
        <v>0</v>
      </c>
      <c r="F1329">
        <f t="shared" ca="1" si="1702"/>
        <v>0</v>
      </c>
      <c r="G1329">
        <f t="shared" ca="1" si="1703"/>
        <v>5</v>
      </c>
      <c r="H1329">
        <f ca="1">IF(OR($A1329="S",$A1329=0),0,MATCH(0,OFFSET($B1329,1,$A1329,ROW($A$1504)-ROW($A1329)),0))</f>
        <v>0</v>
      </c>
      <c r="I1329">
        <f ca="1">IF(OR($A1329="S",$A1329=0),0,MATCH(OFFSET($B1329,0,$A1329)+1,OFFSET($B1329,1,$A1329,ROW($A$1504)-ROW($A1329)),0))</f>
        <v>0</v>
      </c>
      <c r="J1329" s="132" t="s">
        <v>29</v>
      </c>
      <c r="K1329" s="121" t="str">
        <f t="shared" ca="1" si="1704"/>
        <v>14.8.5.</v>
      </c>
      <c r="L1329" s="137" t="str">
        <f t="shared" ca="1" si="1705"/>
        <v>Cotação</v>
      </c>
      <c r="M1329" s="122" t="s">
        <v>80</v>
      </c>
      <c r="N1329" s="139" t="s">
        <v>149</v>
      </c>
      <c r="O1329" s="137" t="str">
        <f t="shared" ca="1" si="1712"/>
        <v>Fotocópias</v>
      </c>
      <c r="P1329" s="138" t="str">
        <f t="shared" ca="1" si="1706"/>
        <v>Unidade</v>
      </c>
      <c r="Q1329" s="134">
        <v>150</v>
      </c>
      <c r="R1329" s="124">
        <f t="shared" ca="1" si="1707"/>
        <v>0.3</v>
      </c>
      <c r="S1329" s="136" t="s">
        <v>62</v>
      </c>
      <c r="T1329" s="123">
        <f t="shared" ca="1" si="1708"/>
        <v>0.38</v>
      </c>
      <c r="U1329" s="126">
        <f t="shared" ca="1" si="1709"/>
        <v>57</v>
      </c>
      <c r="V1329" s="1"/>
      <c r="W1329" s="39" t="str">
        <f ca="1">IF(OR($A1329=0,$A1329="S",$A1329&gt;CFF!$A$9),"",MAX(W$11:OFFSET(W1329,-1,0))+1)</f>
        <v/>
      </c>
      <c r="X1329" s="4" t="str">
        <f t="shared" si="1710"/>
        <v>Serv. Terc.-001</v>
      </c>
      <c r="Y1329" s="39">
        <f t="shared" ca="1" si="1711"/>
        <v>81</v>
      </c>
      <c r="Z1329" s="1"/>
      <c r="AA1329" s="133">
        <f>IF($J1329=$G$2,ROUND(IF(ISNUMBER(S1329),S1329,IF(LEFT(S1329,2)="DI",HLOOKUP(S1329,DADOS!$T$29:$X$30,2,FALSE),0)),4),"")</f>
        <v>0.25</v>
      </c>
      <c r="AB1329" s="2"/>
    </row>
    <row r="1330" spans="1:28">
      <c r="A1330" t="str">
        <f t="shared" si="1697"/>
        <v>S</v>
      </c>
      <c r="B1330">
        <f t="shared" si="1698"/>
        <v>0</v>
      </c>
      <c r="C1330">
        <f ca="1">IF($A1330=1,OFFSET(C1330,-1,0)+1,OFFSET(C1330,-1,0))</f>
        <v>14</v>
      </c>
      <c r="D1330">
        <f ca="1">IF($A1330=1,0,IF($A1330=2,OFFSET(D1330,-1,0)+1,OFFSET(D1330,-1,0)))</f>
        <v>8</v>
      </c>
      <c r="E1330">
        <f ca="1">IF(AND($A1330&lt;=2,$A1330&lt;&gt;0),0,IF($A1330=3,OFFSET(E1330,-1,0)+1,OFFSET(E1330,-1,0)))</f>
        <v>0</v>
      </c>
      <c r="F1330">
        <f ca="1">IF(AND($A1330&lt;=3,$A1330&lt;&gt;0),0,IF($A1330=4,OFFSET(F1330,-1,0)+1,OFFSET(F1330,-1,0)))</f>
        <v>0</v>
      </c>
      <c r="G1330">
        <f ca="1">IF(AND($A1330&lt;=4,$A1330&lt;&gt;0),0,IF($A1330="S",OFFSET(G1330,-1,0)+1,OFFSET(G1330,-1,0)))</f>
        <v>6</v>
      </c>
      <c r="H1330">
        <f ca="1">IF(OR($A1330="S",$A1330=0),0,MATCH(0,OFFSET($B1330,1,$A1330,ROW($A$1504)-ROW($A1330)),0))</f>
        <v>0</v>
      </c>
      <c r="I1330">
        <f ca="1">IF(OR($A1330="S",$A1330=0),0,MATCH(OFFSET($B1330,0,$A1330)+1,OFFSET($B1330,1,$A1330,ROW($A$1504)-ROW($A1330)),0))</f>
        <v>0</v>
      </c>
      <c r="J1330" s="132" t="s">
        <v>29</v>
      </c>
      <c r="K1330" s="121" t="str">
        <f t="shared" ca="1" si="1704"/>
        <v>14.8.6.</v>
      </c>
      <c r="L1330" s="137" t="str">
        <f ca="1">IF(NOT(ISERROR($Y1330)),IF($Y1330&lt;&gt;FALSE,INDEX(Banco,$Y1330,4),""),"")</f>
        <v>Cotação</v>
      </c>
      <c r="M1330" s="122" t="s">
        <v>80</v>
      </c>
      <c r="N1330" s="139" t="s">
        <v>256</v>
      </c>
      <c r="O1330" s="137" t="str">
        <f ca="1">IF(NOT(ISERROR($Y1330)),IF($Y1330&lt;&gt;FALSE,INDEX(Banco,$Y1330,5),""),"")</f>
        <v>Instrutor/Monitor (Educação Fisíca)</v>
      </c>
      <c r="P1330" s="138" t="str">
        <f ca="1">IF(NOT(ISERROR($Y1330)),IF($Y1330&lt;&gt;FALSE,INDEX(Banco,$Y1330,6),""),"")</f>
        <v>Horas</v>
      </c>
      <c r="Q1330" s="134">
        <v>2</v>
      </c>
      <c r="R1330" s="124">
        <f ca="1">IF(NOT(ISERROR($Y1330)),IF($Y1330&lt;&gt;FALSE,INDEX(Banco,$Y1330,7),0),0)</f>
        <v>100</v>
      </c>
      <c r="S1330" s="136" t="s">
        <v>62</v>
      </c>
      <c r="T1330" s="123">
        <f ca="1">IF($J1330=$G$2,ROUND(ROUND($R1330,2)*IF($R$9="Preço Unitário (R$)",1,1+$AA1330),2),0)</f>
        <v>125</v>
      </c>
      <c r="U1330" s="126">
        <f ca="1">IF($A1330="S",VTOTAL1,IF($A1330=0,0,ROUND(SomaAgrup,2)))</f>
        <v>250</v>
      </c>
      <c r="V1330" s="1"/>
      <c r="W1330" s="39" t="str">
        <f ca="1">IF(OR($A1330=0,$A1330="S",$A1330&gt;CFF!$A$9),"",MAX(W$11:OFFSET(W1330,-1,0))+1)</f>
        <v/>
      </c>
      <c r="X1330" s="4" t="str">
        <f>IF(AND($J1330=$G$2,$N1330&lt;&gt;"",$M1330&lt;&gt;""),CONCATENATE($M1330,"-",$N1330))</f>
        <v>Serv. Terc.-017</v>
      </c>
      <c r="Y1330" s="39">
        <f t="shared" ca="1" si="1711"/>
        <v>97</v>
      </c>
      <c r="Z1330" s="1"/>
      <c r="AA1330" s="133">
        <f>IF($J1330=$G$2,ROUND(IF(ISNUMBER(S1330),S1330,IF(LEFT(S1330,2)="DI",HLOOKUP(S1330,DADOS!$T$29:$X$30,2,FALSE),0)),4),"")</f>
        <v>0.25</v>
      </c>
      <c r="AB1330" s="2"/>
    </row>
    <row r="1331" spans="1:28">
      <c r="A1331" t="str">
        <f t="shared" ref="A1331:A1343" si="1713">CHOOSE(1+LOG(1+2*(J1331=$C$2)+4*(J1331=$D$2)+8*(J1331=$E$2)+16*(J1331=$F$2)+32*(J1331=$G$2),2),0,1,2,3,4,"S")</f>
        <v>S</v>
      </c>
      <c r="B1331">
        <f t="shared" ref="B1331:B1343" si="1714">IF(OR(A1331="S",A1331=0),0,IF(ISERROR(I1331),H1331,SMALL(H1331:I1331,1)))</f>
        <v>0</v>
      </c>
      <c r="C1331">
        <f t="shared" ca="1" si="1699"/>
        <v>14</v>
      </c>
      <c r="D1331">
        <f t="shared" ca="1" si="1700"/>
        <v>8</v>
      </c>
      <c r="E1331">
        <f t="shared" ca="1" si="1701"/>
        <v>0</v>
      </c>
      <c r="F1331">
        <f t="shared" ca="1" si="1702"/>
        <v>0</v>
      </c>
      <c r="G1331">
        <f t="shared" ca="1" si="1703"/>
        <v>7</v>
      </c>
      <c r="H1331">
        <f ca="1">IF(OR($A1331="S",$A1331=0),0,MATCH(0,OFFSET($B1331,1,$A1331,ROW($A$1504)-ROW($A1331)),0))</f>
        <v>0</v>
      </c>
      <c r="I1331">
        <f ca="1">IF(OR($A1331="S",$A1331=0),0,MATCH(OFFSET($B1331,0,$A1331)+1,OFFSET($B1331,1,$A1331,ROW($A$1504)-ROW($A1331)),0))</f>
        <v>0</v>
      </c>
      <c r="J1331" s="132" t="s">
        <v>29</v>
      </c>
      <c r="K1331" s="121" t="str">
        <f t="shared" ref="K1331:K1343" ca="1" si="1715">IF($A1331=0,"-",CONCATENATE(C1331&amp;".",IF(AND($A$5&gt;=2,$A1331&gt;=2),D1331&amp;".",""),IF(AND($A$5&gt;=3,$A1331&gt;=3),E1331&amp;".",""),IF(AND($A$5&gt;=4,$A1331&gt;=4),F1331&amp;".",""),IF($A1331="S",G1331&amp;".","")))</f>
        <v>14.8.7.</v>
      </c>
      <c r="L1331" s="137" t="str">
        <f t="shared" ca="1" si="1705"/>
        <v>Cotação</v>
      </c>
      <c r="M1331" s="122" t="s">
        <v>80</v>
      </c>
      <c r="N1331" s="139" t="s">
        <v>152</v>
      </c>
      <c r="O1331" s="137" t="str">
        <f t="shared" ca="1" si="1712"/>
        <v>Carro de som com gravação de vinheta</v>
      </c>
      <c r="P1331" s="138" t="str">
        <f t="shared" ca="1" si="1706"/>
        <v>Horas</v>
      </c>
      <c r="Q1331" s="134">
        <v>2</v>
      </c>
      <c r="R1331" s="124">
        <f t="shared" ca="1" si="1707"/>
        <v>200</v>
      </c>
      <c r="S1331" s="136" t="s">
        <v>62</v>
      </c>
      <c r="T1331" s="123">
        <f t="shared" ca="1" si="1708"/>
        <v>250</v>
      </c>
      <c r="U1331" s="126">
        <f t="shared" ca="1" si="1709"/>
        <v>500</v>
      </c>
      <c r="V1331" s="1"/>
      <c r="W1331" s="39" t="str">
        <f ca="1">IF(OR($A1331=0,$A1331="S",$A1331&gt;CFF!$A$9),"",MAX(W$11:OFFSET(W1331,-1,0))+1)</f>
        <v/>
      </c>
      <c r="X1331" s="4" t="str">
        <f t="shared" si="1710"/>
        <v>Serv. Terc.-002</v>
      </c>
      <c r="Y1331" s="39">
        <f t="shared" ref="Y1331:Y1343" ca="1" si="1716">IF(X1331&lt;&gt;FALSE,MATCH(X1331,OFFSET(Banco,0,0,,1),0))</f>
        <v>82</v>
      </c>
      <c r="Z1331" s="1"/>
      <c r="AA1331" s="133">
        <f>IF($J1331=$G$2,ROUND(IF(ISNUMBER(S1331),S1331,IF(LEFT(S1331,2)="DI",HLOOKUP(S1331,DADOS!$T$29:$X$30,2,FALSE),0)),4),"")</f>
        <v>0.25</v>
      </c>
      <c r="AB1331" s="2"/>
    </row>
    <row r="1332" spans="1:28">
      <c r="A1332" t="str">
        <f t="shared" si="1713"/>
        <v>S</v>
      </c>
      <c r="B1332">
        <f t="shared" si="1714"/>
        <v>0</v>
      </c>
      <c r="C1332">
        <f t="shared" ca="1" si="1699"/>
        <v>14</v>
      </c>
      <c r="D1332">
        <f t="shared" ca="1" si="1700"/>
        <v>8</v>
      </c>
      <c r="E1332">
        <f t="shared" ca="1" si="1701"/>
        <v>0</v>
      </c>
      <c r="F1332">
        <f t="shared" ca="1" si="1702"/>
        <v>0</v>
      </c>
      <c r="G1332">
        <f t="shared" ca="1" si="1703"/>
        <v>8</v>
      </c>
      <c r="H1332">
        <f ca="1">IF(OR($A1332="S",$A1332=0),0,MATCH(0,OFFSET($B1332,1,$A1332,ROW($A$1504)-ROW($A1332)),0))</f>
        <v>0</v>
      </c>
      <c r="I1332">
        <f ca="1">IF(OR($A1332="S",$A1332=0),0,MATCH(OFFSET($B1332,0,$A1332)+1,OFFSET($B1332,1,$A1332,ROW($A$1504)-ROW($A1332)),0))</f>
        <v>0</v>
      </c>
      <c r="J1332" s="132" t="s">
        <v>29</v>
      </c>
      <c r="K1332" s="121" t="str">
        <f t="shared" ca="1" si="1715"/>
        <v>14.8.8.</v>
      </c>
      <c r="L1332" s="137" t="str">
        <f t="shared" ca="1" si="1705"/>
        <v>Cotação</v>
      </c>
      <c r="M1332" s="122" t="s">
        <v>80</v>
      </c>
      <c r="N1332" s="139" t="s">
        <v>154</v>
      </c>
      <c r="O1332" s="137" t="str">
        <f t="shared" ca="1" si="1712"/>
        <v>Locação de caixa térmica</v>
      </c>
      <c r="P1332" s="138" t="str">
        <f t="shared" ca="1" si="1706"/>
        <v>Unidade</v>
      </c>
      <c r="Q1332" s="134">
        <v>2</v>
      </c>
      <c r="R1332" s="124">
        <f t="shared" ca="1" si="1707"/>
        <v>40</v>
      </c>
      <c r="S1332" s="136" t="s">
        <v>62</v>
      </c>
      <c r="T1332" s="123">
        <f t="shared" ca="1" si="1708"/>
        <v>50</v>
      </c>
      <c r="U1332" s="126">
        <f t="shared" ca="1" si="1709"/>
        <v>100</v>
      </c>
      <c r="V1332" s="1"/>
      <c r="W1332" s="39" t="str">
        <f ca="1">IF(OR($A1332=0,$A1332="S",$A1332&gt;CFF!$A$9),"",MAX(W$11:OFFSET(W1332,-1,0))+1)</f>
        <v/>
      </c>
      <c r="X1332" s="4" t="str">
        <f t="shared" si="1710"/>
        <v>Serv. Terc.-005</v>
      </c>
      <c r="Y1332" s="39">
        <f t="shared" ca="1" si="1716"/>
        <v>85</v>
      </c>
      <c r="Z1332" s="1"/>
      <c r="AA1332" s="133">
        <f>IF($J1332=$G$2,ROUND(IF(ISNUMBER(S1332),S1332,IF(LEFT(S1332,2)="DI",HLOOKUP(S1332,DADOS!$T$29:$X$30,2,FALSE),0)),4),"")</f>
        <v>0.25</v>
      </c>
      <c r="AB1332" s="2"/>
    </row>
    <row r="1333" spans="1:28">
      <c r="A1333" t="str">
        <f t="shared" si="1713"/>
        <v>S</v>
      </c>
      <c r="B1333">
        <f t="shared" si="1714"/>
        <v>0</v>
      </c>
      <c r="C1333">
        <f t="shared" ref="C1333:C1357" ca="1" si="1717">IF($A1333=1,OFFSET(C1333,-1,0)+1,OFFSET(C1333,-1,0))</f>
        <v>14</v>
      </c>
      <c r="D1333">
        <f t="shared" ref="D1333:D1357" ca="1" si="1718">IF($A1333=1,0,IF($A1333=2,OFFSET(D1333,-1,0)+1,OFFSET(D1333,-1,0)))</f>
        <v>8</v>
      </c>
      <c r="E1333">
        <f t="shared" ref="E1333:E1357" ca="1" si="1719">IF(AND($A1333&lt;=2,$A1333&lt;&gt;0),0,IF($A1333=3,OFFSET(E1333,-1,0)+1,OFFSET(E1333,-1,0)))</f>
        <v>0</v>
      </c>
      <c r="F1333">
        <f t="shared" ref="F1333:F1357" ca="1" si="1720">IF(AND($A1333&lt;=3,$A1333&lt;&gt;0),0,IF($A1333=4,OFFSET(F1333,-1,0)+1,OFFSET(F1333,-1,0)))</f>
        <v>0</v>
      </c>
      <c r="G1333">
        <f t="shared" ref="G1333:G1357" ca="1" si="1721">IF(AND($A1333&lt;=4,$A1333&lt;&gt;0),0,IF($A1333="S",OFFSET(G1333,-1,0)+1,OFFSET(G1333,-1,0)))</f>
        <v>9</v>
      </c>
      <c r="H1333">
        <f ca="1">IF(OR($A1333="S",$A1333=0),0,MATCH(0,OFFSET($B1333,1,$A1333,ROW($A$1504)-ROW($A1333)),0))</f>
        <v>0</v>
      </c>
      <c r="I1333">
        <f ca="1">IF(OR($A1333="S",$A1333=0),0,MATCH(OFFSET($B1333,0,$A1333)+1,OFFSET($B1333,1,$A1333,ROW($A$1504)-ROW($A1333)),0))</f>
        <v>0</v>
      </c>
      <c r="J1333" s="132" t="s">
        <v>29</v>
      </c>
      <c r="K1333" s="121" t="str">
        <f t="shared" ca="1" si="1715"/>
        <v>14.8.9.</v>
      </c>
      <c r="L1333" s="137" t="str">
        <f t="shared" ref="L1333:L1357" ca="1" si="1722">IF(NOT(ISERROR($Y1333)),IF($Y1333&lt;&gt;FALSE,INDEX(Banco,$Y1333,4),""),"")</f>
        <v>Cotação</v>
      </c>
      <c r="M1333" s="122" t="s">
        <v>80</v>
      </c>
      <c r="N1333" s="139" t="s">
        <v>157</v>
      </c>
      <c r="O1333" s="137" t="str">
        <f t="shared" ca="1" si="1712"/>
        <v>Locação de pula-pula com monitor</v>
      </c>
      <c r="P1333" s="138" t="str">
        <f t="shared" ref="P1333:P1357" ca="1" si="1723">IF(NOT(ISERROR($Y1333)),IF($Y1333&lt;&gt;FALSE,INDEX(Banco,$Y1333,6),""),"")</f>
        <v>Unidade</v>
      </c>
      <c r="Q1333" s="134">
        <v>2</v>
      </c>
      <c r="R1333" s="124">
        <f t="shared" ref="R1333:R1357" ca="1" si="1724">IF(NOT(ISERROR($Y1333)),IF($Y1333&lt;&gt;FALSE,INDEX(Banco,$Y1333,7),0),0)</f>
        <v>220</v>
      </c>
      <c r="S1333" s="136" t="s">
        <v>62</v>
      </c>
      <c r="T1333" s="123">
        <f t="shared" ref="T1333:T1357" ca="1" si="1725">IF($J1333=$G$2,ROUND(ROUND($R1333,2)*IF($R$9="Preço Unitário (R$)",1,1+$AA1333),2),0)</f>
        <v>275</v>
      </c>
      <c r="U1333" s="126">
        <f t="shared" ref="U1333:U1357" ca="1" si="1726">IF($A1333="S",VTOTAL1,IF($A1333=0,0,ROUND(SomaAgrup,2)))</f>
        <v>550</v>
      </c>
      <c r="V1333" s="1"/>
      <c r="W1333" s="39" t="str">
        <f ca="1">IF(OR($A1333=0,$A1333="S",$A1333&gt;CFF!$A$9),"",MAX(W$11:OFFSET(W1333,-1,0))+1)</f>
        <v/>
      </c>
      <c r="X1333" s="4" t="str">
        <f t="shared" ref="X1333:X1357" si="1727">IF(AND($J1333=$G$2,$N1333&lt;&gt;"",$M1333&lt;&gt;""),CONCATENATE($M1333,"-",$N1333))</f>
        <v>Serv. Terc.-008</v>
      </c>
      <c r="Y1333" s="39">
        <f t="shared" ca="1" si="1716"/>
        <v>88</v>
      </c>
      <c r="Z1333" s="1"/>
      <c r="AA1333" s="133">
        <f>IF($J1333=$G$2,ROUND(IF(ISNUMBER(S1333),S1333,IF(LEFT(S1333,2)="DI",HLOOKUP(S1333,DADOS!$T$29:$X$30,2,FALSE),0)),4),"")</f>
        <v>0.25</v>
      </c>
      <c r="AB1333" s="2"/>
    </row>
    <row r="1334" spans="1:28">
      <c r="A1334" t="str">
        <f t="shared" si="1713"/>
        <v>S</v>
      </c>
      <c r="B1334">
        <f t="shared" si="1714"/>
        <v>0</v>
      </c>
      <c r="C1334">
        <f t="shared" ca="1" si="1717"/>
        <v>14</v>
      </c>
      <c r="D1334">
        <f t="shared" ca="1" si="1718"/>
        <v>8</v>
      </c>
      <c r="E1334">
        <f t="shared" ca="1" si="1719"/>
        <v>0</v>
      </c>
      <c r="F1334">
        <f t="shared" ca="1" si="1720"/>
        <v>0</v>
      </c>
      <c r="G1334">
        <f t="shared" ca="1" si="1721"/>
        <v>10</v>
      </c>
      <c r="H1334">
        <f ca="1">IF(OR($A1334="S",$A1334=0),0,MATCH(0,OFFSET($B1334,1,$A1334,ROW($A$1504)-ROW($A1334)),0))</f>
        <v>0</v>
      </c>
      <c r="I1334">
        <f ca="1">IF(OR($A1334="S",$A1334=0),0,MATCH(OFFSET($B1334,0,$A1334)+1,OFFSET($B1334,1,$A1334,ROW($A$1504)-ROW($A1334)),0))</f>
        <v>0</v>
      </c>
      <c r="J1334" s="132" t="s">
        <v>29</v>
      </c>
      <c r="K1334" s="121" t="str">
        <f t="shared" ca="1" si="1715"/>
        <v>14.8.10.</v>
      </c>
      <c r="L1334" s="137" t="str">
        <f t="shared" ca="1" si="1722"/>
        <v xml:space="preserve">Cotação </v>
      </c>
      <c r="M1334" s="122" t="s">
        <v>80</v>
      </c>
      <c r="N1334" s="139" t="s">
        <v>160</v>
      </c>
      <c r="O1334" s="137" t="str">
        <f t="shared" ca="1" si="1712"/>
        <v>Barra de gelo</v>
      </c>
      <c r="P1334" s="138" t="str">
        <f t="shared" ca="1" si="1723"/>
        <v>Unidade</v>
      </c>
      <c r="Q1334" s="134">
        <v>4</v>
      </c>
      <c r="R1334" s="124">
        <f t="shared" ca="1" si="1724"/>
        <v>12</v>
      </c>
      <c r="S1334" s="136" t="s">
        <v>62</v>
      </c>
      <c r="T1334" s="123">
        <f t="shared" ca="1" si="1725"/>
        <v>15</v>
      </c>
      <c r="U1334" s="126">
        <f t="shared" ca="1" si="1726"/>
        <v>60</v>
      </c>
      <c r="V1334" s="1"/>
      <c r="W1334" s="39" t="str">
        <f ca="1">IF(OR($A1334=0,$A1334="S",$A1334&gt;CFF!$A$9),"",MAX(W$11:OFFSET(W1334,-1,0))+1)</f>
        <v/>
      </c>
      <c r="X1334" s="4" t="str">
        <f t="shared" si="1727"/>
        <v>Serv. Terc.-011</v>
      </c>
      <c r="Y1334" s="39">
        <f t="shared" ca="1" si="1716"/>
        <v>91</v>
      </c>
      <c r="Z1334" s="1"/>
      <c r="AA1334" s="133">
        <f>IF($J1334=$G$2,ROUND(IF(ISNUMBER(S1334),S1334,IF(LEFT(S1334,2)="DI",HLOOKUP(S1334,DADOS!$T$29:$X$30,2,FALSE),0)),4),"")</f>
        <v>0.25</v>
      </c>
      <c r="AB1334" s="2"/>
    </row>
    <row r="1335" spans="1:28">
      <c r="A1335" t="str">
        <f t="shared" si="1713"/>
        <v>S</v>
      </c>
      <c r="B1335">
        <f t="shared" si="1714"/>
        <v>0</v>
      </c>
      <c r="C1335">
        <f t="shared" ca="1" si="1717"/>
        <v>14</v>
      </c>
      <c r="D1335">
        <f t="shared" ca="1" si="1718"/>
        <v>8</v>
      </c>
      <c r="E1335">
        <f t="shared" ca="1" si="1719"/>
        <v>0</v>
      </c>
      <c r="F1335">
        <f t="shared" ca="1" si="1720"/>
        <v>0</v>
      </c>
      <c r="G1335">
        <f t="shared" ca="1" si="1721"/>
        <v>11</v>
      </c>
      <c r="H1335">
        <f ca="1">IF(OR($A1335="S",$A1335=0),0,MATCH(0,OFFSET($B1335,1,$A1335,ROW($A$1504)-ROW($A1335)),0))</f>
        <v>0</v>
      </c>
      <c r="I1335">
        <f ca="1">IF(OR($A1335="S",$A1335=0),0,MATCH(OFFSET($B1335,0,$A1335)+1,OFFSET($B1335,1,$A1335,ROW($A$1504)-ROW($A1335)),0))</f>
        <v>0</v>
      </c>
      <c r="J1335" s="132" t="s">
        <v>29</v>
      </c>
      <c r="K1335" s="121" t="str">
        <f t="shared" ca="1" si="1715"/>
        <v>14.8.11.</v>
      </c>
      <c r="L1335" s="137" t="str">
        <f t="shared" ca="1" si="1722"/>
        <v>Cotação</v>
      </c>
      <c r="M1335" s="122" t="s">
        <v>80</v>
      </c>
      <c r="N1335" s="139" t="s">
        <v>150</v>
      </c>
      <c r="O1335" s="137" t="str">
        <f t="shared" ca="1" si="1712"/>
        <v>Sucos</v>
      </c>
      <c r="P1335" s="138" t="str">
        <f t="shared" ca="1" si="1723"/>
        <v>Unidade</v>
      </c>
      <c r="Q1335" s="134">
        <v>12</v>
      </c>
      <c r="R1335" s="124">
        <f t="shared" ca="1" si="1724"/>
        <v>6.4</v>
      </c>
      <c r="S1335" s="136" t="s">
        <v>62</v>
      </c>
      <c r="T1335" s="123">
        <f t="shared" ca="1" si="1725"/>
        <v>8</v>
      </c>
      <c r="U1335" s="126">
        <f t="shared" ca="1" si="1726"/>
        <v>96</v>
      </c>
      <c r="V1335" s="1"/>
      <c r="W1335" s="39" t="str">
        <f ca="1">IF(OR($A1335=0,$A1335="S",$A1335&gt;CFF!$A$9),"",MAX(W$11:OFFSET(W1335,-1,0))+1)</f>
        <v/>
      </c>
      <c r="X1335" s="4" t="str">
        <f t="shared" si="1727"/>
        <v>Serv. Terc.-013</v>
      </c>
      <c r="Y1335" s="39">
        <f t="shared" ca="1" si="1716"/>
        <v>93</v>
      </c>
      <c r="Z1335" s="1"/>
      <c r="AA1335" s="133">
        <f>IF($J1335=$G$2,ROUND(IF(ISNUMBER(S1335),S1335,IF(LEFT(S1335,2)="DI",HLOOKUP(S1335,DADOS!$T$29:$X$30,2,FALSE),0)),4),"")</f>
        <v>0.25</v>
      </c>
      <c r="AB1335" s="2"/>
    </row>
    <row r="1336" spans="1:28">
      <c r="A1336" t="str">
        <f>CHOOSE(1+LOG(1+2*(J1336=$C$2)+4*(J1336=$D$2)+8*(J1336=$E$2)+16*(J1336=$F$2)+32*(J1336=$G$2),2),0,1,2,3,4,"S")</f>
        <v>S</v>
      </c>
      <c r="B1336">
        <f>IF(OR(A1336="S",A1336=0),0,IF(ISERROR(I1336),H1336,SMALL(H1336:I1336,1)))</f>
        <v>0</v>
      </c>
      <c r="C1336">
        <f t="shared" ca="1" si="1717"/>
        <v>14</v>
      </c>
      <c r="D1336">
        <f t="shared" ca="1" si="1718"/>
        <v>8</v>
      </c>
      <c r="E1336">
        <f t="shared" ca="1" si="1719"/>
        <v>0</v>
      </c>
      <c r="F1336">
        <f t="shared" ca="1" si="1720"/>
        <v>0</v>
      </c>
      <c r="G1336">
        <f t="shared" ca="1" si="1721"/>
        <v>12</v>
      </c>
      <c r="H1336">
        <f ca="1">IF(OR($A1336="S",$A1336=0),0,MATCH(0,OFFSET($B1336,1,$A1336,ROW($A$1504)-ROW($A1336)),0))</f>
        <v>0</v>
      </c>
      <c r="I1336">
        <f ca="1">IF(OR($A1336="S",$A1336=0),0,MATCH(OFFSET($B1336,0,$A1336)+1,OFFSET($B1336,1,$A1336,ROW($A$1504)-ROW($A1336)),0))</f>
        <v>0</v>
      </c>
      <c r="J1336" s="132" t="s">
        <v>29</v>
      </c>
      <c r="K1336" s="121" t="str">
        <f ca="1">IF($A1336=0,"-",CONCATENATE(C1336&amp;".",IF(AND($A$5&gt;=2,$A1336&gt;=2),D1336&amp;".",""),IF(AND($A$5&gt;=3,$A1336&gt;=3),E1336&amp;".",""),IF(AND($A$5&gt;=4,$A1336&gt;=4),F1336&amp;".",""),IF($A1336="S",G1336&amp;".","")))</f>
        <v>14.8.12.</v>
      </c>
      <c r="L1336" s="137" t="str">
        <f t="shared" ca="1" si="1722"/>
        <v>Cotação</v>
      </c>
      <c r="M1336" s="122" t="s">
        <v>80</v>
      </c>
      <c r="N1336" s="139" t="s">
        <v>171</v>
      </c>
      <c r="O1336" s="137" t="str">
        <f ca="1">IF(NOT(ISERROR($Y1336)),IF($Y1336&lt;&gt;FALSE,INDEX(Banco,$Y1336,5),""),"")</f>
        <v xml:space="preserve">Refrigerantes (02 litros) </v>
      </c>
      <c r="P1336" s="138" t="str">
        <f t="shared" ca="1" si="1723"/>
        <v>Unidade</v>
      </c>
      <c r="Q1336" s="134">
        <v>20</v>
      </c>
      <c r="R1336" s="124">
        <f t="shared" ca="1" si="1724"/>
        <v>6</v>
      </c>
      <c r="S1336" s="136" t="s">
        <v>62</v>
      </c>
      <c r="T1336" s="123">
        <f t="shared" ca="1" si="1725"/>
        <v>7.5</v>
      </c>
      <c r="U1336" s="126">
        <f t="shared" ca="1" si="1726"/>
        <v>150</v>
      </c>
      <c r="V1336" s="1"/>
      <c r="W1336" s="39" t="str">
        <f ca="1">IF(OR($A1336=0,$A1336="S",$A1336&gt;CFF!$A$9),"",MAX(W$11:OFFSET(W1336,-1,0))+1)</f>
        <v/>
      </c>
      <c r="X1336" s="4" t="str">
        <f t="shared" si="1727"/>
        <v>Serv. Terc.-027</v>
      </c>
      <c r="Y1336" s="39">
        <f ca="1">IF(X1336&lt;&gt;FALSE,MATCH(X1336,OFFSET(Banco,0,0,,1),0))</f>
        <v>107</v>
      </c>
      <c r="Z1336" s="1"/>
      <c r="AA1336" s="133">
        <f>IF($J1336=$G$2,ROUND(IF(ISNUMBER(S1336),S1336,IF(LEFT(S1336,2)="DI",HLOOKUP(S1336,DADOS!$T$29:$X$30,2,FALSE),0)),4),"")</f>
        <v>0.25</v>
      </c>
      <c r="AB1336" s="2"/>
    </row>
    <row r="1337" spans="1:28">
      <c r="A1337" t="str">
        <f t="shared" si="1713"/>
        <v>S</v>
      </c>
      <c r="B1337">
        <f t="shared" si="1714"/>
        <v>0</v>
      </c>
      <c r="C1337">
        <f t="shared" ca="1" si="1717"/>
        <v>14</v>
      </c>
      <c r="D1337">
        <f t="shared" ca="1" si="1718"/>
        <v>8</v>
      </c>
      <c r="E1337">
        <f t="shared" ca="1" si="1719"/>
        <v>0</v>
      </c>
      <c r="F1337">
        <f t="shared" ca="1" si="1720"/>
        <v>0</v>
      </c>
      <c r="G1337">
        <f t="shared" ca="1" si="1721"/>
        <v>13</v>
      </c>
      <c r="H1337">
        <f ca="1">IF(OR($A1337="S",$A1337=0),0,MATCH(0,OFFSET($B1337,1,$A1337,ROW($A$1504)-ROW($A1337)),0))</f>
        <v>0</v>
      </c>
      <c r="I1337">
        <f ca="1">IF(OR($A1337="S",$A1337=0),0,MATCH(OFFSET($B1337,0,$A1337)+1,OFFSET($B1337,1,$A1337,ROW($A$1504)-ROW($A1337)),0))</f>
        <v>0</v>
      </c>
      <c r="J1337" s="132" t="s">
        <v>29</v>
      </c>
      <c r="K1337" s="121" t="str">
        <f t="shared" ca="1" si="1715"/>
        <v>14.8.13.</v>
      </c>
      <c r="L1337" s="137" t="str">
        <f t="shared" ca="1" si="1722"/>
        <v xml:space="preserve">Cotação </v>
      </c>
      <c r="M1337" s="122" t="s">
        <v>80</v>
      </c>
      <c r="N1337" s="139" t="s">
        <v>159</v>
      </c>
      <c r="O1337" s="137" t="str">
        <f t="shared" ca="1" si="1712"/>
        <v>Brindes ( descrição nos orçamentos e PTS)</v>
      </c>
      <c r="P1337" s="138" t="str">
        <f t="shared" ca="1" si="1723"/>
        <v>Unidade</v>
      </c>
      <c r="Q1337" s="134">
        <v>4</v>
      </c>
      <c r="R1337" s="124">
        <f t="shared" ca="1" si="1724"/>
        <v>120</v>
      </c>
      <c r="S1337" s="136" t="s">
        <v>62</v>
      </c>
      <c r="T1337" s="123">
        <f t="shared" ca="1" si="1725"/>
        <v>150</v>
      </c>
      <c r="U1337" s="126">
        <f t="shared" ca="1" si="1726"/>
        <v>600</v>
      </c>
      <c r="V1337" s="1"/>
      <c r="W1337" s="39" t="str">
        <f ca="1">IF(OR($A1337=0,$A1337="S",$A1337&gt;CFF!$A$9),"",MAX(W$11:OFFSET(W1337,-1,0))+1)</f>
        <v/>
      </c>
      <c r="X1337" s="4" t="str">
        <f t="shared" si="1727"/>
        <v>Serv. Terc.-010</v>
      </c>
      <c r="Y1337" s="39">
        <f t="shared" ca="1" si="1716"/>
        <v>90</v>
      </c>
      <c r="Z1337" s="1"/>
      <c r="AA1337" s="133">
        <f>IF($J1337=$G$2,ROUND(IF(ISNUMBER(S1337),S1337,IF(LEFT(S1337,2)="DI",HLOOKUP(S1337,DADOS!$T$29:$X$30,2,FALSE),0)),4),"")</f>
        <v>0.25</v>
      </c>
      <c r="AB1337" s="2"/>
    </row>
    <row r="1338" spans="1:28">
      <c r="A1338" t="str">
        <f t="shared" si="1713"/>
        <v>S</v>
      </c>
      <c r="B1338">
        <f t="shared" si="1714"/>
        <v>0</v>
      </c>
      <c r="C1338">
        <f t="shared" ca="1" si="1717"/>
        <v>14</v>
      </c>
      <c r="D1338">
        <f t="shared" ca="1" si="1718"/>
        <v>8</v>
      </c>
      <c r="E1338">
        <f t="shared" ca="1" si="1719"/>
        <v>0</v>
      </c>
      <c r="F1338">
        <f t="shared" ca="1" si="1720"/>
        <v>0</v>
      </c>
      <c r="G1338">
        <f t="shared" ca="1" si="1721"/>
        <v>14</v>
      </c>
      <c r="H1338">
        <f ca="1">IF(OR($A1338="S",$A1338=0),0,MATCH(0,OFFSET($B1338,1,$A1338,ROW($A$1504)-ROW($A1338)),0))</f>
        <v>0</v>
      </c>
      <c r="I1338">
        <f ca="1">IF(OR($A1338="S",$A1338=0),0,MATCH(OFFSET($B1338,0,$A1338)+1,OFFSET($B1338,1,$A1338,ROW($A$1504)-ROW($A1338)),0))</f>
        <v>0</v>
      </c>
      <c r="J1338" s="132" t="s">
        <v>29</v>
      </c>
      <c r="K1338" s="121" t="str">
        <f t="shared" ca="1" si="1715"/>
        <v>14.8.14.</v>
      </c>
      <c r="L1338" s="137" t="str">
        <f t="shared" ca="1" si="1722"/>
        <v>Cotação</v>
      </c>
      <c r="M1338" s="122" t="s">
        <v>80</v>
      </c>
      <c r="N1338" s="139" t="s">
        <v>162</v>
      </c>
      <c r="O1338" s="137" t="str">
        <f t="shared" ca="1" si="1712"/>
        <v>Coffee break (salgados)</v>
      </c>
      <c r="P1338" s="138" t="str">
        <f t="shared" ca="1" si="1723"/>
        <v>Centro</v>
      </c>
      <c r="Q1338" s="134">
        <v>15</v>
      </c>
      <c r="R1338" s="124">
        <f t="shared" ca="1" si="1724"/>
        <v>65</v>
      </c>
      <c r="S1338" s="136" t="s">
        <v>62</v>
      </c>
      <c r="T1338" s="123">
        <f t="shared" ca="1" si="1725"/>
        <v>81.25</v>
      </c>
      <c r="U1338" s="126">
        <f t="shared" ca="1" si="1726"/>
        <v>1218.75</v>
      </c>
      <c r="V1338" s="1"/>
      <c r="W1338" s="39" t="str">
        <f ca="1">IF(OR($A1338=0,$A1338="S",$A1338&gt;CFF!$A$9),"",MAX(W$11:OFFSET(W1338,-1,0))+1)</f>
        <v/>
      </c>
      <c r="X1338" s="4" t="str">
        <f t="shared" si="1727"/>
        <v>Serv. Terc.-015</v>
      </c>
      <c r="Y1338" s="39">
        <f t="shared" ca="1" si="1716"/>
        <v>95</v>
      </c>
      <c r="Z1338" s="1"/>
      <c r="AA1338" s="133">
        <f>IF($J1338=$G$2,ROUND(IF(ISNUMBER(S1338),S1338,IF(LEFT(S1338,2)="DI",HLOOKUP(S1338,DADOS!$T$29:$X$30,2,FALSE),0)),4),"")</f>
        <v>0.25</v>
      </c>
      <c r="AB1338" s="2"/>
    </row>
    <row r="1339" spans="1:28">
      <c r="A1339" t="str">
        <f>CHOOSE(1+LOG(1+2*(J1339=$C$2)+4*(J1339=$D$2)+8*(J1339=$E$2)+16*(J1339=$F$2)+32*(J1339=$G$2),2),0,1,2,3,4,"S")</f>
        <v>S</v>
      </c>
      <c r="B1339">
        <f>IF(OR(A1339="S",A1339=0),0,IF(ISERROR(I1339),H1339,SMALL(H1339:I1339,1)))</f>
        <v>0</v>
      </c>
      <c r="C1339">
        <f t="shared" ca="1" si="1717"/>
        <v>14</v>
      </c>
      <c r="D1339">
        <f t="shared" ca="1" si="1718"/>
        <v>8</v>
      </c>
      <c r="E1339">
        <f t="shared" ca="1" si="1719"/>
        <v>0</v>
      </c>
      <c r="F1339">
        <f t="shared" ca="1" si="1720"/>
        <v>0</v>
      </c>
      <c r="G1339">
        <f t="shared" ca="1" si="1721"/>
        <v>15</v>
      </c>
      <c r="H1339">
        <f ca="1">IF(OR($A1339="S",$A1339=0),0,MATCH(0,OFFSET($B1339,1,$A1339,ROW($A$1504)-ROW($A1339)),0))</f>
        <v>0</v>
      </c>
      <c r="I1339">
        <f ca="1">IF(OR($A1339="S",$A1339=0),0,MATCH(OFFSET($B1339,0,$A1339)+1,OFFSET($B1339,1,$A1339,ROW($A$1504)-ROW($A1339)),0))</f>
        <v>0</v>
      </c>
      <c r="J1339" s="132" t="s">
        <v>29</v>
      </c>
      <c r="K1339" s="121" t="str">
        <f ca="1">IF($A1339=0,"-",CONCATENATE(C1339&amp;".",IF(AND($A$5&gt;=2,$A1339&gt;=2),D1339&amp;".",""),IF(AND($A$5&gt;=3,$A1339&gt;=3),E1339&amp;".",""),IF(AND($A$5&gt;=4,$A1339&gt;=4),F1339&amp;".",""),IF($A1339="S",G1339&amp;".","")))</f>
        <v>14.8.15.</v>
      </c>
      <c r="L1339" s="137" t="str">
        <f t="shared" ca="1" si="1722"/>
        <v>SINCON/MT</v>
      </c>
      <c r="M1339" s="122" t="s">
        <v>80</v>
      </c>
      <c r="N1339" s="139" t="s">
        <v>277</v>
      </c>
      <c r="O1339" s="137" t="str">
        <f ca="1">IF(NOT(ISERROR($Y1339)),IF($Y1339&lt;&gt;FALSE,INDEX(Banco,$Y1339,5),""),"")</f>
        <v>Economista</v>
      </c>
      <c r="P1339" s="138" t="str">
        <f t="shared" ca="1" si="1723"/>
        <v>Horas</v>
      </c>
      <c r="Q1339" s="134">
        <v>3</v>
      </c>
      <c r="R1339" s="124">
        <f t="shared" ca="1" si="1724"/>
        <v>350</v>
      </c>
      <c r="S1339" s="136" t="s">
        <v>62</v>
      </c>
      <c r="T1339" s="123">
        <f t="shared" ca="1" si="1725"/>
        <v>437.5</v>
      </c>
      <c r="U1339" s="126">
        <f t="shared" ca="1" si="1726"/>
        <v>1312.5</v>
      </c>
      <c r="V1339" s="1"/>
      <c r="W1339" s="39" t="str">
        <f ca="1">IF(OR($A1339=0,$A1339="S",$A1339&gt;CFF!$A$9),"",MAX(W$11:OFFSET(W1339,-1,0))+1)</f>
        <v/>
      </c>
      <c r="X1339" s="4" t="str">
        <f t="shared" si="1727"/>
        <v>Serv. Terc.-063</v>
      </c>
      <c r="Y1339" s="39">
        <f ca="1">IF(X1339&lt;&gt;FALSE,MATCH(X1339,OFFSET(Banco,0,0,,1),0))</f>
        <v>143</v>
      </c>
      <c r="Z1339" s="1"/>
      <c r="AA1339" s="133">
        <f>IF($J1339=$G$2,ROUND(IF(ISNUMBER(S1339),S1339,IF(LEFT(S1339,2)="DI",HLOOKUP(S1339,DADOS!$T$29:$X$30,2,FALSE),0)),4),"")</f>
        <v>0.25</v>
      </c>
      <c r="AB1339" s="2"/>
    </row>
    <row r="1340" spans="1:28">
      <c r="A1340" t="str">
        <f t="shared" si="1713"/>
        <v>S</v>
      </c>
      <c r="B1340">
        <f t="shared" si="1714"/>
        <v>0</v>
      </c>
      <c r="C1340">
        <f t="shared" ca="1" si="1717"/>
        <v>14</v>
      </c>
      <c r="D1340">
        <f t="shared" ca="1" si="1718"/>
        <v>8</v>
      </c>
      <c r="E1340">
        <f t="shared" ca="1" si="1719"/>
        <v>0</v>
      </c>
      <c r="F1340">
        <f t="shared" ca="1" si="1720"/>
        <v>0</v>
      </c>
      <c r="G1340">
        <f t="shared" ca="1" si="1721"/>
        <v>16</v>
      </c>
      <c r="H1340">
        <f ca="1">IF(OR($A1340="S",$A1340=0),0,MATCH(0,OFFSET($B1340,1,$A1340,ROW($A$1504)-ROW($A1340)),0))</f>
        <v>0</v>
      </c>
      <c r="I1340">
        <f ca="1">IF(OR($A1340="S",$A1340=0),0,MATCH(OFFSET($B1340,0,$A1340)+1,OFFSET($B1340,1,$A1340,ROW($A$1504)-ROW($A1340)),0))</f>
        <v>0</v>
      </c>
      <c r="J1340" s="132" t="s">
        <v>29</v>
      </c>
      <c r="K1340" s="121" t="str">
        <f t="shared" ca="1" si="1715"/>
        <v>14.8.16.</v>
      </c>
      <c r="L1340" s="137" t="str">
        <f t="shared" ca="1" si="1722"/>
        <v>Cotação</v>
      </c>
      <c r="M1340" s="122" t="s">
        <v>79</v>
      </c>
      <c r="N1340" s="139" t="s">
        <v>163</v>
      </c>
      <c r="O1340" s="137" t="str">
        <f t="shared" ca="1" si="1712"/>
        <v>Guloseimas (balas e pirulito)</v>
      </c>
      <c r="P1340" s="138" t="str">
        <f t="shared" ca="1" si="1723"/>
        <v>Pacote</v>
      </c>
      <c r="Q1340" s="134">
        <v>4</v>
      </c>
      <c r="R1340" s="124">
        <f t="shared" ca="1" si="1724"/>
        <v>12</v>
      </c>
      <c r="S1340" s="136" t="s">
        <v>62</v>
      </c>
      <c r="T1340" s="123">
        <f t="shared" ca="1" si="1725"/>
        <v>15</v>
      </c>
      <c r="U1340" s="126">
        <f t="shared" ca="1" si="1726"/>
        <v>60</v>
      </c>
      <c r="V1340" s="1"/>
      <c r="W1340" s="39" t="str">
        <f ca="1">IF(OR($A1340=0,$A1340="S",$A1340&gt;CFF!$A$9),"",MAX(W$11:OFFSET(W1340,-1,0))+1)</f>
        <v/>
      </c>
      <c r="X1340" s="4" t="str">
        <f t="shared" si="1727"/>
        <v>Rec. Materiais-020</v>
      </c>
      <c r="Y1340" s="39">
        <f t="shared" ca="1" si="1716"/>
        <v>29</v>
      </c>
      <c r="Z1340" s="1"/>
      <c r="AA1340" s="133">
        <f>IF($J1340=$G$2,ROUND(IF(ISNUMBER(S1340),S1340,IF(LEFT(S1340,2)="DI",HLOOKUP(S1340,DADOS!$T$29:$X$30,2,FALSE),0)),4),"")</f>
        <v>0.25</v>
      </c>
      <c r="AB1340" s="2"/>
    </row>
    <row r="1341" spans="1:28">
      <c r="A1341" t="str">
        <f t="shared" si="1713"/>
        <v>S</v>
      </c>
      <c r="B1341">
        <f t="shared" si="1714"/>
        <v>0</v>
      </c>
      <c r="C1341">
        <f t="shared" ca="1" si="1717"/>
        <v>14</v>
      </c>
      <c r="D1341">
        <f t="shared" ca="1" si="1718"/>
        <v>8</v>
      </c>
      <c r="E1341">
        <f t="shared" ca="1" si="1719"/>
        <v>0</v>
      </c>
      <c r="F1341">
        <f t="shared" ca="1" si="1720"/>
        <v>0</v>
      </c>
      <c r="G1341">
        <f t="shared" ca="1" si="1721"/>
        <v>17</v>
      </c>
      <c r="H1341">
        <f ca="1">IF(OR($A1341="S",$A1341=0),0,MATCH(0,OFFSET($B1341,1,$A1341,ROW($A$1504)-ROW($A1341)),0))</f>
        <v>0</v>
      </c>
      <c r="I1341">
        <f ca="1">IF(OR($A1341="S",$A1341=0),0,MATCH(OFFSET($B1341,0,$A1341)+1,OFFSET($B1341,1,$A1341,ROW($A$1504)-ROW($A1341)),0))</f>
        <v>0</v>
      </c>
      <c r="J1341" s="132" t="s">
        <v>29</v>
      </c>
      <c r="K1341" s="121" t="str">
        <f t="shared" ca="1" si="1715"/>
        <v>14.8.17.</v>
      </c>
      <c r="L1341" s="137" t="str">
        <f t="shared" ca="1" si="1722"/>
        <v>Cotação</v>
      </c>
      <c r="M1341" s="122" t="s">
        <v>79</v>
      </c>
      <c r="N1341" s="139" t="s">
        <v>165</v>
      </c>
      <c r="O1341" s="137" t="str">
        <f t="shared" ca="1" si="1712"/>
        <v>Papel de presente</v>
      </c>
      <c r="P1341" s="138" t="str">
        <f t="shared" ca="1" si="1723"/>
        <v>Folhas</v>
      </c>
      <c r="Q1341" s="134">
        <v>8</v>
      </c>
      <c r="R1341" s="124">
        <f t="shared" ca="1" si="1724"/>
        <v>1.5</v>
      </c>
      <c r="S1341" s="136" t="s">
        <v>62</v>
      </c>
      <c r="T1341" s="123">
        <f t="shared" ca="1" si="1725"/>
        <v>1.88</v>
      </c>
      <c r="U1341" s="126">
        <f t="shared" ca="1" si="1726"/>
        <v>15.04</v>
      </c>
      <c r="V1341" s="1"/>
      <c r="W1341" s="39" t="str">
        <f ca="1">IF(OR($A1341=0,$A1341="S",$A1341&gt;CFF!$A$9),"",MAX(W$11:OFFSET(W1341,-1,0))+1)</f>
        <v/>
      </c>
      <c r="X1341" s="4" t="str">
        <f t="shared" si="1727"/>
        <v>Rec. Materiais-021</v>
      </c>
      <c r="Y1341" s="39">
        <f t="shared" ca="1" si="1716"/>
        <v>30</v>
      </c>
      <c r="Z1341" s="1"/>
      <c r="AA1341" s="133">
        <f>IF($J1341=$G$2,ROUND(IF(ISNUMBER(S1341),S1341,IF(LEFT(S1341,2)="DI",HLOOKUP(S1341,DADOS!$T$29:$X$30,2,FALSE),0)),4),"")</f>
        <v>0.25</v>
      </c>
      <c r="AB1341" s="2"/>
    </row>
    <row r="1342" spans="1:28">
      <c r="A1342" t="str">
        <f t="shared" si="1713"/>
        <v>S</v>
      </c>
      <c r="B1342">
        <f t="shared" si="1714"/>
        <v>0</v>
      </c>
      <c r="C1342">
        <f t="shared" ca="1" si="1717"/>
        <v>14</v>
      </c>
      <c r="D1342">
        <f t="shared" ca="1" si="1718"/>
        <v>8</v>
      </c>
      <c r="E1342">
        <f t="shared" ca="1" si="1719"/>
        <v>0</v>
      </c>
      <c r="F1342">
        <f t="shared" ca="1" si="1720"/>
        <v>0</v>
      </c>
      <c r="G1342">
        <f t="shared" ca="1" si="1721"/>
        <v>18</v>
      </c>
      <c r="H1342">
        <f ca="1">IF(OR($A1342="S",$A1342=0),0,MATCH(0,OFFSET($B1342,1,$A1342,ROW($A$1504)-ROW($A1342)),0))</f>
        <v>0</v>
      </c>
      <c r="I1342">
        <f ca="1">IF(OR($A1342="S",$A1342=0),0,MATCH(OFFSET($B1342,0,$A1342)+1,OFFSET($B1342,1,$A1342,ROW($A$1504)-ROW($A1342)),0))</f>
        <v>0</v>
      </c>
      <c r="J1342" s="132" t="s">
        <v>29</v>
      </c>
      <c r="K1342" s="121" t="str">
        <f t="shared" ca="1" si="1715"/>
        <v>14.8.18.</v>
      </c>
      <c r="L1342" s="137" t="str">
        <f t="shared" ca="1" si="1722"/>
        <v>Cotação</v>
      </c>
      <c r="M1342" s="122" t="s">
        <v>79</v>
      </c>
      <c r="N1342" s="139" t="s">
        <v>170</v>
      </c>
      <c r="O1342" s="137" t="str">
        <f t="shared" ca="1" si="1712"/>
        <v>Saco de lixo (100 litros)</v>
      </c>
      <c r="P1342" s="138" t="str">
        <f t="shared" ca="1" si="1723"/>
        <v>Pacote</v>
      </c>
      <c r="Q1342" s="134">
        <v>2</v>
      </c>
      <c r="R1342" s="124">
        <f t="shared" ca="1" si="1724"/>
        <v>15</v>
      </c>
      <c r="S1342" s="136" t="s">
        <v>62</v>
      </c>
      <c r="T1342" s="123">
        <f t="shared" ca="1" si="1725"/>
        <v>18.75</v>
      </c>
      <c r="U1342" s="126">
        <f t="shared" ca="1" si="1726"/>
        <v>37.5</v>
      </c>
      <c r="V1342" s="1"/>
      <c r="W1342" s="39" t="str">
        <f ca="1">IF(OR($A1342=0,$A1342="S",$A1342&gt;CFF!$A$9),"",MAX(W$11:OFFSET(W1342,-1,0))+1)</f>
        <v/>
      </c>
      <c r="X1342" s="4" t="str">
        <f t="shared" si="1727"/>
        <v>Rec. Materiais-026</v>
      </c>
      <c r="Y1342" s="39">
        <f t="shared" ca="1" si="1716"/>
        <v>35</v>
      </c>
      <c r="Z1342" s="1"/>
      <c r="AA1342" s="133">
        <f>IF($J1342=$G$2,ROUND(IF(ISNUMBER(S1342),S1342,IF(LEFT(S1342,2)="DI",HLOOKUP(S1342,DADOS!$T$29:$X$30,2,FALSE),0)),4),"")</f>
        <v>0.25</v>
      </c>
      <c r="AB1342" s="2"/>
    </row>
    <row r="1343" spans="1:28">
      <c r="A1343" t="str">
        <f t="shared" si="1713"/>
        <v>S</v>
      </c>
      <c r="B1343">
        <f t="shared" si="1714"/>
        <v>0</v>
      </c>
      <c r="C1343">
        <f t="shared" ca="1" si="1717"/>
        <v>14</v>
      </c>
      <c r="D1343">
        <f t="shared" ca="1" si="1718"/>
        <v>8</v>
      </c>
      <c r="E1343">
        <f t="shared" ca="1" si="1719"/>
        <v>0</v>
      </c>
      <c r="F1343">
        <f t="shared" ca="1" si="1720"/>
        <v>0</v>
      </c>
      <c r="G1343">
        <f t="shared" ca="1" si="1721"/>
        <v>19</v>
      </c>
      <c r="H1343">
        <f ca="1">IF(OR($A1343="S",$A1343=0),0,MATCH(0,OFFSET($B1343,1,$A1343,ROW($A$1504)-ROW($A1343)),0))</f>
        <v>0</v>
      </c>
      <c r="I1343">
        <f ca="1">IF(OR($A1343="S",$A1343=0),0,MATCH(OFFSET($B1343,0,$A1343)+1,OFFSET($B1343,1,$A1343,ROW($A$1504)-ROW($A1343)),0))</f>
        <v>0</v>
      </c>
      <c r="J1343" s="132" t="s">
        <v>29</v>
      </c>
      <c r="K1343" s="121" t="str">
        <f t="shared" ca="1" si="1715"/>
        <v>14.8.19.</v>
      </c>
      <c r="L1343" s="137" t="str">
        <f t="shared" ca="1" si="1722"/>
        <v>Cotação</v>
      </c>
      <c r="M1343" s="122" t="s">
        <v>80</v>
      </c>
      <c r="N1343" s="139" t="s">
        <v>235</v>
      </c>
      <c r="O1343" s="137" t="str">
        <f t="shared" ca="1" si="1712"/>
        <v>Informativo sobre Educação Financeira/Orçamento Familiar</v>
      </c>
      <c r="P1343" s="138" t="str">
        <f t="shared" ca="1" si="1723"/>
        <v>Unidade</v>
      </c>
      <c r="Q1343" s="134">
        <v>206</v>
      </c>
      <c r="R1343" s="124">
        <f t="shared" ca="1" si="1724"/>
        <v>6</v>
      </c>
      <c r="S1343" s="136" t="s">
        <v>62</v>
      </c>
      <c r="T1343" s="123">
        <f t="shared" ca="1" si="1725"/>
        <v>7.5</v>
      </c>
      <c r="U1343" s="126">
        <f t="shared" ca="1" si="1726"/>
        <v>1545</v>
      </c>
      <c r="V1343" s="1"/>
      <c r="W1343" s="39" t="str">
        <f ca="1">IF(OR($A1343=0,$A1343="S",$A1343&gt;CFF!$A$9),"",MAX(W$11:OFFSET(W1343,-1,0))+1)</f>
        <v/>
      </c>
      <c r="X1343" s="4" t="str">
        <f t="shared" si="1727"/>
        <v>Serv. Terc.-079</v>
      </c>
      <c r="Y1343" s="39">
        <f t="shared" ca="1" si="1716"/>
        <v>159</v>
      </c>
      <c r="Z1343" s="1"/>
      <c r="AA1343" s="133">
        <f>IF($J1343=$G$2,ROUND(IF(ISNUMBER(S1343),S1343,IF(LEFT(S1343,2)="DI",HLOOKUP(S1343,DADOS!$T$29:$X$30,2,FALSE),0)),4),"")</f>
        <v>0.25</v>
      </c>
      <c r="AB1343" s="2"/>
    </row>
    <row r="1344" spans="1:28">
      <c r="A1344">
        <f>CHOOSE(1+LOG(1+2*(J1344=$C$2)+4*(J1344=$D$2)+8*(J1344=$E$2)+16*(J1344=$F$2)+32*(J1344=$G$2),2),0,1,2,3,4,"S")</f>
        <v>1</v>
      </c>
      <c r="B1344">
        <f ca="1">IF(OR(A1344="S",A1344=0),0,IF(ISERROR(I1344),H1344,SMALL(H1344:I1344,1)))</f>
        <v>69</v>
      </c>
      <c r="C1344">
        <f ca="1">IF($A1344=1,OFFSET(C1344,-1,0)+1,OFFSET(C1344,-1,0))</f>
        <v>15</v>
      </c>
      <c r="D1344">
        <f ca="1">IF($A1344=1,0,IF($A1344=2,OFFSET(D1344,-1,0)+1,OFFSET(D1344,-1,0)))</f>
        <v>0</v>
      </c>
      <c r="E1344">
        <f ca="1">IF(AND($A1344&lt;=2,$A1344&lt;&gt;0),0,IF($A1344=3,OFFSET(E1344,-1,0)+1,OFFSET(E1344,-1,0)))</f>
        <v>0</v>
      </c>
      <c r="F1344">
        <f ca="1">IF(AND($A1344&lt;=3,$A1344&lt;&gt;0),0,IF($A1344=4,OFFSET(F1344,-1,0)+1,OFFSET(F1344,-1,0)))</f>
        <v>0</v>
      </c>
      <c r="G1344">
        <f ca="1">IF(AND($A1344&lt;=4,$A1344&lt;&gt;0),0,IF($A1344="S",OFFSET(G1344,-1,0)+1,OFFSET(G1344,-1,0)))</f>
        <v>0</v>
      </c>
      <c r="H1344">
        <f ca="1">IF(OR($A1344="S",$A1344=0),0,MATCH(0,OFFSET($B1344,1,$A1344,ROW($A$1504)-ROW($A1344)),0))</f>
        <v>160</v>
      </c>
      <c r="I1344">
        <f ca="1">IF(OR($A1344="S",$A1344=0),0,MATCH(OFFSET($B1344,0,$A1344)+1,OFFSET($B1344,1,$A1344,ROW($A$1504)-ROW($A1344)),0))</f>
        <v>69</v>
      </c>
      <c r="J1344" s="132" t="s">
        <v>67</v>
      </c>
      <c r="K1344" s="121" t="str">
        <f ca="1">IF($A1344=0,"-",CONCATENATE(C1344&amp;".",IF(AND($A$5&gt;=2,$A1344&gt;=2),D1344&amp;".",""),IF(AND($A$5&gt;=3,$A1344&gt;=3),E1344&amp;".",""),IF(AND($A$5&gt;=4,$A1344&gt;=4),F1344&amp;".",""),IF($A1344="S",G1344&amp;".","")))</f>
        <v>15.</v>
      </c>
      <c r="L1344" s="137" t="str">
        <f ca="1">IF(NOT(ISERROR($Y1344)),IF($Y1344&lt;&gt;FALSE,INDEX(Banco,$Y1344,4),""),"")</f>
        <v/>
      </c>
      <c r="M1344" s="122"/>
      <c r="N1344" s="139"/>
      <c r="O1344" s="137" t="s">
        <v>343</v>
      </c>
      <c r="P1344" s="138" t="str">
        <f ca="1">IF(NOT(ISERROR($Y1344)),IF($Y1344&lt;&gt;FALSE,INDEX(Banco,$Y1344,6),""),"")</f>
        <v/>
      </c>
      <c r="Q1344" s="134"/>
      <c r="R1344" s="124">
        <f ca="1">IF(NOT(ISERROR($Y1344)),IF($Y1344&lt;&gt;FALSE,INDEX(Banco,$Y1344,7),0),0)</f>
        <v>0</v>
      </c>
      <c r="S1344" s="136" t="s">
        <v>62</v>
      </c>
      <c r="T1344" s="123">
        <f>IF($J1344=$G$2,ROUND(ROUND($R1344,2)*IF($R$9="Preço Unitário (R$)",1,1+$AA1344),2),0)</f>
        <v>0</v>
      </c>
      <c r="U1344" s="126">
        <f ca="1">IF($A1344="S",VTOTAL1,IF($A1344=0,0,ROUND(SomaAgrup,2)))</f>
        <v>36916.47</v>
      </c>
      <c r="V1344" s="1"/>
      <c r="W1344" s="39">
        <f ca="1">IF(OR($A1344=0,$A1344="S",$A1344&gt;CFF!$A$9),"",MAX(W$11:OFFSET(W1344,-1,0))+1)</f>
        <v>117</v>
      </c>
      <c r="X1344" s="4" t="b">
        <f>IF(AND($J1344=$G$2,$N1344&lt;&gt;"",$M1344&lt;&gt;""),CONCATENATE($M1344,"-",$N1344))</f>
        <v>0</v>
      </c>
      <c r="Y1344" s="39" t="b">
        <f ca="1">IF(X1344&lt;&gt;FALSE,MATCH(X1344,OFFSET(Banco,0,0,,1),0))</f>
        <v>0</v>
      </c>
      <c r="Z1344" s="1"/>
      <c r="AA1344" s="133" t="str">
        <f>IF($J1344=$G$2,ROUND(IF(ISNUMBER(S1344),S1344,IF(LEFT(S1344,2)="DI",HLOOKUP(S1344,DADOS!$T$29:$X$30,2,FALSE),0)),4),"")</f>
        <v/>
      </c>
      <c r="AB1344" s="2"/>
    </row>
    <row r="1345" spans="1:28" ht="25.5">
      <c r="A1345">
        <f>CHOOSE(1+LOG(1+2*(J1345=$C$2)+4*(J1345=$D$2)+8*(J1345=$E$2)+16*(J1345=$F$2)+32*(J1345=$G$2),2),0,1,2,3,4,"S")</f>
        <v>2</v>
      </c>
      <c r="B1345">
        <f ca="1">IF(OR(A1345="S",A1345=0),0,IF(ISERROR(I1345),H1345,SMALL(H1345:I1345,1)))</f>
        <v>24</v>
      </c>
      <c r="C1345">
        <f ca="1">IF($A1345=1,OFFSET(C1345,-1,0)+1,OFFSET(C1345,-1,0))</f>
        <v>15</v>
      </c>
      <c r="D1345">
        <f ca="1">IF($A1345=1,0,IF($A1345=2,OFFSET(D1345,-1,0)+1,OFFSET(D1345,-1,0)))</f>
        <v>1</v>
      </c>
      <c r="E1345">
        <f ca="1">IF(AND($A1345&lt;=2,$A1345&lt;&gt;0),0,IF($A1345=3,OFFSET(E1345,-1,0)+1,OFFSET(E1345,-1,0)))</f>
        <v>0</v>
      </c>
      <c r="F1345">
        <f ca="1">IF(AND($A1345&lt;=3,$A1345&lt;&gt;0),0,IF($A1345=4,OFFSET(F1345,-1,0)+1,OFFSET(F1345,-1,0)))</f>
        <v>0</v>
      </c>
      <c r="G1345">
        <f ca="1">IF(AND($A1345&lt;=4,$A1345&lt;&gt;0),0,IF($A1345="S",OFFSET(G1345,-1,0)+1,OFFSET(G1345,-1,0)))</f>
        <v>0</v>
      </c>
      <c r="H1345">
        <f ca="1">IF(OR($A1345="S",$A1345=0),0,MATCH(0,OFFSET($B1345,1,$A1345,ROW($A$1504)-ROW($A1345)),0))</f>
        <v>68</v>
      </c>
      <c r="I1345">
        <f ca="1">IF(OR($A1345="S",$A1345=0),0,MATCH(OFFSET($B1345,0,$A1345)+1,OFFSET($B1345,1,$A1345,ROW($A$1504)-ROW($A1345)),0))</f>
        <v>24</v>
      </c>
      <c r="J1345" s="132" t="s">
        <v>68</v>
      </c>
      <c r="K1345" s="121" t="str">
        <f ca="1">IF($A1345=0,"-",CONCATENATE(C1345&amp;".",IF(AND($A$5&gt;=2,$A1345&gt;=2),D1345&amp;".",""),IF(AND($A$5&gt;=3,$A1345&gt;=3),E1345&amp;".",""),IF(AND($A$5&gt;=4,$A1345&gt;=4),F1345&amp;".",""),IF($A1345="S",G1345&amp;".","")))</f>
        <v>15.1.</v>
      </c>
      <c r="L1345" s="137" t="str">
        <f ca="1">IF(NOT(ISERROR($Y1345)),IF($Y1345&lt;&gt;FALSE,INDEX(Banco,$Y1345,4),""),"")</f>
        <v/>
      </c>
      <c r="M1345" s="122"/>
      <c r="N1345" s="139"/>
      <c r="O1345" s="137" t="s">
        <v>444</v>
      </c>
      <c r="P1345" s="138" t="str">
        <f ca="1">IF(NOT(ISERROR($Y1345)),IF($Y1345&lt;&gt;FALSE,INDEX(Banco,$Y1345,6),""),"")</f>
        <v/>
      </c>
      <c r="Q1345" s="134"/>
      <c r="R1345" s="124">
        <f ca="1">IF(NOT(ISERROR($Y1345)),IF($Y1345&lt;&gt;FALSE,INDEX(Banco,$Y1345,7),0),0)</f>
        <v>0</v>
      </c>
      <c r="S1345" s="136" t="s">
        <v>62</v>
      </c>
      <c r="T1345" s="123">
        <f>IF($J1345=$G$2,ROUND(ROUND($R1345,2)*IF($R$9="Preço Unitário (R$)",1,1+$AA1345),2),0)</f>
        <v>0</v>
      </c>
      <c r="U1345" s="126">
        <f ca="1">IF($A1345="S",VTOTAL1,IF($A1345=0,0,ROUND(SomaAgrup,2)))</f>
        <v>14504.36</v>
      </c>
      <c r="V1345" s="1"/>
      <c r="W1345" s="39">
        <f ca="1">IF(OR($A1345=0,$A1345="S",$A1345&gt;CFF!$A$9),"",MAX(W$11:OFFSET(W1345,-1,0))+1)</f>
        <v>118</v>
      </c>
      <c r="X1345" s="4" t="b">
        <f>IF(AND($J1345=$G$2,$N1345&lt;&gt;"",$M1345&lt;&gt;""),CONCATENATE($M1345,"-",$N1345))</f>
        <v>0</v>
      </c>
      <c r="Y1345" s="39" t="b">
        <f ca="1">IF(X1345&lt;&gt;FALSE,MATCH(X1345,OFFSET(Banco,0,0,,1),0))</f>
        <v>0</v>
      </c>
      <c r="Z1345" s="1"/>
      <c r="AA1345" s="133" t="str">
        <f>IF($J1345=$G$2,ROUND(IF(ISNUMBER(S1345),S1345,IF(LEFT(S1345,2)="DI",HLOOKUP(S1345,DADOS!$T$29:$X$30,2,FALSE),0)),4),"")</f>
        <v/>
      </c>
      <c r="AB1345" s="2"/>
    </row>
    <row r="1346" spans="1:28">
      <c r="A1346" t="str">
        <f t="shared" ref="A1346:A1368" si="1728">CHOOSE(1+LOG(1+2*(J1346=$C$2)+4*(J1346=$D$2)+8*(J1346=$E$2)+16*(J1346=$F$2)+32*(J1346=$G$2),2),0,1,2,3,4,"S")</f>
        <v>S</v>
      </c>
      <c r="B1346">
        <f t="shared" ref="B1346:B1368" si="1729">IF(OR(A1346="S",A1346=0),0,IF(ISERROR(I1346),H1346,SMALL(H1346:I1346,1)))</f>
        <v>0</v>
      </c>
      <c r="C1346">
        <f t="shared" ca="1" si="1717"/>
        <v>15</v>
      </c>
      <c r="D1346">
        <f t="shared" ca="1" si="1718"/>
        <v>1</v>
      </c>
      <c r="E1346">
        <f t="shared" ca="1" si="1719"/>
        <v>0</v>
      </c>
      <c r="F1346">
        <f t="shared" ca="1" si="1720"/>
        <v>0</v>
      </c>
      <c r="G1346">
        <f t="shared" ca="1" si="1721"/>
        <v>1</v>
      </c>
      <c r="H1346">
        <f ca="1">IF(OR($A1346="S",$A1346=0),0,MATCH(0,OFFSET($B1346,1,$A1346,ROW($A$1504)-ROW($A1346)),0))</f>
        <v>0</v>
      </c>
      <c r="I1346">
        <f ca="1">IF(OR($A1346="S",$A1346=0),0,MATCH(OFFSET($B1346,0,$A1346)+1,OFFSET($B1346,1,$A1346,ROW($A$1504)-ROW($A1346)),0))</f>
        <v>0</v>
      </c>
      <c r="J1346" s="132" t="s">
        <v>29</v>
      </c>
      <c r="K1346" s="121" t="str">
        <f t="shared" ref="K1346:K1368" ca="1" si="1730">IF($A1346=0,"-",CONCATENATE(C1346&amp;".",IF(AND($A$5&gt;=2,$A1346&gt;=2),D1346&amp;".",""),IF(AND($A$5&gt;=3,$A1346&gt;=3),E1346&amp;".",""),IF(AND($A$5&gt;=4,$A1346&gt;=4),F1346&amp;".",""),IF($A1346="S",G1346&amp;".","")))</f>
        <v>15.1.1.</v>
      </c>
      <c r="L1346" s="137" t="str">
        <f t="shared" ca="1" si="1722"/>
        <v>CRESS</v>
      </c>
      <c r="M1346" s="122" t="s">
        <v>78</v>
      </c>
      <c r="N1346" s="139" t="s">
        <v>149</v>
      </c>
      <c r="O1346" s="137" t="str">
        <f t="shared" ref="O1346:O1368" ca="1" si="1731">IF(NOT(ISERROR($Y1346)),IF($Y1346&lt;&gt;FALSE,INDEX(Banco,$Y1346,5),""),"")</f>
        <v>Responsável Técnica</v>
      </c>
      <c r="P1346" s="138" t="str">
        <f t="shared" ca="1" si="1723"/>
        <v>Horas</v>
      </c>
      <c r="Q1346" s="134">
        <v>8</v>
      </c>
      <c r="R1346" s="124">
        <f t="shared" ca="1" si="1724"/>
        <v>150.28</v>
      </c>
      <c r="S1346" s="136" t="s">
        <v>62</v>
      </c>
      <c r="T1346" s="123">
        <f t="shared" ca="1" si="1725"/>
        <v>187.85</v>
      </c>
      <c r="U1346" s="126">
        <f t="shared" ca="1" si="1726"/>
        <v>1502.8</v>
      </c>
      <c r="V1346" s="1"/>
      <c r="W1346" s="39" t="str">
        <f ca="1">IF(OR($A1346=0,$A1346="S",$A1346&gt;CFF!$A$9),"",MAX(W$11:OFFSET(W1346,-1,0))+1)</f>
        <v/>
      </c>
      <c r="X1346" s="4" t="str">
        <f t="shared" si="1727"/>
        <v>Rec. Humanos-001</v>
      </c>
      <c r="Y1346" s="39">
        <f t="shared" ref="Y1346:Y1368" ca="1" si="1732">IF(X1346&lt;&gt;FALSE,MATCH(X1346,OFFSET(Banco,0,0,,1),0))</f>
        <v>3</v>
      </c>
      <c r="Z1346" s="1"/>
      <c r="AA1346" s="133">
        <f>IF($J1346=$G$2,ROUND(IF(ISNUMBER(S1346),S1346,IF(LEFT(S1346,2)="DI",HLOOKUP(S1346,DADOS!$T$29:$X$30,2,FALSE),0)),4),"")</f>
        <v>0.25</v>
      </c>
      <c r="AB1346" s="2"/>
    </row>
    <row r="1347" spans="1:28">
      <c r="A1347" t="str">
        <f t="shared" si="1728"/>
        <v>S</v>
      </c>
      <c r="B1347">
        <f t="shared" si="1729"/>
        <v>0</v>
      </c>
      <c r="C1347">
        <f t="shared" ca="1" si="1717"/>
        <v>15</v>
      </c>
      <c r="D1347">
        <f t="shared" ca="1" si="1718"/>
        <v>1</v>
      </c>
      <c r="E1347">
        <f t="shared" ca="1" si="1719"/>
        <v>0</v>
      </c>
      <c r="F1347">
        <f t="shared" ca="1" si="1720"/>
        <v>0</v>
      </c>
      <c r="G1347">
        <f t="shared" ca="1" si="1721"/>
        <v>2</v>
      </c>
      <c r="H1347">
        <f ca="1">IF(OR($A1347="S",$A1347=0),0,MATCH(0,OFFSET($B1347,1,$A1347,ROW($A$1504)-ROW($A1347)),0))</f>
        <v>0</v>
      </c>
      <c r="I1347">
        <f ca="1">IF(OR($A1347="S",$A1347=0),0,MATCH(OFFSET($B1347,0,$A1347)+1,OFFSET($B1347,1,$A1347,ROW($A$1504)-ROW($A1347)),0))</f>
        <v>0</v>
      </c>
      <c r="J1347" s="132" t="s">
        <v>29</v>
      </c>
      <c r="K1347" s="121" t="str">
        <f t="shared" ca="1" si="1730"/>
        <v>15.1.2.</v>
      </c>
      <c r="L1347" s="137" t="str">
        <f t="shared" ca="1" si="1722"/>
        <v>CRESS</v>
      </c>
      <c r="M1347" s="122" t="s">
        <v>78</v>
      </c>
      <c r="N1347" s="139" t="s">
        <v>152</v>
      </c>
      <c r="O1347" s="137" t="str">
        <f t="shared" ca="1" si="1731"/>
        <v>Assistente Social</v>
      </c>
      <c r="P1347" s="138" t="str">
        <f t="shared" ca="1" si="1723"/>
        <v>Horas</v>
      </c>
      <c r="Q1347" s="134">
        <v>6</v>
      </c>
      <c r="R1347" s="124">
        <f t="shared" ca="1" si="1724"/>
        <v>133.81</v>
      </c>
      <c r="S1347" s="136" t="s">
        <v>62</v>
      </c>
      <c r="T1347" s="123">
        <f t="shared" ca="1" si="1725"/>
        <v>167.26</v>
      </c>
      <c r="U1347" s="126">
        <f t="shared" ca="1" si="1726"/>
        <v>1003.56</v>
      </c>
      <c r="V1347" s="1"/>
      <c r="W1347" s="39" t="str">
        <f ca="1">IF(OR($A1347=0,$A1347="S",$A1347&gt;CFF!$A$9),"",MAX(W$11:OFFSET(W1347,-1,0))+1)</f>
        <v/>
      </c>
      <c r="X1347" s="4" t="str">
        <f t="shared" si="1727"/>
        <v>Rec. Humanos-002</v>
      </c>
      <c r="Y1347" s="39">
        <f t="shared" ca="1" si="1732"/>
        <v>4</v>
      </c>
      <c r="Z1347" s="1"/>
      <c r="AA1347" s="133">
        <f>IF($J1347=$G$2,ROUND(IF(ISNUMBER(S1347),S1347,IF(LEFT(S1347,2)="DI",HLOOKUP(S1347,DADOS!$T$29:$X$30,2,FALSE),0)),4),"")</f>
        <v>0.25</v>
      </c>
      <c r="AB1347" s="2"/>
    </row>
    <row r="1348" spans="1:28">
      <c r="A1348" t="str">
        <f t="shared" si="1728"/>
        <v>S</v>
      </c>
      <c r="B1348">
        <f t="shared" si="1729"/>
        <v>0</v>
      </c>
      <c r="C1348">
        <f t="shared" ca="1" si="1717"/>
        <v>15</v>
      </c>
      <c r="D1348">
        <f t="shared" ca="1" si="1718"/>
        <v>1</v>
      </c>
      <c r="E1348">
        <f t="shared" ca="1" si="1719"/>
        <v>0</v>
      </c>
      <c r="F1348">
        <f t="shared" ca="1" si="1720"/>
        <v>0</v>
      </c>
      <c r="G1348">
        <f t="shared" ca="1" si="1721"/>
        <v>3</v>
      </c>
      <c r="H1348">
        <f ca="1">IF(OR($A1348="S",$A1348=0),0,MATCH(0,OFFSET($B1348,1,$A1348,ROW($A$1504)-ROW($A1348)),0))</f>
        <v>0</v>
      </c>
      <c r="I1348">
        <f ca="1">IF(OR($A1348="S",$A1348=0),0,MATCH(OFFSET($B1348,0,$A1348)+1,OFFSET($B1348,1,$A1348,ROW($A$1504)-ROW($A1348)),0))</f>
        <v>0</v>
      </c>
      <c r="J1348" s="132" t="s">
        <v>29</v>
      </c>
      <c r="K1348" s="121" t="str">
        <f t="shared" ca="1" si="1730"/>
        <v>15.1.3.</v>
      </c>
      <c r="L1348" s="137" t="str">
        <f t="shared" ca="1" si="1722"/>
        <v>Cotação</v>
      </c>
      <c r="M1348" s="122" t="s">
        <v>78</v>
      </c>
      <c r="N1348" s="139" t="s">
        <v>151</v>
      </c>
      <c r="O1348" s="137" t="str">
        <f t="shared" ca="1" si="1731"/>
        <v xml:space="preserve">Administrador (Técnico de Apoio) </v>
      </c>
      <c r="P1348" s="138" t="str">
        <f t="shared" ca="1" si="1723"/>
        <v>Horas</v>
      </c>
      <c r="Q1348" s="134">
        <v>6</v>
      </c>
      <c r="R1348" s="124">
        <f t="shared" ca="1" si="1724"/>
        <v>103.65</v>
      </c>
      <c r="S1348" s="136" t="s">
        <v>62</v>
      </c>
      <c r="T1348" s="123">
        <f t="shared" ca="1" si="1725"/>
        <v>129.56</v>
      </c>
      <c r="U1348" s="126">
        <f t="shared" ca="1" si="1726"/>
        <v>777.36</v>
      </c>
      <c r="V1348" s="1"/>
      <c r="W1348" s="39" t="str">
        <f ca="1">IF(OR($A1348=0,$A1348="S",$A1348&gt;CFF!$A$9),"",MAX(W$11:OFFSET(W1348,-1,0))+1)</f>
        <v/>
      </c>
      <c r="X1348" s="4" t="str">
        <f t="shared" si="1727"/>
        <v>Rec. Humanos-003</v>
      </c>
      <c r="Y1348" s="39">
        <f t="shared" ca="1" si="1732"/>
        <v>5</v>
      </c>
      <c r="Z1348" s="1"/>
      <c r="AA1348" s="133">
        <f>IF($J1348=$G$2,ROUND(IF(ISNUMBER(S1348),S1348,IF(LEFT(S1348,2)="DI",HLOOKUP(S1348,DADOS!$T$29:$X$30,2,FALSE),0)),4),"")</f>
        <v>0.25</v>
      </c>
      <c r="AB1348" s="2"/>
    </row>
    <row r="1349" spans="1:28">
      <c r="A1349" t="str">
        <f t="shared" si="1728"/>
        <v>S</v>
      </c>
      <c r="B1349">
        <f t="shared" si="1729"/>
        <v>0</v>
      </c>
      <c r="C1349">
        <f t="shared" ca="1" si="1717"/>
        <v>15</v>
      </c>
      <c r="D1349">
        <f t="shared" ca="1" si="1718"/>
        <v>1</v>
      </c>
      <c r="E1349">
        <f t="shared" ca="1" si="1719"/>
        <v>0</v>
      </c>
      <c r="F1349">
        <f t="shared" ca="1" si="1720"/>
        <v>0</v>
      </c>
      <c r="G1349">
        <f t="shared" ca="1" si="1721"/>
        <v>4</v>
      </c>
      <c r="H1349">
        <f ca="1">IF(OR($A1349="S",$A1349=0),0,MATCH(0,OFFSET($B1349,1,$A1349,ROW($A$1504)-ROW($A1349)),0))</f>
        <v>0</v>
      </c>
      <c r="I1349">
        <f ca="1">IF(OR($A1349="S",$A1349=0),0,MATCH(OFFSET($B1349,0,$A1349)+1,OFFSET($B1349,1,$A1349,ROW($A$1504)-ROW($A1349)),0))</f>
        <v>0</v>
      </c>
      <c r="J1349" s="132" t="s">
        <v>29</v>
      </c>
      <c r="K1349" s="121" t="str">
        <f t="shared" ca="1" si="1730"/>
        <v>15.1.4.</v>
      </c>
      <c r="L1349" s="137" t="str">
        <f t="shared" ca="1" si="1722"/>
        <v>SINE</v>
      </c>
      <c r="M1349" s="122" t="s">
        <v>78</v>
      </c>
      <c r="N1349" s="139" t="s">
        <v>153</v>
      </c>
      <c r="O1349" s="137" t="str">
        <f t="shared" ca="1" si="1731"/>
        <v>Estagiários</v>
      </c>
      <c r="P1349" s="138" t="str">
        <f t="shared" ca="1" si="1723"/>
        <v>Horas</v>
      </c>
      <c r="Q1349" s="134">
        <v>16</v>
      </c>
      <c r="R1349" s="124">
        <f t="shared" ca="1" si="1724"/>
        <v>9.7899999999999991</v>
      </c>
      <c r="S1349" s="136" t="s">
        <v>62</v>
      </c>
      <c r="T1349" s="123">
        <f t="shared" ca="1" si="1725"/>
        <v>12.24</v>
      </c>
      <c r="U1349" s="126">
        <f t="shared" ca="1" si="1726"/>
        <v>195.84</v>
      </c>
      <c r="V1349" s="1"/>
      <c r="W1349" s="39" t="str">
        <f ca="1">IF(OR($A1349=0,$A1349="S",$A1349&gt;CFF!$A$9),"",MAX(W$11:OFFSET(W1349,-1,0))+1)</f>
        <v/>
      </c>
      <c r="X1349" s="4" t="str">
        <f t="shared" si="1727"/>
        <v>Rec. Humanos-004</v>
      </c>
      <c r="Y1349" s="39">
        <f t="shared" ca="1" si="1732"/>
        <v>6</v>
      </c>
      <c r="Z1349" s="1"/>
      <c r="AA1349" s="133">
        <f>IF($J1349=$G$2,ROUND(IF(ISNUMBER(S1349),S1349,IF(LEFT(S1349,2)="DI",HLOOKUP(S1349,DADOS!$T$29:$X$30,2,FALSE),0)),4),"")</f>
        <v>0.25</v>
      </c>
      <c r="AB1349" s="2"/>
    </row>
    <row r="1350" spans="1:28">
      <c r="A1350" t="str">
        <f t="shared" si="1728"/>
        <v>S</v>
      </c>
      <c r="B1350">
        <f t="shared" si="1729"/>
        <v>0</v>
      </c>
      <c r="C1350">
        <f t="shared" ca="1" si="1717"/>
        <v>15</v>
      </c>
      <c r="D1350">
        <f t="shared" ca="1" si="1718"/>
        <v>1</v>
      </c>
      <c r="E1350">
        <f t="shared" ca="1" si="1719"/>
        <v>0</v>
      </c>
      <c r="F1350">
        <f t="shared" ca="1" si="1720"/>
        <v>0</v>
      </c>
      <c r="G1350">
        <f t="shared" ca="1" si="1721"/>
        <v>5</v>
      </c>
      <c r="H1350">
        <f ca="1">IF(OR($A1350="S",$A1350=0),0,MATCH(0,OFFSET($B1350,1,$A1350,ROW($A$1504)-ROW($A1350)),0))</f>
        <v>0</v>
      </c>
      <c r="I1350">
        <f ca="1">IF(OR($A1350="S",$A1350=0),0,MATCH(OFFSET($B1350,0,$A1350)+1,OFFSET($B1350,1,$A1350,ROW($A$1504)-ROW($A1350)),0))</f>
        <v>0</v>
      </c>
      <c r="J1350" s="132" t="s">
        <v>29</v>
      </c>
      <c r="K1350" s="121" t="str">
        <f t="shared" ca="1" si="1730"/>
        <v>15.1.5.</v>
      </c>
      <c r="L1350" s="137" t="str">
        <f t="shared" ca="1" si="1722"/>
        <v>Cotação</v>
      </c>
      <c r="M1350" s="122" t="s">
        <v>80</v>
      </c>
      <c r="N1350" s="139" t="s">
        <v>149</v>
      </c>
      <c r="O1350" s="137" t="str">
        <f t="shared" ca="1" si="1731"/>
        <v>Fotocópias</v>
      </c>
      <c r="P1350" s="138" t="str">
        <f t="shared" ca="1" si="1723"/>
        <v>Unidade</v>
      </c>
      <c r="Q1350" s="134">
        <v>300</v>
      </c>
      <c r="R1350" s="124">
        <f t="shared" ca="1" si="1724"/>
        <v>0.3</v>
      </c>
      <c r="S1350" s="136" t="s">
        <v>62</v>
      </c>
      <c r="T1350" s="123">
        <f t="shared" ca="1" si="1725"/>
        <v>0.38</v>
      </c>
      <c r="U1350" s="126">
        <f t="shared" ca="1" si="1726"/>
        <v>114</v>
      </c>
      <c r="V1350" s="1"/>
      <c r="W1350" s="39" t="str">
        <f ca="1">IF(OR($A1350=0,$A1350="S",$A1350&gt;CFF!$A$9),"",MAX(W$11:OFFSET(W1350,-1,0))+1)</f>
        <v/>
      </c>
      <c r="X1350" s="4" t="str">
        <f t="shared" si="1727"/>
        <v>Serv. Terc.-001</v>
      </c>
      <c r="Y1350" s="39">
        <f t="shared" ca="1" si="1732"/>
        <v>81</v>
      </c>
      <c r="Z1350" s="1"/>
      <c r="AA1350" s="133">
        <f>IF($J1350=$G$2,ROUND(IF(ISNUMBER(S1350),S1350,IF(LEFT(S1350,2)="DI",HLOOKUP(S1350,DADOS!$T$29:$X$30,2,FALSE),0)),4),"")</f>
        <v>0.25</v>
      </c>
      <c r="AB1350" s="2"/>
    </row>
    <row r="1351" spans="1:28">
      <c r="A1351" t="str">
        <f t="shared" si="1728"/>
        <v>S</v>
      </c>
      <c r="B1351">
        <f t="shared" si="1729"/>
        <v>0</v>
      </c>
      <c r="C1351">
        <f t="shared" ca="1" si="1717"/>
        <v>15</v>
      </c>
      <c r="D1351">
        <f t="shared" ca="1" si="1718"/>
        <v>1</v>
      </c>
      <c r="E1351">
        <f t="shared" ca="1" si="1719"/>
        <v>0</v>
      </c>
      <c r="F1351">
        <f t="shared" ca="1" si="1720"/>
        <v>0</v>
      </c>
      <c r="G1351">
        <f t="shared" ca="1" si="1721"/>
        <v>6</v>
      </c>
      <c r="H1351">
        <f ca="1">IF(OR($A1351="S",$A1351=0),0,MATCH(0,OFFSET($B1351,1,$A1351,ROW($A$1504)-ROW($A1351)),0))</f>
        <v>0</v>
      </c>
      <c r="I1351">
        <f ca="1">IF(OR($A1351="S",$A1351=0),0,MATCH(OFFSET($B1351,0,$A1351)+1,OFFSET($B1351,1,$A1351,ROW($A$1504)-ROW($A1351)),0))</f>
        <v>0</v>
      </c>
      <c r="J1351" s="132" t="s">
        <v>29</v>
      </c>
      <c r="K1351" s="121" t="str">
        <f t="shared" ca="1" si="1730"/>
        <v>15.1.6.</v>
      </c>
      <c r="L1351" s="137" t="str">
        <f t="shared" ca="1" si="1722"/>
        <v>Cotação</v>
      </c>
      <c r="M1351" s="122" t="s">
        <v>80</v>
      </c>
      <c r="N1351" s="139" t="s">
        <v>256</v>
      </c>
      <c r="O1351" s="137" t="str">
        <f ca="1">IF(NOT(ISERROR($Y1351)),IF($Y1351&lt;&gt;FALSE,INDEX(Banco,$Y1351,5),""),"")</f>
        <v>Instrutor/Monitor (Educação Fisíca)</v>
      </c>
      <c r="P1351" s="138" t="str">
        <f t="shared" ca="1" si="1723"/>
        <v>Horas</v>
      </c>
      <c r="Q1351" s="134">
        <v>6</v>
      </c>
      <c r="R1351" s="124">
        <f t="shared" ca="1" si="1724"/>
        <v>100</v>
      </c>
      <c r="S1351" s="136" t="s">
        <v>62</v>
      </c>
      <c r="T1351" s="123">
        <f t="shared" ca="1" si="1725"/>
        <v>125</v>
      </c>
      <c r="U1351" s="126">
        <f t="shared" ca="1" si="1726"/>
        <v>750</v>
      </c>
      <c r="V1351" s="1"/>
      <c r="W1351" s="39" t="str">
        <f ca="1">IF(OR($A1351=0,$A1351="S",$A1351&gt;CFF!$A$9),"",MAX(W$11:OFFSET(W1351,-1,0))+1)</f>
        <v/>
      </c>
      <c r="X1351" s="4" t="str">
        <f t="shared" si="1727"/>
        <v>Serv. Terc.-017</v>
      </c>
      <c r="Y1351" s="39">
        <f t="shared" ca="1" si="1732"/>
        <v>97</v>
      </c>
      <c r="Z1351" s="1"/>
      <c r="AA1351" s="133">
        <f>IF($J1351=$G$2,ROUND(IF(ISNUMBER(S1351),S1351,IF(LEFT(S1351,2)="DI",HLOOKUP(S1351,DADOS!$T$29:$X$30,2,FALSE),0)),4),"")</f>
        <v>0.25</v>
      </c>
      <c r="AB1351" s="2"/>
    </row>
    <row r="1352" spans="1:28">
      <c r="A1352" t="str">
        <f t="shared" si="1728"/>
        <v>S</v>
      </c>
      <c r="B1352">
        <f t="shared" si="1729"/>
        <v>0</v>
      </c>
      <c r="C1352">
        <f t="shared" ca="1" si="1717"/>
        <v>15</v>
      </c>
      <c r="D1352">
        <f t="shared" ca="1" si="1718"/>
        <v>1</v>
      </c>
      <c r="E1352">
        <f t="shared" ca="1" si="1719"/>
        <v>0</v>
      </c>
      <c r="F1352">
        <f t="shared" ca="1" si="1720"/>
        <v>0</v>
      </c>
      <c r="G1352">
        <f t="shared" ca="1" si="1721"/>
        <v>7</v>
      </c>
      <c r="H1352">
        <f ca="1">IF(OR($A1352="S",$A1352=0),0,MATCH(0,OFFSET($B1352,1,$A1352,ROW($A$1504)-ROW($A1352)),0))</f>
        <v>0</v>
      </c>
      <c r="I1352">
        <f ca="1">IF(OR($A1352="S",$A1352=0),0,MATCH(OFFSET($B1352,0,$A1352)+1,OFFSET($B1352,1,$A1352,ROW($A$1504)-ROW($A1352)),0))</f>
        <v>0</v>
      </c>
      <c r="J1352" s="132" t="s">
        <v>29</v>
      </c>
      <c r="K1352" s="121" t="str">
        <f t="shared" ca="1" si="1730"/>
        <v>15.1.7.</v>
      </c>
      <c r="L1352" s="137" t="str">
        <f t="shared" ca="1" si="1722"/>
        <v>Cotação</v>
      </c>
      <c r="M1352" s="122" t="s">
        <v>80</v>
      </c>
      <c r="N1352" s="139" t="s">
        <v>152</v>
      </c>
      <c r="O1352" s="137" t="str">
        <f t="shared" ca="1" si="1731"/>
        <v>Carro de som com gravação de vinheta</v>
      </c>
      <c r="P1352" s="138" t="str">
        <f t="shared" ca="1" si="1723"/>
        <v>Horas</v>
      </c>
      <c r="Q1352" s="134">
        <v>6</v>
      </c>
      <c r="R1352" s="124">
        <f t="shared" ca="1" si="1724"/>
        <v>200</v>
      </c>
      <c r="S1352" s="136" t="s">
        <v>62</v>
      </c>
      <c r="T1352" s="123">
        <f t="shared" ca="1" si="1725"/>
        <v>250</v>
      </c>
      <c r="U1352" s="126">
        <f t="shared" ca="1" si="1726"/>
        <v>1500</v>
      </c>
      <c r="V1352" s="1"/>
      <c r="W1352" s="39" t="str">
        <f ca="1">IF(OR($A1352=0,$A1352="S",$A1352&gt;CFF!$A$9),"",MAX(W$11:OFFSET(W1352,-1,0))+1)</f>
        <v/>
      </c>
      <c r="X1352" s="4" t="str">
        <f t="shared" si="1727"/>
        <v>Serv. Terc.-002</v>
      </c>
      <c r="Y1352" s="39">
        <f t="shared" ca="1" si="1732"/>
        <v>82</v>
      </c>
      <c r="Z1352" s="1"/>
      <c r="AA1352" s="133">
        <f>IF($J1352=$G$2,ROUND(IF(ISNUMBER(S1352),S1352,IF(LEFT(S1352,2)="DI",HLOOKUP(S1352,DADOS!$T$29:$X$30,2,FALSE),0)),4),"")</f>
        <v>0.25</v>
      </c>
      <c r="AB1352" s="2"/>
    </row>
    <row r="1353" spans="1:28">
      <c r="A1353" t="str">
        <f t="shared" si="1728"/>
        <v>S</v>
      </c>
      <c r="B1353">
        <f t="shared" si="1729"/>
        <v>0</v>
      </c>
      <c r="C1353">
        <f t="shared" ca="1" si="1717"/>
        <v>15</v>
      </c>
      <c r="D1353">
        <f t="shared" ca="1" si="1718"/>
        <v>1</v>
      </c>
      <c r="E1353">
        <f t="shared" ca="1" si="1719"/>
        <v>0</v>
      </c>
      <c r="F1353">
        <f t="shared" ca="1" si="1720"/>
        <v>0</v>
      </c>
      <c r="G1353">
        <f t="shared" ca="1" si="1721"/>
        <v>8</v>
      </c>
      <c r="H1353">
        <f ca="1">IF(OR($A1353="S",$A1353=0),0,MATCH(0,OFFSET($B1353,1,$A1353,ROW($A$1504)-ROW($A1353)),0))</f>
        <v>0</v>
      </c>
      <c r="I1353">
        <f ca="1">IF(OR($A1353="S",$A1353=0),0,MATCH(OFFSET($B1353,0,$A1353)+1,OFFSET($B1353,1,$A1353,ROW($A$1504)-ROW($A1353)),0))</f>
        <v>0</v>
      </c>
      <c r="J1353" s="132" t="s">
        <v>29</v>
      </c>
      <c r="K1353" s="121" t="str">
        <f t="shared" ca="1" si="1730"/>
        <v>15.1.8.</v>
      </c>
      <c r="L1353" s="137" t="str">
        <f t="shared" ca="1" si="1722"/>
        <v>Cotação</v>
      </c>
      <c r="M1353" s="122" t="s">
        <v>80</v>
      </c>
      <c r="N1353" s="139" t="s">
        <v>151</v>
      </c>
      <c r="O1353" s="137" t="str">
        <f t="shared" ca="1" si="1731"/>
        <v>Locação de mesas</v>
      </c>
      <c r="P1353" s="138" t="str">
        <f t="shared" ca="1" si="1723"/>
        <v>Unidade</v>
      </c>
      <c r="Q1353" s="134">
        <v>20</v>
      </c>
      <c r="R1353" s="124">
        <f t="shared" ca="1" si="1724"/>
        <v>3</v>
      </c>
      <c r="S1353" s="136" t="s">
        <v>62</v>
      </c>
      <c r="T1353" s="123">
        <f t="shared" ca="1" si="1725"/>
        <v>3.75</v>
      </c>
      <c r="U1353" s="126">
        <f t="shared" ca="1" si="1726"/>
        <v>75</v>
      </c>
      <c r="V1353" s="1"/>
      <c r="W1353" s="39" t="str">
        <f ca="1">IF(OR($A1353=0,$A1353="S",$A1353&gt;CFF!$A$9),"",MAX(W$11:OFFSET(W1353,-1,0))+1)</f>
        <v/>
      </c>
      <c r="X1353" s="4" t="str">
        <f t="shared" si="1727"/>
        <v>Serv. Terc.-003</v>
      </c>
      <c r="Y1353" s="39">
        <f t="shared" ca="1" si="1732"/>
        <v>83</v>
      </c>
      <c r="Z1353" s="1"/>
      <c r="AA1353" s="133">
        <f>IF($J1353=$G$2,ROUND(IF(ISNUMBER(S1353),S1353,IF(LEFT(S1353,2)="DI",HLOOKUP(S1353,DADOS!$T$29:$X$30,2,FALSE),0)),4),"")</f>
        <v>0.25</v>
      </c>
      <c r="AB1353" s="2"/>
    </row>
    <row r="1354" spans="1:28">
      <c r="A1354" t="str">
        <f t="shared" si="1728"/>
        <v>S</v>
      </c>
      <c r="B1354">
        <f t="shared" si="1729"/>
        <v>0</v>
      </c>
      <c r="C1354">
        <f t="shared" ca="1" si="1717"/>
        <v>15</v>
      </c>
      <c r="D1354">
        <f t="shared" ca="1" si="1718"/>
        <v>1</v>
      </c>
      <c r="E1354">
        <f t="shared" ca="1" si="1719"/>
        <v>0</v>
      </c>
      <c r="F1354">
        <f t="shared" ca="1" si="1720"/>
        <v>0</v>
      </c>
      <c r="G1354">
        <f t="shared" ca="1" si="1721"/>
        <v>9</v>
      </c>
      <c r="H1354">
        <f ca="1">IF(OR($A1354="S",$A1354=0),0,MATCH(0,OFFSET($B1354,1,$A1354,ROW($A$1504)-ROW($A1354)),0))</f>
        <v>0</v>
      </c>
      <c r="I1354">
        <f ca="1">IF(OR($A1354="S",$A1354=0),0,MATCH(OFFSET($B1354,0,$A1354)+1,OFFSET($B1354,1,$A1354,ROW($A$1504)-ROW($A1354)),0))</f>
        <v>0</v>
      </c>
      <c r="J1354" s="132" t="s">
        <v>29</v>
      </c>
      <c r="K1354" s="121" t="str">
        <f t="shared" ca="1" si="1730"/>
        <v>15.1.9.</v>
      </c>
      <c r="L1354" s="137" t="str">
        <f t="shared" ca="1" si="1722"/>
        <v>Cotação</v>
      </c>
      <c r="M1354" s="122" t="s">
        <v>80</v>
      </c>
      <c r="N1354" s="139" t="s">
        <v>153</v>
      </c>
      <c r="O1354" s="137" t="str">
        <f t="shared" ca="1" si="1731"/>
        <v>Locação de cadeiras</v>
      </c>
      <c r="P1354" s="138" t="str">
        <f t="shared" ca="1" si="1723"/>
        <v>Unidade</v>
      </c>
      <c r="Q1354" s="134">
        <v>400</v>
      </c>
      <c r="R1354" s="124">
        <f t="shared" ca="1" si="1724"/>
        <v>2</v>
      </c>
      <c r="S1354" s="136" t="s">
        <v>62</v>
      </c>
      <c r="T1354" s="123">
        <f t="shared" ca="1" si="1725"/>
        <v>2.5</v>
      </c>
      <c r="U1354" s="126">
        <f t="shared" ca="1" si="1726"/>
        <v>1000</v>
      </c>
      <c r="V1354" s="1"/>
      <c r="W1354" s="39" t="str">
        <f ca="1">IF(OR($A1354=0,$A1354="S",$A1354&gt;CFF!$A$9),"",MAX(W$11:OFFSET(W1354,-1,0))+1)</f>
        <v/>
      </c>
      <c r="X1354" s="4" t="str">
        <f t="shared" si="1727"/>
        <v>Serv. Terc.-004</v>
      </c>
      <c r="Y1354" s="39">
        <f t="shared" ca="1" si="1732"/>
        <v>84</v>
      </c>
      <c r="Z1354" s="1"/>
      <c r="AA1354" s="133">
        <f>IF($J1354=$G$2,ROUND(IF(ISNUMBER(S1354),S1354,IF(LEFT(S1354,2)="DI",HLOOKUP(S1354,DADOS!$T$29:$X$30,2,FALSE),0)),4),"")</f>
        <v>0.25</v>
      </c>
      <c r="AB1354" s="2"/>
    </row>
    <row r="1355" spans="1:28">
      <c r="A1355" t="str">
        <f t="shared" si="1728"/>
        <v>S</v>
      </c>
      <c r="B1355">
        <f t="shared" si="1729"/>
        <v>0</v>
      </c>
      <c r="C1355">
        <f t="shared" ca="1" si="1717"/>
        <v>15</v>
      </c>
      <c r="D1355">
        <f t="shared" ca="1" si="1718"/>
        <v>1</v>
      </c>
      <c r="E1355">
        <f t="shared" ca="1" si="1719"/>
        <v>0</v>
      </c>
      <c r="F1355">
        <f t="shared" ca="1" si="1720"/>
        <v>0</v>
      </c>
      <c r="G1355">
        <f t="shared" ca="1" si="1721"/>
        <v>10</v>
      </c>
      <c r="H1355">
        <f ca="1">IF(OR($A1355="S",$A1355=0),0,MATCH(0,OFFSET($B1355,1,$A1355,ROW($A$1504)-ROW($A1355)),0))</f>
        <v>0</v>
      </c>
      <c r="I1355">
        <f ca="1">IF(OR($A1355="S",$A1355=0),0,MATCH(OFFSET($B1355,0,$A1355)+1,OFFSET($B1355,1,$A1355,ROW($A$1504)-ROW($A1355)),0))</f>
        <v>0</v>
      </c>
      <c r="J1355" s="132" t="s">
        <v>29</v>
      </c>
      <c r="K1355" s="121" t="str">
        <f t="shared" ca="1" si="1730"/>
        <v>15.1.10.</v>
      </c>
      <c r="L1355" s="137" t="str">
        <f t="shared" ca="1" si="1722"/>
        <v>Cotação</v>
      </c>
      <c r="M1355" s="122" t="s">
        <v>80</v>
      </c>
      <c r="N1355" s="139" t="s">
        <v>154</v>
      </c>
      <c r="O1355" s="137" t="str">
        <f t="shared" ca="1" si="1731"/>
        <v>Locação de caixa térmica</v>
      </c>
      <c r="P1355" s="138" t="str">
        <f t="shared" ca="1" si="1723"/>
        <v>Unidade</v>
      </c>
      <c r="Q1355" s="134">
        <v>2</v>
      </c>
      <c r="R1355" s="124">
        <f t="shared" ca="1" si="1724"/>
        <v>40</v>
      </c>
      <c r="S1355" s="136" t="s">
        <v>62</v>
      </c>
      <c r="T1355" s="123">
        <f t="shared" ca="1" si="1725"/>
        <v>50</v>
      </c>
      <c r="U1355" s="126">
        <f t="shared" ca="1" si="1726"/>
        <v>100</v>
      </c>
      <c r="V1355" s="1"/>
      <c r="W1355" s="39" t="str">
        <f ca="1">IF(OR($A1355=0,$A1355="S",$A1355&gt;CFF!$A$9),"",MAX(W$11:OFFSET(W1355,-1,0))+1)</f>
        <v/>
      </c>
      <c r="X1355" s="4" t="str">
        <f t="shared" si="1727"/>
        <v>Serv. Terc.-005</v>
      </c>
      <c r="Y1355" s="39">
        <f t="shared" ca="1" si="1732"/>
        <v>85</v>
      </c>
      <c r="Z1355" s="1"/>
      <c r="AA1355" s="133">
        <f>IF($J1355=$G$2,ROUND(IF(ISNUMBER(S1355),S1355,IF(LEFT(S1355,2)="DI",HLOOKUP(S1355,DADOS!$T$29:$X$30,2,FALSE),0)),4),"")</f>
        <v>0.25</v>
      </c>
      <c r="AB1355" s="2"/>
    </row>
    <row r="1356" spans="1:28">
      <c r="A1356" t="str">
        <f t="shared" si="1728"/>
        <v>S</v>
      </c>
      <c r="B1356">
        <f t="shared" si="1729"/>
        <v>0</v>
      </c>
      <c r="C1356">
        <f t="shared" ca="1" si="1717"/>
        <v>15</v>
      </c>
      <c r="D1356">
        <f t="shared" ca="1" si="1718"/>
        <v>1</v>
      </c>
      <c r="E1356">
        <f t="shared" ca="1" si="1719"/>
        <v>0</v>
      </c>
      <c r="F1356">
        <f t="shared" ca="1" si="1720"/>
        <v>0</v>
      </c>
      <c r="G1356">
        <f t="shared" ca="1" si="1721"/>
        <v>11</v>
      </c>
      <c r="H1356">
        <f ca="1">IF(OR($A1356="S",$A1356=0),0,MATCH(0,OFFSET($B1356,1,$A1356,ROW($A$1504)-ROW($A1356)),0))</f>
        <v>0</v>
      </c>
      <c r="I1356">
        <f ca="1">IF(OR($A1356="S",$A1356=0),0,MATCH(OFFSET($B1356,0,$A1356)+1,OFFSET($B1356,1,$A1356,ROW($A$1504)-ROW($A1356)),0))</f>
        <v>0</v>
      </c>
      <c r="J1356" s="132" t="s">
        <v>29</v>
      </c>
      <c r="K1356" s="121" t="str">
        <f t="shared" ca="1" si="1730"/>
        <v>15.1.11.</v>
      </c>
      <c r="L1356" s="137" t="str">
        <f t="shared" ca="1" si="1722"/>
        <v>Cotação</v>
      </c>
      <c r="M1356" s="122" t="s">
        <v>80</v>
      </c>
      <c r="N1356" s="139" t="s">
        <v>155</v>
      </c>
      <c r="O1356" s="137" t="str">
        <f t="shared" ca="1" si="1731"/>
        <v>Locação de tendas</v>
      </c>
      <c r="P1356" s="138" t="str">
        <f t="shared" ca="1" si="1723"/>
        <v>Unidade</v>
      </c>
      <c r="Q1356" s="134">
        <v>3</v>
      </c>
      <c r="R1356" s="124">
        <f t="shared" ca="1" si="1724"/>
        <v>250</v>
      </c>
      <c r="S1356" s="136" t="s">
        <v>62</v>
      </c>
      <c r="T1356" s="123">
        <f t="shared" ca="1" si="1725"/>
        <v>312.5</v>
      </c>
      <c r="U1356" s="126">
        <f t="shared" ca="1" si="1726"/>
        <v>937.5</v>
      </c>
      <c r="V1356" s="1"/>
      <c r="W1356" s="39" t="str">
        <f ca="1">IF(OR($A1356=0,$A1356="S",$A1356&gt;CFF!$A$9),"",MAX(W$11:OFFSET(W1356,-1,0))+1)</f>
        <v/>
      </c>
      <c r="X1356" s="4" t="str">
        <f t="shared" si="1727"/>
        <v>Serv. Terc.-006</v>
      </c>
      <c r="Y1356" s="39">
        <f t="shared" ca="1" si="1732"/>
        <v>86</v>
      </c>
      <c r="Z1356" s="1"/>
      <c r="AA1356" s="133">
        <f>IF($J1356=$G$2,ROUND(IF(ISNUMBER(S1356),S1356,IF(LEFT(S1356,2)="DI",HLOOKUP(S1356,DADOS!$T$29:$X$30,2,FALSE),0)),4),"")</f>
        <v>0.25</v>
      </c>
      <c r="AB1356" s="2"/>
    </row>
    <row r="1357" spans="1:28">
      <c r="A1357" t="str">
        <f t="shared" si="1728"/>
        <v>S</v>
      </c>
      <c r="B1357">
        <f t="shared" si="1729"/>
        <v>0</v>
      </c>
      <c r="C1357">
        <f t="shared" ca="1" si="1717"/>
        <v>15</v>
      </c>
      <c r="D1357">
        <f t="shared" ca="1" si="1718"/>
        <v>1</v>
      </c>
      <c r="E1357">
        <f t="shared" ca="1" si="1719"/>
        <v>0</v>
      </c>
      <c r="F1357">
        <f t="shared" ca="1" si="1720"/>
        <v>0</v>
      </c>
      <c r="G1357">
        <f t="shared" ca="1" si="1721"/>
        <v>12</v>
      </c>
      <c r="H1357">
        <f ca="1">IF(OR($A1357="S",$A1357=0),0,MATCH(0,OFFSET($B1357,1,$A1357,ROW($A$1504)-ROW($A1357)),0))</f>
        <v>0</v>
      </c>
      <c r="I1357">
        <f ca="1">IF(OR($A1357="S",$A1357=0),0,MATCH(OFFSET($B1357,0,$A1357)+1,OFFSET($B1357,1,$A1357,ROW($A$1504)-ROW($A1357)),0))</f>
        <v>0</v>
      </c>
      <c r="J1357" s="132" t="s">
        <v>29</v>
      </c>
      <c r="K1357" s="121" t="str">
        <f t="shared" ca="1" si="1730"/>
        <v>15.1.12.</v>
      </c>
      <c r="L1357" s="137" t="str">
        <f t="shared" ca="1" si="1722"/>
        <v>Cotação</v>
      </c>
      <c r="M1357" s="122" t="s">
        <v>80</v>
      </c>
      <c r="N1357" s="139" t="s">
        <v>157</v>
      </c>
      <c r="O1357" s="137" t="str">
        <f t="shared" ca="1" si="1731"/>
        <v>Locação de pula-pula com monitor</v>
      </c>
      <c r="P1357" s="138" t="str">
        <f t="shared" ca="1" si="1723"/>
        <v>Unidade</v>
      </c>
      <c r="Q1357" s="134">
        <v>2</v>
      </c>
      <c r="R1357" s="124">
        <f t="shared" ca="1" si="1724"/>
        <v>220</v>
      </c>
      <c r="S1357" s="136" t="s">
        <v>62</v>
      </c>
      <c r="T1357" s="123">
        <f t="shared" ca="1" si="1725"/>
        <v>275</v>
      </c>
      <c r="U1357" s="126">
        <f t="shared" ca="1" si="1726"/>
        <v>550</v>
      </c>
      <c r="V1357" s="1"/>
      <c r="W1357" s="39" t="str">
        <f ca="1">IF(OR($A1357=0,$A1357="S",$A1357&gt;CFF!$A$9),"",MAX(W$11:OFFSET(W1357,-1,0))+1)</f>
        <v/>
      </c>
      <c r="X1357" s="4" t="str">
        <f t="shared" si="1727"/>
        <v>Serv. Terc.-008</v>
      </c>
      <c r="Y1357" s="39">
        <f t="shared" ca="1" si="1732"/>
        <v>88</v>
      </c>
      <c r="Z1357" s="1"/>
      <c r="AA1357" s="133">
        <f>IF($J1357=$G$2,ROUND(IF(ISNUMBER(S1357),S1357,IF(LEFT(S1357,2)="DI",HLOOKUP(S1357,DADOS!$T$29:$X$30,2,FALSE),0)),4),"")</f>
        <v>0.25</v>
      </c>
      <c r="AB1357" s="2"/>
    </row>
    <row r="1358" spans="1:28">
      <c r="A1358" t="str">
        <f t="shared" si="1728"/>
        <v>S</v>
      </c>
      <c r="B1358">
        <f t="shared" si="1729"/>
        <v>0</v>
      </c>
      <c r="C1358">
        <f t="shared" ref="C1358:C1373" ca="1" si="1733">IF($A1358=1,OFFSET(C1358,-1,0)+1,OFFSET(C1358,-1,0))</f>
        <v>15</v>
      </c>
      <c r="D1358">
        <f t="shared" ref="D1358:D1373" ca="1" si="1734">IF($A1358=1,0,IF($A1358=2,OFFSET(D1358,-1,0)+1,OFFSET(D1358,-1,0)))</f>
        <v>1</v>
      </c>
      <c r="E1358">
        <f t="shared" ref="E1358:E1373" ca="1" si="1735">IF(AND($A1358&lt;=2,$A1358&lt;&gt;0),0,IF($A1358=3,OFFSET(E1358,-1,0)+1,OFFSET(E1358,-1,0)))</f>
        <v>0</v>
      </c>
      <c r="F1358">
        <f t="shared" ref="F1358:F1373" ca="1" si="1736">IF(AND($A1358&lt;=3,$A1358&lt;&gt;0),0,IF($A1358=4,OFFSET(F1358,-1,0)+1,OFFSET(F1358,-1,0)))</f>
        <v>0</v>
      </c>
      <c r="G1358">
        <f t="shared" ref="G1358:G1373" ca="1" si="1737">IF(AND($A1358&lt;=4,$A1358&lt;&gt;0),0,IF($A1358="S",OFFSET(G1358,-1,0)+1,OFFSET(G1358,-1,0)))</f>
        <v>13</v>
      </c>
      <c r="H1358">
        <f ca="1">IF(OR($A1358="S",$A1358=0),0,MATCH(0,OFFSET($B1358,1,$A1358,ROW($A$1504)-ROW($A1358)),0))</f>
        <v>0</v>
      </c>
      <c r="I1358">
        <f ca="1">IF(OR($A1358="S",$A1358=0),0,MATCH(OFFSET($B1358,0,$A1358)+1,OFFSET($B1358,1,$A1358,ROW($A$1504)-ROW($A1358)),0))</f>
        <v>0</v>
      </c>
      <c r="J1358" s="132" t="s">
        <v>29</v>
      </c>
      <c r="K1358" s="121" t="str">
        <f t="shared" ca="1" si="1730"/>
        <v>15.1.13.</v>
      </c>
      <c r="L1358" s="137" t="str">
        <f t="shared" ref="L1358:L1373" ca="1" si="1738">IF(NOT(ISERROR($Y1358)),IF($Y1358&lt;&gt;FALSE,INDEX(Banco,$Y1358,4),""),"")</f>
        <v>Cotação</v>
      </c>
      <c r="M1358" s="122" t="s">
        <v>80</v>
      </c>
      <c r="N1358" s="139" t="s">
        <v>161</v>
      </c>
      <c r="O1358" s="137" t="str">
        <f t="shared" ca="1" si="1731"/>
        <v>Água (garrafão de 20 litros)</v>
      </c>
      <c r="P1358" s="138" t="str">
        <f t="shared" ref="P1358:P1373" ca="1" si="1739">IF(NOT(ISERROR($Y1358)),IF($Y1358&lt;&gt;FALSE,INDEX(Banco,$Y1358,6),""),"")</f>
        <v>Unidade</v>
      </c>
      <c r="Q1358" s="134">
        <v>4</v>
      </c>
      <c r="R1358" s="124">
        <f t="shared" ref="R1358:R1373" ca="1" si="1740">IF(NOT(ISERROR($Y1358)),IF($Y1358&lt;&gt;FALSE,INDEX(Banco,$Y1358,7),0),0)</f>
        <v>10</v>
      </c>
      <c r="S1358" s="136" t="s">
        <v>62</v>
      </c>
      <c r="T1358" s="123">
        <f t="shared" ref="T1358:T1373" ca="1" si="1741">IF($J1358=$G$2,ROUND(ROUND($R1358,2)*IF($R$9="Preço Unitário (R$)",1,1+$AA1358),2),0)</f>
        <v>12.5</v>
      </c>
      <c r="U1358" s="126">
        <f t="shared" ref="U1358:U1373" ca="1" si="1742">IF($A1358="S",VTOTAL1,IF($A1358=0,0,ROUND(SomaAgrup,2)))</f>
        <v>50</v>
      </c>
      <c r="V1358" s="1"/>
      <c r="W1358" s="39" t="str">
        <f ca="1">IF(OR($A1358=0,$A1358="S",$A1358&gt;CFF!$A$9),"",MAX(W$11:OFFSET(W1358,-1,0))+1)</f>
        <v/>
      </c>
      <c r="X1358" s="4" t="str">
        <f t="shared" ref="X1358:X1373" si="1743">IF(AND($J1358=$G$2,$N1358&lt;&gt;"",$M1358&lt;&gt;""),CONCATENATE($M1358,"-",$N1358))</f>
        <v>Serv. Terc.-012</v>
      </c>
      <c r="Y1358" s="39">
        <f t="shared" ca="1" si="1732"/>
        <v>92</v>
      </c>
      <c r="Z1358" s="1"/>
      <c r="AA1358" s="133">
        <f>IF($J1358=$G$2,ROUND(IF(ISNUMBER(S1358),S1358,IF(LEFT(S1358,2)="DI",HLOOKUP(S1358,DADOS!$T$29:$X$30,2,FALSE),0)),4),"")</f>
        <v>0.25</v>
      </c>
      <c r="AB1358" s="2"/>
    </row>
    <row r="1359" spans="1:28">
      <c r="A1359" t="str">
        <f t="shared" si="1728"/>
        <v>S</v>
      </c>
      <c r="B1359">
        <f t="shared" si="1729"/>
        <v>0</v>
      </c>
      <c r="C1359">
        <f t="shared" ca="1" si="1733"/>
        <v>15</v>
      </c>
      <c r="D1359">
        <f t="shared" ca="1" si="1734"/>
        <v>1</v>
      </c>
      <c r="E1359">
        <f t="shared" ca="1" si="1735"/>
        <v>0</v>
      </c>
      <c r="F1359">
        <f t="shared" ca="1" si="1736"/>
        <v>0</v>
      </c>
      <c r="G1359">
        <f t="shared" ca="1" si="1737"/>
        <v>14</v>
      </c>
      <c r="H1359">
        <f ca="1">IF(OR($A1359="S",$A1359=0),0,MATCH(0,OFFSET($B1359,1,$A1359,ROW($A$1504)-ROW($A1359)),0))</f>
        <v>0</v>
      </c>
      <c r="I1359">
        <f ca="1">IF(OR($A1359="S",$A1359=0),0,MATCH(OFFSET($B1359,0,$A1359)+1,OFFSET($B1359,1,$A1359,ROW($A$1504)-ROW($A1359)),0))</f>
        <v>0</v>
      </c>
      <c r="J1359" s="132" t="s">
        <v>29</v>
      </c>
      <c r="K1359" s="121" t="str">
        <f t="shared" ca="1" si="1730"/>
        <v>15.1.14.</v>
      </c>
      <c r="L1359" s="137" t="str">
        <f t="shared" ca="1" si="1738"/>
        <v xml:space="preserve">Cotação </v>
      </c>
      <c r="M1359" s="122" t="s">
        <v>80</v>
      </c>
      <c r="N1359" s="139" t="s">
        <v>160</v>
      </c>
      <c r="O1359" s="137" t="str">
        <f t="shared" ca="1" si="1731"/>
        <v>Barra de gelo</v>
      </c>
      <c r="P1359" s="138" t="str">
        <f t="shared" ca="1" si="1739"/>
        <v>Unidade</v>
      </c>
      <c r="Q1359" s="134">
        <v>8</v>
      </c>
      <c r="R1359" s="124">
        <f t="shared" ca="1" si="1740"/>
        <v>12</v>
      </c>
      <c r="S1359" s="136" t="s">
        <v>62</v>
      </c>
      <c r="T1359" s="123">
        <f t="shared" ca="1" si="1741"/>
        <v>15</v>
      </c>
      <c r="U1359" s="126">
        <f t="shared" ca="1" si="1742"/>
        <v>120</v>
      </c>
      <c r="V1359" s="1"/>
      <c r="W1359" s="39" t="str">
        <f ca="1">IF(OR($A1359=0,$A1359="S",$A1359&gt;CFF!$A$9),"",MAX(W$11:OFFSET(W1359,-1,0))+1)</f>
        <v/>
      </c>
      <c r="X1359" s="4" t="str">
        <f t="shared" si="1743"/>
        <v>Serv. Terc.-011</v>
      </c>
      <c r="Y1359" s="39">
        <f t="shared" ca="1" si="1732"/>
        <v>91</v>
      </c>
      <c r="Z1359" s="1"/>
      <c r="AA1359" s="133">
        <f>IF($J1359=$G$2,ROUND(IF(ISNUMBER(S1359),S1359,IF(LEFT(S1359,2)="DI",HLOOKUP(S1359,DADOS!$T$29:$X$30,2,FALSE),0)),4),"")</f>
        <v>0.25</v>
      </c>
      <c r="AB1359" s="2"/>
    </row>
    <row r="1360" spans="1:28">
      <c r="A1360" t="str">
        <f t="shared" si="1728"/>
        <v>S</v>
      </c>
      <c r="B1360">
        <f t="shared" si="1729"/>
        <v>0</v>
      </c>
      <c r="C1360">
        <f t="shared" ca="1" si="1733"/>
        <v>15</v>
      </c>
      <c r="D1360">
        <f t="shared" ca="1" si="1734"/>
        <v>1</v>
      </c>
      <c r="E1360">
        <f t="shared" ca="1" si="1735"/>
        <v>0</v>
      </c>
      <c r="F1360">
        <f t="shared" ca="1" si="1736"/>
        <v>0</v>
      </c>
      <c r="G1360">
        <f t="shared" ca="1" si="1737"/>
        <v>15</v>
      </c>
      <c r="H1360">
        <f ca="1">IF(OR($A1360="S",$A1360=0),0,MATCH(0,OFFSET($B1360,1,$A1360,ROW($A$1504)-ROW($A1360)),0))</f>
        <v>0</v>
      </c>
      <c r="I1360">
        <f ca="1">IF(OR($A1360="S",$A1360=0),0,MATCH(OFFSET($B1360,0,$A1360)+1,OFFSET($B1360,1,$A1360,ROW($A$1504)-ROW($A1360)),0))</f>
        <v>0</v>
      </c>
      <c r="J1360" s="132" t="s">
        <v>29</v>
      </c>
      <c r="K1360" s="121" t="str">
        <f t="shared" ca="1" si="1730"/>
        <v>15.1.15.</v>
      </c>
      <c r="L1360" s="137" t="str">
        <f t="shared" ca="1" si="1738"/>
        <v>Cotação</v>
      </c>
      <c r="M1360" s="122" t="s">
        <v>80</v>
      </c>
      <c r="N1360" s="139" t="s">
        <v>150</v>
      </c>
      <c r="O1360" s="137" t="str">
        <f t="shared" ca="1" si="1731"/>
        <v>Sucos</v>
      </c>
      <c r="P1360" s="138" t="str">
        <f t="shared" ca="1" si="1739"/>
        <v>Unidade</v>
      </c>
      <c r="Q1360" s="134">
        <v>12</v>
      </c>
      <c r="R1360" s="124">
        <f t="shared" ca="1" si="1740"/>
        <v>6.4</v>
      </c>
      <c r="S1360" s="136" t="s">
        <v>62</v>
      </c>
      <c r="T1360" s="123">
        <f t="shared" ca="1" si="1741"/>
        <v>8</v>
      </c>
      <c r="U1360" s="126">
        <f t="shared" ca="1" si="1742"/>
        <v>96</v>
      </c>
      <c r="V1360" s="1"/>
      <c r="W1360" s="39" t="str">
        <f ca="1">IF(OR($A1360=0,$A1360="S",$A1360&gt;CFF!$A$9),"",MAX(W$11:OFFSET(W1360,-1,0))+1)</f>
        <v/>
      </c>
      <c r="X1360" s="4" t="str">
        <f t="shared" si="1743"/>
        <v>Serv. Terc.-013</v>
      </c>
      <c r="Y1360" s="39">
        <f t="shared" ca="1" si="1732"/>
        <v>93</v>
      </c>
      <c r="Z1360" s="1"/>
      <c r="AA1360" s="133">
        <f>IF($J1360=$G$2,ROUND(IF(ISNUMBER(S1360),S1360,IF(LEFT(S1360,2)="DI",HLOOKUP(S1360,DADOS!$T$29:$X$30,2,FALSE),0)),4),"")</f>
        <v>0.25</v>
      </c>
      <c r="AB1360" s="2"/>
    </row>
    <row r="1361" spans="1:28">
      <c r="A1361" t="str">
        <f t="shared" si="1728"/>
        <v>S</v>
      </c>
      <c r="B1361">
        <f t="shared" si="1729"/>
        <v>0</v>
      </c>
      <c r="C1361">
        <f ca="1">IF($A1361=1,OFFSET(C1361,-1,0)+1,OFFSET(C1361,-1,0))</f>
        <v>15</v>
      </c>
      <c r="D1361">
        <f ca="1">IF($A1361=1,0,IF($A1361=2,OFFSET(D1361,-1,0)+1,OFFSET(D1361,-1,0)))</f>
        <v>1</v>
      </c>
      <c r="E1361">
        <f ca="1">IF(AND($A1361&lt;=2,$A1361&lt;&gt;0),0,IF($A1361=3,OFFSET(E1361,-1,0)+1,OFFSET(E1361,-1,0)))</f>
        <v>0</v>
      </c>
      <c r="F1361">
        <f ca="1">IF(AND($A1361&lt;=3,$A1361&lt;&gt;0),0,IF($A1361=4,OFFSET(F1361,-1,0)+1,OFFSET(F1361,-1,0)))</f>
        <v>0</v>
      </c>
      <c r="G1361">
        <f ca="1">IF(AND($A1361&lt;=4,$A1361&lt;&gt;0),0,IF($A1361="S",OFFSET(G1361,-1,0)+1,OFFSET(G1361,-1,0)))</f>
        <v>16</v>
      </c>
      <c r="H1361">
        <f ca="1">IF(OR($A1361="S",$A1361=0),0,MATCH(0,OFFSET($B1361,1,$A1361,ROW($A$1504)-ROW($A1361)),0))</f>
        <v>0</v>
      </c>
      <c r="I1361">
        <f ca="1">IF(OR($A1361="S",$A1361=0),0,MATCH(OFFSET($B1361,0,$A1361)+1,OFFSET($B1361,1,$A1361,ROW($A$1504)-ROW($A1361)),0))</f>
        <v>0</v>
      </c>
      <c r="J1361" s="132" t="s">
        <v>29</v>
      </c>
      <c r="K1361" s="121" t="str">
        <f t="shared" ca="1" si="1730"/>
        <v>15.1.16.</v>
      </c>
      <c r="L1361" s="137" t="str">
        <f ca="1">IF(NOT(ISERROR($Y1361)),IF($Y1361&lt;&gt;FALSE,INDEX(Banco,$Y1361,4),""),"")</f>
        <v>Cotação</v>
      </c>
      <c r="M1361" s="122" t="s">
        <v>80</v>
      </c>
      <c r="N1361" s="139" t="s">
        <v>171</v>
      </c>
      <c r="O1361" s="137" t="str">
        <f ca="1">IF(NOT(ISERROR($Y1361)),IF($Y1361&lt;&gt;FALSE,INDEX(Banco,$Y1361,5),""),"")</f>
        <v xml:space="preserve">Refrigerantes (02 litros) </v>
      </c>
      <c r="P1361" s="138" t="str">
        <f ca="1">IF(NOT(ISERROR($Y1361)),IF($Y1361&lt;&gt;FALSE,INDEX(Banco,$Y1361,6),""),"")</f>
        <v>Unidade</v>
      </c>
      <c r="Q1361" s="134">
        <v>20</v>
      </c>
      <c r="R1361" s="124">
        <f ca="1">IF(NOT(ISERROR($Y1361)),IF($Y1361&lt;&gt;FALSE,INDEX(Banco,$Y1361,7),0),0)</f>
        <v>6</v>
      </c>
      <c r="S1361" s="136" t="s">
        <v>62</v>
      </c>
      <c r="T1361" s="123">
        <f ca="1">IF($J1361=$G$2,ROUND(ROUND($R1361,2)*IF($R$9="Preço Unitário (R$)",1,1+$AA1361),2),0)</f>
        <v>7.5</v>
      </c>
      <c r="U1361" s="126">
        <f ca="1">IF($A1361="S",VTOTAL1,IF($A1361=0,0,ROUND(SomaAgrup,2)))</f>
        <v>150</v>
      </c>
      <c r="V1361" s="1"/>
      <c r="W1361" s="39" t="str">
        <f ca="1">IF(OR($A1361=0,$A1361="S",$A1361&gt;CFF!$A$9),"",MAX(W$11:OFFSET(W1361,-1,0))+1)</f>
        <v/>
      </c>
      <c r="X1361" s="4" t="str">
        <f>IF(AND($J1361=$G$2,$N1361&lt;&gt;"",$M1361&lt;&gt;""),CONCATENATE($M1361,"-",$N1361))</f>
        <v>Serv. Terc.-027</v>
      </c>
      <c r="Y1361" s="39">
        <f t="shared" ca="1" si="1732"/>
        <v>107</v>
      </c>
      <c r="Z1361" s="1"/>
      <c r="AA1361" s="133">
        <f>IF($J1361=$G$2,ROUND(IF(ISNUMBER(S1361),S1361,IF(LEFT(S1361,2)="DI",HLOOKUP(S1361,DADOS!$T$29:$X$30,2,FALSE),0)),4),"")</f>
        <v>0.25</v>
      </c>
      <c r="AB1361" s="2"/>
    </row>
    <row r="1362" spans="1:28">
      <c r="A1362" t="str">
        <f t="shared" si="1728"/>
        <v>S</v>
      </c>
      <c r="B1362">
        <f t="shared" si="1729"/>
        <v>0</v>
      </c>
      <c r="C1362">
        <f ca="1">IF($A1362=1,OFFSET(C1362,-1,0)+1,OFFSET(C1362,-1,0))</f>
        <v>15</v>
      </c>
      <c r="D1362">
        <f ca="1">IF($A1362=1,0,IF($A1362=2,OFFSET(D1362,-1,0)+1,OFFSET(D1362,-1,0)))</f>
        <v>1</v>
      </c>
      <c r="E1362">
        <f ca="1">IF(AND($A1362&lt;=2,$A1362&lt;&gt;0),0,IF($A1362=3,OFFSET(E1362,-1,0)+1,OFFSET(E1362,-1,0)))</f>
        <v>0</v>
      </c>
      <c r="F1362">
        <f ca="1">IF(AND($A1362&lt;=3,$A1362&lt;&gt;0),0,IF($A1362=4,OFFSET(F1362,-1,0)+1,OFFSET(F1362,-1,0)))</f>
        <v>0</v>
      </c>
      <c r="G1362">
        <f ca="1">IF(AND($A1362&lt;=4,$A1362&lt;&gt;0),0,IF($A1362="S",OFFSET(G1362,-1,0)+1,OFFSET(G1362,-1,0)))</f>
        <v>17</v>
      </c>
      <c r="H1362">
        <f ca="1">IF(OR($A1362="S",$A1362=0),0,MATCH(0,OFFSET($B1362,1,$A1362,ROW($A$1504)-ROW($A1362)),0))</f>
        <v>0</v>
      </c>
      <c r="I1362">
        <f ca="1">IF(OR($A1362="S",$A1362=0),0,MATCH(OFFSET($B1362,0,$A1362)+1,OFFSET($B1362,1,$A1362,ROW($A$1504)-ROW($A1362)),0))</f>
        <v>0</v>
      </c>
      <c r="J1362" s="132" t="s">
        <v>29</v>
      </c>
      <c r="K1362" s="121" t="str">
        <f t="shared" ca="1" si="1730"/>
        <v>15.1.17.</v>
      </c>
      <c r="L1362" s="137" t="str">
        <f ca="1">IF(NOT(ISERROR($Y1362)),IF($Y1362&lt;&gt;FALSE,INDEX(Banco,$Y1362,4),""),"")</f>
        <v>Cotação</v>
      </c>
      <c r="M1362" s="122" t="s">
        <v>79</v>
      </c>
      <c r="N1362" s="139" t="s">
        <v>164</v>
      </c>
      <c r="O1362" s="137" t="str">
        <f ca="1">IF(NOT(ISERROR($Y1362)),IF($Y1362&lt;&gt;FALSE,INDEX(Banco,$Y1362,5),""),"")</f>
        <v>Copos descartáveis (2500 unidades)</v>
      </c>
      <c r="P1362" s="138" t="str">
        <f ca="1">IF(NOT(ISERROR($Y1362)),IF($Y1362&lt;&gt;FALSE,INDEX(Banco,$Y1362,6),""),"")</f>
        <v>Caixa</v>
      </c>
      <c r="Q1362" s="134">
        <v>1</v>
      </c>
      <c r="R1362" s="124">
        <f ca="1">IF(NOT(ISERROR($Y1362)),IF($Y1362&lt;&gt;FALSE,INDEX(Banco,$Y1362,7),0),0)</f>
        <v>77.400000000000006</v>
      </c>
      <c r="S1362" s="136" t="s">
        <v>62</v>
      </c>
      <c r="T1362" s="123">
        <f ca="1">IF($J1362=$G$2,ROUND(ROUND($R1362,2)*IF($R$9="Preço Unitário (R$)",1,1+$AA1362),2),0)</f>
        <v>96.75</v>
      </c>
      <c r="U1362" s="126">
        <f ca="1">IF($A1362="S",VTOTAL1,IF($A1362=0,0,ROUND(SomaAgrup,2)))</f>
        <v>96.75</v>
      </c>
      <c r="V1362" s="1"/>
      <c r="W1362" s="39" t="str">
        <f ca="1">IF(OR($A1362=0,$A1362="S",$A1362&gt;CFF!$A$9),"",MAX(W$11:OFFSET(W1362,-1,0))+1)</f>
        <v/>
      </c>
      <c r="X1362" s="4" t="str">
        <f>IF(AND($J1362=$G$2,$N1362&lt;&gt;"",$M1362&lt;&gt;""),CONCATENATE($M1362,"-",$N1362))</f>
        <v>Rec. Materiais-019</v>
      </c>
      <c r="Y1362" s="39">
        <f t="shared" ca="1" si="1732"/>
        <v>28</v>
      </c>
      <c r="Z1362" s="1"/>
      <c r="AA1362" s="133">
        <f>IF($J1362=$G$2,ROUND(IF(ISNUMBER(S1362),S1362,IF(LEFT(S1362,2)="DI",HLOOKUP(S1362,DADOS!$T$29:$X$30,2,FALSE),0)),4),"")</f>
        <v>0.25</v>
      </c>
      <c r="AB1362" s="2"/>
    </row>
    <row r="1363" spans="1:28">
      <c r="A1363" t="str">
        <f t="shared" si="1728"/>
        <v>S</v>
      </c>
      <c r="B1363">
        <f t="shared" si="1729"/>
        <v>0</v>
      </c>
      <c r="C1363">
        <f t="shared" ca="1" si="1733"/>
        <v>15</v>
      </c>
      <c r="D1363">
        <f t="shared" ca="1" si="1734"/>
        <v>1</v>
      </c>
      <c r="E1363">
        <f t="shared" ca="1" si="1735"/>
        <v>0</v>
      </c>
      <c r="F1363">
        <f t="shared" ca="1" si="1736"/>
        <v>0</v>
      </c>
      <c r="G1363">
        <f t="shared" ca="1" si="1737"/>
        <v>18</v>
      </c>
      <c r="H1363">
        <f ca="1">IF(OR($A1363="S",$A1363=0),0,MATCH(0,OFFSET($B1363,1,$A1363,ROW($A$1504)-ROW($A1363)),0))</f>
        <v>0</v>
      </c>
      <c r="I1363">
        <f ca="1">IF(OR($A1363="S",$A1363=0),0,MATCH(OFFSET($B1363,0,$A1363)+1,OFFSET($B1363,1,$A1363,ROW($A$1504)-ROW($A1363)),0))</f>
        <v>0</v>
      </c>
      <c r="J1363" s="132" t="s">
        <v>29</v>
      </c>
      <c r="K1363" s="121" t="str">
        <f t="shared" ca="1" si="1730"/>
        <v>15.1.18.</v>
      </c>
      <c r="L1363" s="137" t="str">
        <f t="shared" ca="1" si="1738"/>
        <v xml:space="preserve">Cotação </v>
      </c>
      <c r="M1363" s="122" t="s">
        <v>80</v>
      </c>
      <c r="N1363" s="139" t="s">
        <v>159</v>
      </c>
      <c r="O1363" s="137" t="str">
        <f t="shared" ca="1" si="1731"/>
        <v>Brindes ( descrição nos orçamentos e PTS)</v>
      </c>
      <c r="P1363" s="138" t="str">
        <f t="shared" ca="1" si="1739"/>
        <v>Unidade</v>
      </c>
      <c r="Q1363" s="134">
        <v>8</v>
      </c>
      <c r="R1363" s="124">
        <f t="shared" ca="1" si="1740"/>
        <v>120</v>
      </c>
      <c r="S1363" s="136" t="s">
        <v>62</v>
      </c>
      <c r="T1363" s="123">
        <f t="shared" ca="1" si="1741"/>
        <v>150</v>
      </c>
      <c r="U1363" s="126">
        <f t="shared" ca="1" si="1742"/>
        <v>1200</v>
      </c>
      <c r="V1363" s="1"/>
      <c r="W1363" s="39" t="str">
        <f ca="1">IF(OR($A1363=0,$A1363="S",$A1363&gt;CFF!$A$9),"",MAX(W$11:OFFSET(W1363,-1,0))+1)</f>
        <v/>
      </c>
      <c r="X1363" s="4" t="str">
        <f t="shared" si="1743"/>
        <v>Serv. Terc.-010</v>
      </c>
      <c r="Y1363" s="39">
        <f t="shared" ca="1" si="1732"/>
        <v>90</v>
      </c>
      <c r="Z1363" s="1"/>
      <c r="AA1363" s="133">
        <f>IF($J1363=$G$2,ROUND(IF(ISNUMBER(S1363),S1363,IF(LEFT(S1363,2)="DI",HLOOKUP(S1363,DADOS!$T$29:$X$30,2,FALSE),0)),4),"")</f>
        <v>0.25</v>
      </c>
      <c r="AB1363" s="2"/>
    </row>
    <row r="1364" spans="1:28">
      <c r="A1364" t="str">
        <f t="shared" si="1728"/>
        <v>S</v>
      </c>
      <c r="B1364">
        <f t="shared" si="1729"/>
        <v>0</v>
      </c>
      <c r="C1364">
        <f ca="1">IF($A1364=1,OFFSET(C1364,-1,0)+1,OFFSET(C1364,-1,0))</f>
        <v>15</v>
      </c>
      <c r="D1364">
        <f ca="1">IF($A1364=1,0,IF($A1364=2,OFFSET(D1364,-1,0)+1,OFFSET(D1364,-1,0)))</f>
        <v>1</v>
      </c>
      <c r="E1364">
        <f ca="1">IF(AND($A1364&lt;=2,$A1364&lt;&gt;0),0,IF($A1364=3,OFFSET(E1364,-1,0)+1,OFFSET(E1364,-1,0)))</f>
        <v>0</v>
      </c>
      <c r="F1364">
        <f ca="1">IF(AND($A1364&lt;=3,$A1364&lt;&gt;0),0,IF($A1364=4,OFFSET(F1364,-1,0)+1,OFFSET(F1364,-1,0)))</f>
        <v>0</v>
      </c>
      <c r="G1364">
        <f ca="1">IF(AND($A1364&lt;=4,$A1364&lt;&gt;0),0,IF($A1364="S",OFFSET(G1364,-1,0)+1,OFFSET(G1364,-1,0)))</f>
        <v>19</v>
      </c>
      <c r="H1364">
        <f ca="1">IF(OR($A1364="S",$A1364=0),0,MATCH(0,OFFSET($B1364,1,$A1364,ROW($A$1504)-ROW($A1364)),0))</f>
        <v>0</v>
      </c>
      <c r="I1364">
        <f ca="1">IF(OR($A1364="S",$A1364=0),0,MATCH(OFFSET($B1364,0,$A1364)+1,OFFSET($B1364,1,$A1364,ROW($A$1504)-ROW($A1364)),0))</f>
        <v>0</v>
      </c>
      <c r="J1364" s="132" t="s">
        <v>29</v>
      </c>
      <c r="K1364" s="121" t="str">
        <f t="shared" ca="1" si="1730"/>
        <v>15.1.19.</v>
      </c>
      <c r="L1364" s="137" t="str">
        <f ca="1">IF(NOT(ISERROR($Y1364)),IF($Y1364&lt;&gt;FALSE,INDEX(Banco,$Y1364,4),""),"")</f>
        <v>CRP</v>
      </c>
      <c r="M1364" s="122" t="s">
        <v>80</v>
      </c>
      <c r="N1364" s="139" t="s">
        <v>279</v>
      </c>
      <c r="O1364" s="137" t="str">
        <f ca="1">IF(NOT(ISERROR($Y1364)),IF($Y1364&lt;&gt;FALSE,INDEX(Banco,$Y1364,5),""),"")</f>
        <v>Psicologa</v>
      </c>
      <c r="P1364" s="138" t="str">
        <f ca="1">IF(NOT(ISERROR($Y1364)),IF($Y1364&lt;&gt;FALSE,INDEX(Banco,$Y1364,6),""),"")</f>
        <v>Horas</v>
      </c>
      <c r="Q1364" s="134">
        <v>3</v>
      </c>
      <c r="R1364" s="124">
        <f ca="1">IF(NOT(ISERROR($Y1364)),IF($Y1364&lt;&gt;FALSE,INDEX(Banco,$Y1364,7),0),0)</f>
        <v>432.79</v>
      </c>
      <c r="S1364" s="136" t="s">
        <v>62</v>
      </c>
      <c r="T1364" s="123">
        <f ca="1">IF($J1364=$G$2,ROUND(ROUND($R1364,2)*IF($R$9="Preço Unitário (R$)",1,1+$AA1364),2),0)</f>
        <v>540.99</v>
      </c>
      <c r="U1364" s="126">
        <f ca="1">IF($A1364="S",VTOTAL1,IF($A1364=0,0,ROUND(SomaAgrup,2)))</f>
        <v>1622.97</v>
      </c>
      <c r="V1364" s="1"/>
      <c r="W1364" s="39" t="str">
        <f ca="1">IF(OR($A1364=0,$A1364="S",$A1364&gt;CFF!$A$9),"",MAX(W$11:OFFSET(W1364,-1,0))+1)</f>
        <v/>
      </c>
      <c r="X1364" s="4" t="str">
        <f>IF(AND($J1364=$G$2,$N1364&lt;&gt;"",$M1364&lt;&gt;""),CONCATENATE($M1364,"-",$N1364))</f>
        <v>Serv. Terc.-062</v>
      </c>
      <c r="Y1364" s="39">
        <f t="shared" ca="1" si="1732"/>
        <v>142</v>
      </c>
      <c r="Z1364" s="1"/>
      <c r="AA1364" s="133">
        <f>IF($J1364=$G$2,ROUND(IF(ISNUMBER(S1364),S1364,IF(LEFT(S1364,2)="DI",HLOOKUP(S1364,DADOS!$T$29:$X$30,2,FALSE),0)),4),"")</f>
        <v>0.25</v>
      </c>
      <c r="AB1364" s="2"/>
    </row>
    <row r="1365" spans="1:28">
      <c r="A1365" t="str">
        <f t="shared" si="1728"/>
        <v>S</v>
      </c>
      <c r="B1365">
        <f t="shared" si="1729"/>
        <v>0</v>
      </c>
      <c r="C1365">
        <f t="shared" ca="1" si="1733"/>
        <v>15</v>
      </c>
      <c r="D1365">
        <f t="shared" ca="1" si="1734"/>
        <v>1</v>
      </c>
      <c r="E1365">
        <f t="shared" ca="1" si="1735"/>
        <v>0</v>
      </c>
      <c r="F1365">
        <f t="shared" ca="1" si="1736"/>
        <v>0</v>
      </c>
      <c r="G1365">
        <f t="shared" ca="1" si="1737"/>
        <v>20</v>
      </c>
      <c r="H1365">
        <f ca="1">IF(OR($A1365="S",$A1365=0),0,MATCH(0,OFFSET($B1365,1,$A1365,ROW($A$1504)-ROW($A1365)),0))</f>
        <v>0</v>
      </c>
      <c r="I1365">
        <f ca="1">IF(OR($A1365="S",$A1365=0),0,MATCH(OFFSET($B1365,0,$A1365)+1,OFFSET($B1365,1,$A1365,ROW($A$1504)-ROW($A1365)),0))</f>
        <v>0</v>
      </c>
      <c r="J1365" s="132" t="s">
        <v>29</v>
      </c>
      <c r="K1365" s="121" t="str">
        <f t="shared" ca="1" si="1730"/>
        <v>15.1.20.</v>
      </c>
      <c r="L1365" s="137" t="str">
        <f t="shared" ca="1" si="1738"/>
        <v>Cotação</v>
      </c>
      <c r="M1365" s="122" t="s">
        <v>80</v>
      </c>
      <c r="N1365" s="139" t="s">
        <v>162</v>
      </c>
      <c r="O1365" s="137" t="str">
        <f t="shared" ca="1" si="1731"/>
        <v>Coffee break (salgados)</v>
      </c>
      <c r="P1365" s="138" t="str">
        <f t="shared" ca="1" si="1739"/>
        <v>Centro</v>
      </c>
      <c r="Q1365" s="134">
        <v>30</v>
      </c>
      <c r="R1365" s="124">
        <f t="shared" ca="1" si="1740"/>
        <v>65</v>
      </c>
      <c r="S1365" s="136" t="s">
        <v>62</v>
      </c>
      <c r="T1365" s="123">
        <f t="shared" ca="1" si="1741"/>
        <v>81.25</v>
      </c>
      <c r="U1365" s="126">
        <f t="shared" ca="1" si="1742"/>
        <v>2437.5</v>
      </c>
      <c r="V1365" s="1"/>
      <c r="W1365" s="39" t="str">
        <f ca="1">IF(OR($A1365=0,$A1365="S",$A1365&gt;CFF!$A$9),"",MAX(W$11:OFFSET(W1365,-1,0))+1)</f>
        <v/>
      </c>
      <c r="X1365" s="4" t="str">
        <f t="shared" si="1743"/>
        <v>Serv. Terc.-015</v>
      </c>
      <c r="Y1365" s="39">
        <f t="shared" ca="1" si="1732"/>
        <v>95</v>
      </c>
      <c r="Z1365" s="1"/>
      <c r="AA1365" s="133">
        <f>IF($J1365=$G$2,ROUND(IF(ISNUMBER(S1365),S1365,IF(LEFT(S1365,2)="DI",HLOOKUP(S1365,DADOS!$T$29:$X$30,2,FALSE),0)),4),"")</f>
        <v>0.25</v>
      </c>
      <c r="AB1365" s="2"/>
    </row>
    <row r="1366" spans="1:28">
      <c r="A1366" t="str">
        <f t="shared" si="1728"/>
        <v>S</v>
      </c>
      <c r="B1366">
        <f t="shared" si="1729"/>
        <v>0</v>
      </c>
      <c r="C1366">
        <f t="shared" ca="1" si="1733"/>
        <v>15</v>
      </c>
      <c r="D1366">
        <f t="shared" ca="1" si="1734"/>
        <v>1</v>
      </c>
      <c r="E1366">
        <f t="shared" ca="1" si="1735"/>
        <v>0</v>
      </c>
      <c r="F1366">
        <f t="shared" ca="1" si="1736"/>
        <v>0</v>
      </c>
      <c r="G1366">
        <f t="shared" ca="1" si="1737"/>
        <v>21</v>
      </c>
      <c r="H1366">
        <f ca="1">IF(OR($A1366="S",$A1366=0),0,MATCH(0,OFFSET($B1366,1,$A1366,ROW($A$1504)-ROW($A1366)),0))</f>
        <v>0</v>
      </c>
      <c r="I1366">
        <f ca="1">IF(OR($A1366="S",$A1366=0),0,MATCH(OFFSET($B1366,0,$A1366)+1,OFFSET($B1366,1,$A1366,ROW($A$1504)-ROW($A1366)),0))</f>
        <v>0</v>
      </c>
      <c r="J1366" s="132" t="s">
        <v>29</v>
      </c>
      <c r="K1366" s="121" t="str">
        <f t="shared" ca="1" si="1730"/>
        <v>15.1.21.</v>
      </c>
      <c r="L1366" s="137" t="str">
        <f t="shared" ca="1" si="1738"/>
        <v>Cotação</v>
      </c>
      <c r="M1366" s="122" t="s">
        <v>79</v>
      </c>
      <c r="N1366" s="139" t="s">
        <v>163</v>
      </c>
      <c r="O1366" s="137" t="str">
        <f t="shared" ca="1" si="1731"/>
        <v>Guloseimas (balas e pirulito)</v>
      </c>
      <c r="P1366" s="138" t="str">
        <f t="shared" ca="1" si="1739"/>
        <v>Pacote</v>
      </c>
      <c r="Q1366" s="134">
        <v>8</v>
      </c>
      <c r="R1366" s="124">
        <f t="shared" ca="1" si="1740"/>
        <v>12</v>
      </c>
      <c r="S1366" s="136" t="s">
        <v>62</v>
      </c>
      <c r="T1366" s="123">
        <f t="shared" ca="1" si="1741"/>
        <v>15</v>
      </c>
      <c r="U1366" s="126">
        <f t="shared" ca="1" si="1742"/>
        <v>120</v>
      </c>
      <c r="V1366" s="1"/>
      <c r="W1366" s="39" t="str">
        <f ca="1">IF(OR($A1366=0,$A1366="S",$A1366&gt;CFF!$A$9),"",MAX(W$11:OFFSET(W1366,-1,0))+1)</f>
        <v/>
      </c>
      <c r="X1366" s="4" t="str">
        <f t="shared" si="1743"/>
        <v>Rec. Materiais-020</v>
      </c>
      <c r="Y1366" s="39">
        <f t="shared" ca="1" si="1732"/>
        <v>29</v>
      </c>
      <c r="Z1366" s="1"/>
      <c r="AA1366" s="133">
        <f>IF($J1366=$G$2,ROUND(IF(ISNUMBER(S1366),S1366,IF(LEFT(S1366,2)="DI",HLOOKUP(S1366,DADOS!$T$29:$X$30,2,FALSE),0)),4),"")</f>
        <v>0.25</v>
      </c>
      <c r="AB1366" s="2"/>
    </row>
    <row r="1367" spans="1:28">
      <c r="A1367" t="str">
        <f t="shared" si="1728"/>
        <v>S</v>
      </c>
      <c r="B1367">
        <f t="shared" si="1729"/>
        <v>0</v>
      </c>
      <c r="C1367">
        <f t="shared" ca="1" si="1733"/>
        <v>15</v>
      </c>
      <c r="D1367">
        <f t="shared" ca="1" si="1734"/>
        <v>1</v>
      </c>
      <c r="E1367">
        <f t="shared" ca="1" si="1735"/>
        <v>0</v>
      </c>
      <c r="F1367">
        <f t="shared" ca="1" si="1736"/>
        <v>0</v>
      </c>
      <c r="G1367">
        <f t="shared" ca="1" si="1737"/>
        <v>22</v>
      </c>
      <c r="H1367">
        <f ca="1">IF(OR($A1367="S",$A1367=0),0,MATCH(0,OFFSET($B1367,1,$A1367,ROW($A$1504)-ROW($A1367)),0))</f>
        <v>0</v>
      </c>
      <c r="I1367">
        <f ca="1">IF(OR($A1367="S",$A1367=0),0,MATCH(OFFSET($B1367,0,$A1367)+1,OFFSET($B1367,1,$A1367,ROW($A$1504)-ROW($A1367)),0))</f>
        <v>0</v>
      </c>
      <c r="J1367" s="132" t="s">
        <v>29</v>
      </c>
      <c r="K1367" s="121" t="str">
        <f t="shared" ca="1" si="1730"/>
        <v>15.1.22.</v>
      </c>
      <c r="L1367" s="137" t="str">
        <f t="shared" ca="1" si="1738"/>
        <v>Cotação</v>
      </c>
      <c r="M1367" s="122" t="s">
        <v>79</v>
      </c>
      <c r="N1367" s="139" t="s">
        <v>165</v>
      </c>
      <c r="O1367" s="137" t="str">
        <f t="shared" ca="1" si="1731"/>
        <v>Papel de presente</v>
      </c>
      <c r="P1367" s="138" t="str">
        <f t="shared" ca="1" si="1739"/>
        <v>Folhas</v>
      </c>
      <c r="Q1367" s="134">
        <v>16</v>
      </c>
      <c r="R1367" s="124">
        <f t="shared" ca="1" si="1740"/>
        <v>1.5</v>
      </c>
      <c r="S1367" s="136" t="s">
        <v>62</v>
      </c>
      <c r="T1367" s="123">
        <f t="shared" ca="1" si="1741"/>
        <v>1.88</v>
      </c>
      <c r="U1367" s="126">
        <f t="shared" ca="1" si="1742"/>
        <v>30.08</v>
      </c>
      <c r="V1367" s="1"/>
      <c r="W1367" s="39" t="str">
        <f ca="1">IF(OR($A1367=0,$A1367="S",$A1367&gt;CFF!$A$9),"",MAX(W$11:OFFSET(W1367,-1,0))+1)</f>
        <v/>
      </c>
      <c r="X1367" s="4" t="str">
        <f t="shared" si="1743"/>
        <v>Rec. Materiais-021</v>
      </c>
      <c r="Y1367" s="39">
        <f t="shared" ca="1" si="1732"/>
        <v>30</v>
      </c>
      <c r="Z1367" s="1"/>
      <c r="AA1367" s="133">
        <f>IF($J1367=$G$2,ROUND(IF(ISNUMBER(S1367),S1367,IF(LEFT(S1367,2)="DI",HLOOKUP(S1367,DADOS!$T$29:$X$30,2,FALSE),0)),4),"")</f>
        <v>0.25</v>
      </c>
      <c r="AB1367" s="2"/>
    </row>
    <row r="1368" spans="1:28">
      <c r="A1368" t="str">
        <f t="shared" si="1728"/>
        <v>S</v>
      </c>
      <c r="B1368">
        <f t="shared" si="1729"/>
        <v>0</v>
      </c>
      <c r="C1368">
        <f t="shared" ca="1" si="1733"/>
        <v>15</v>
      </c>
      <c r="D1368">
        <f t="shared" ca="1" si="1734"/>
        <v>1</v>
      </c>
      <c r="E1368">
        <f t="shared" ca="1" si="1735"/>
        <v>0</v>
      </c>
      <c r="F1368">
        <f t="shared" ca="1" si="1736"/>
        <v>0</v>
      </c>
      <c r="G1368">
        <f t="shared" ca="1" si="1737"/>
        <v>23</v>
      </c>
      <c r="H1368">
        <f ca="1">IF(OR($A1368="S",$A1368=0),0,MATCH(0,OFFSET($B1368,1,$A1368,ROW($A$1504)-ROW($A1368)),0))</f>
        <v>0</v>
      </c>
      <c r="I1368">
        <f ca="1">IF(OR($A1368="S",$A1368=0),0,MATCH(OFFSET($B1368,0,$A1368)+1,OFFSET($B1368,1,$A1368,ROW($A$1504)-ROW($A1368)),0))</f>
        <v>0</v>
      </c>
      <c r="J1368" s="132" t="s">
        <v>29</v>
      </c>
      <c r="K1368" s="121" t="str">
        <f t="shared" ca="1" si="1730"/>
        <v>15.1.23.</v>
      </c>
      <c r="L1368" s="137" t="str">
        <f t="shared" ca="1" si="1738"/>
        <v>Cotação</v>
      </c>
      <c r="M1368" s="122" t="s">
        <v>79</v>
      </c>
      <c r="N1368" s="139" t="s">
        <v>170</v>
      </c>
      <c r="O1368" s="137" t="str">
        <f t="shared" ca="1" si="1731"/>
        <v>Saco de lixo (100 litros)</v>
      </c>
      <c r="P1368" s="138" t="str">
        <f t="shared" ca="1" si="1739"/>
        <v>Pacote</v>
      </c>
      <c r="Q1368" s="134">
        <v>4</v>
      </c>
      <c r="R1368" s="124">
        <f t="shared" ca="1" si="1740"/>
        <v>15</v>
      </c>
      <c r="S1368" s="136" t="s">
        <v>62</v>
      </c>
      <c r="T1368" s="123">
        <f t="shared" ca="1" si="1741"/>
        <v>18.75</v>
      </c>
      <c r="U1368" s="126">
        <f t="shared" ca="1" si="1742"/>
        <v>75</v>
      </c>
      <c r="V1368" s="1"/>
      <c r="W1368" s="39" t="str">
        <f ca="1">IF(OR($A1368=0,$A1368="S",$A1368&gt;CFF!$A$9),"",MAX(W$11:OFFSET(W1368,-1,0))+1)</f>
        <v/>
      </c>
      <c r="X1368" s="4" t="str">
        <f t="shared" si="1743"/>
        <v>Rec. Materiais-026</v>
      </c>
      <c r="Y1368" s="39">
        <f t="shared" ca="1" si="1732"/>
        <v>35</v>
      </c>
      <c r="Z1368" s="1"/>
      <c r="AA1368" s="133">
        <f>IF($J1368=$G$2,ROUND(IF(ISNUMBER(S1368),S1368,IF(LEFT(S1368,2)="DI",HLOOKUP(S1368,DADOS!$T$29:$X$30,2,FALSE),0)),4),"")</f>
        <v>0.25</v>
      </c>
      <c r="AB1368" s="2"/>
    </row>
    <row r="1369" spans="1:28">
      <c r="A1369">
        <f>CHOOSE(1+LOG(1+2*(J1369=$C$2)+4*(J1369=$D$2)+8*(J1369=$E$2)+16*(J1369=$F$2)+32*(J1369=$G$2),2),0,1,2,3,4,"S")</f>
        <v>2</v>
      </c>
      <c r="B1369">
        <f ca="1">IF(OR(A1369="S",A1369=0),0,IF(ISERROR(I1369),H1369,SMALL(H1369:I1369,1)))</f>
        <v>3</v>
      </c>
      <c r="C1369">
        <f ca="1">IF($A1369=1,OFFSET(C1369,-1,0)+1,OFFSET(C1369,-1,0))</f>
        <v>15</v>
      </c>
      <c r="D1369">
        <f ca="1">IF($A1369=1,0,IF($A1369=2,OFFSET(D1369,-1,0)+1,OFFSET(D1369,-1,0)))</f>
        <v>2</v>
      </c>
      <c r="E1369">
        <f ca="1">IF(AND($A1369&lt;=2,$A1369&lt;&gt;0),0,IF($A1369=3,OFFSET(E1369,-1,0)+1,OFFSET(E1369,-1,0)))</f>
        <v>0</v>
      </c>
      <c r="F1369">
        <f ca="1">IF(AND($A1369&lt;=3,$A1369&lt;&gt;0),0,IF($A1369=4,OFFSET(F1369,-1,0)+1,OFFSET(F1369,-1,0)))</f>
        <v>0</v>
      </c>
      <c r="G1369">
        <f ca="1">IF(AND($A1369&lt;=4,$A1369&lt;&gt;0),0,IF($A1369="S",OFFSET(G1369,-1,0)+1,OFFSET(G1369,-1,0)))</f>
        <v>0</v>
      </c>
      <c r="H1369">
        <f ca="1">IF(OR($A1369="S",$A1369=0),0,MATCH(0,OFFSET($B1369,1,$A1369,ROW($A$1504)-ROW($A1369)),0))</f>
        <v>44</v>
      </c>
      <c r="I1369">
        <f ca="1">IF(OR($A1369="S",$A1369=0),0,MATCH(OFFSET($B1369,0,$A1369)+1,OFFSET($B1369,1,$A1369,ROW($A$1504)-ROW($A1369)),0))</f>
        <v>3</v>
      </c>
      <c r="J1369" s="132" t="s">
        <v>68</v>
      </c>
      <c r="K1369" s="121" t="str">
        <f ca="1">IF($A1369=0,"-",CONCATENATE(C1369&amp;".",IF(AND($A$5&gt;=2,$A1369&gt;=2),D1369&amp;".",""),IF(AND($A$5&gt;=3,$A1369&gt;=3),E1369&amp;".",""),IF(AND($A$5&gt;=4,$A1369&gt;=4),F1369&amp;".",""),IF($A1369="S",G1369&amp;".","")))</f>
        <v>15.2.</v>
      </c>
      <c r="L1369" s="137" t="str">
        <f ca="1">IF(NOT(ISERROR($Y1369)),IF($Y1369&lt;&gt;FALSE,INDEX(Banco,$Y1369,4),""),"")</f>
        <v/>
      </c>
      <c r="M1369" s="122"/>
      <c r="N1369" s="139"/>
      <c r="O1369" s="137" t="s">
        <v>445</v>
      </c>
      <c r="P1369" s="138" t="str">
        <f ca="1">IF(NOT(ISERROR($Y1369)),IF($Y1369&lt;&gt;FALSE,INDEX(Banco,$Y1369,6),""),"")</f>
        <v/>
      </c>
      <c r="Q1369" s="134"/>
      <c r="R1369" s="124">
        <f ca="1">IF(NOT(ISERROR($Y1369)),IF($Y1369&lt;&gt;FALSE,INDEX(Banco,$Y1369,7),0),0)</f>
        <v>0</v>
      </c>
      <c r="S1369" s="136" t="s">
        <v>62</v>
      </c>
      <c r="T1369" s="123">
        <f>IF($J1369=$G$2,ROUND(ROUND($R1369,2)*IF($R$9="Preço Unitário (R$)",1,1+$AA1369),2),0)</f>
        <v>0</v>
      </c>
      <c r="U1369" s="126">
        <f ca="1">IF($A1369="S",VTOTAL1,IF($A1369=0,0,ROUND(SomaAgrup,2)))</f>
        <v>1754.96</v>
      </c>
      <c r="V1369" s="1"/>
      <c r="W1369" s="39">
        <f ca="1">IF(OR($A1369=0,$A1369="S",$A1369&gt;CFF!$A$9),"",MAX(W$11:OFFSET(W1369,-1,0))+1)</f>
        <v>119</v>
      </c>
      <c r="X1369" s="4" t="b">
        <f>IF(AND($J1369=$G$2,$N1369&lt;&gt;"",$M1369&lt;&gt;""),CONCATENATE($M1369,"-",$N1369))</f>
        <v>0</v>
      </c>
      <c r="Y1369" s="39" t="b">
        <f ca="1">IF(X1369&lt;&gt;FALSE,MATCH(X1369,OFFSET(Banco,0,0,,1),0))</f>
        <v>0</v>
      </c>
      <c r="Z1369" s="1"/>
      <c r="AA1369" s="133" t="str">
        <f>IF($J1369=$G$2,ROUND(IF(ISNUMBER(S1369),S1369,IF(LEFT(S1369,2)="DI",HLOOKUP(S1369,DADOS!$T$29:$X$30,2,FALSE),0)),4),"")</f>
        <v/>
      </c>
      <c r="AB1369" s="2"/>
    </row>
    <row r="1370" spans="1:28">
      <c r="A1370" t="str">
        <f t="shared" ref="A1370:A1371" si="1744">CHOOSE(1+LOG(1+2*(J1370=$C$2)+4*(J1370=$D$2)+8*(J1370=$E$2)+16*(J1370=$F$2)+32*(J1370=$G$2),2),0,1,2,3,4,"S")</f>
        <v>S</v>
      </c>
      <c r="B1370">
        <f t="shared" ref="B1370:B1371" si="1745">IF(OR(A1370="S",A1370=0),0,IF(ISERROR(I1370),H1370,SMALL(H1370:I1370,1)))</f>
        <v>0</v>
      </c>
      <c r="C1370">
        <f t="shared" ca="1" si="1733"/>
        <v>15</v>
      </c>
      <c r="D1370">
        <f t="shared" ca="1" si="1734"/>
        <v>2</v>
      </c>
      <c r="E1370">
        <f t="shared" ca="1" si="1735"/>
        <v>0</v>
      </c>
      <c r="F1370">
        <f t="shared" ca="1" si="1736"/>
        <v>0</v>
      </c>
      <c r="G1370">
        <f t="shared" ca="1" si="1737"/>
        <v>1</v>
      </c>
      <c r="H1370">
        <f ca="1">IF(OR($A1370="S",$A1370=0),0,MATCH(0,OFFSET($B1370,1,$A1370,ROW($A$1504)-ROW($A1370)),0))</f>
        <v>0</v>
      </c>
      <c r="I1370">
        <f ca="1">IF(OR($A1370="S",$A1370=0),0,MATCH(OFFSET($B1370,0,$A1370)+1,OFFSET($B1370,1,$A1370,ROW($A$1504)-ROW($A1370)),0))</f>
        <v>0</v>
      </c>
      <c r="J1370" s="132" t="s">
        <v>29</v>
      </c>
      <c r="K1370" s="121" t="str">
        <f t="shared" ref="K1370:K1371" ca="1" si="1746">IF($A1370=0,"-",CONCATENATE(C1370&amp;".",IF(AND($A$5&gt;=2,$A1370&gt;=2),D1370&amp;".",""),IF(AND($A$5&gt;=3,$A1370&gt;=3),E1370&amp;".",""),IF(AND($A$5&gt;=4,$A1370&gt;=4),F1370&amp;".",""),IF($A1370="S",G1370&amp;".","")))</f>
        <v>15.2.1.</v>
      </c>
      <c r="L1370" s="137" t="str">
        <f t="shared" ca="1" si="1738"/>
        <v>CRESS</v>
      </c>
      <c r="M1370" s="122" t="s">
        <v>78</v>
      </c>
      <c r="N1370" s="139" t="s">
        <v>149</v>
      </c>
      <c r="O1370" s="137" t="str">
        <f ca="1">IF(NOT(ISERROR($Y1370)),IF($Y1370&lt;&gt;FALSE,INDEX(Banco,$Y1370,5),""),"")</f>
        <v>Responsável Técnica</v>
      </c>
      <c r="P1370" s="138" t="str">
        <f t="shared" ca="1" si="1739"/>
        <v>Horas</v>
      </c>
      <c r="Q1370" s="134">
        <v>4</v>
      </c>
      <c r="R1370" s="124">
        <f t="shared" ca="1" si="1740"/>
        <v>150.28</v>
      </c>
      <c r="S1370" s="136" t="s">
        <v>62</v>
      </c>
      <c r="T1370" s="123">
        <f t="shared" ca="1" si="1741"/>
        <v>187.85</v>
      </c>
      <c r="U1370" s="126">
        <f t="shared" ca="1" si="1742"/>
        <v>751.4</v>
      </c>
      <c r="V1370" s="1"/>
      <c r="W1370" s="39" t="str">
        <f ca="1">IF(OR($A1370=0,$A1370="S",$A1370&gt;CFF!$A$9),"",MAX(W$11:OFFSET(W1370,-1,0))+1)</f>
        <v/>
      </c>
      <c r="X1370" s="4" t="str">
        <f t="shared" si="1743"/>
        <v>Rec. Humanos-001</v>
      </c>
      <c r="Y1370" s="39">
        <f t="shared" ref="Y1370:Y1371" ca="1" si="1747">IF(X1370&lt;&gt;FALSE,MATCH(X1370,OFFSET(Banco,0,0,,1),0))</f>
        <v>3</v>
      </c>
      <c r="Z1370" s="1"/>
      <c r="AA1370" s="133">
        <f>IF($J1370=$G$2,ROUND(IF(ISNUMBER(S1370),S1370,IF(LEFT(S1370,2)="DI",HLOOKUP(S1370,DADOS!$T$29:$X$30,2,FALSE),0)),4),"")</f>
        <v>0.25</v>
      </c>
      <c r="AB1370" s="2"/>
    </row>
    <row r="1371" spans="1:28">
      <c r="A1371" t="str">
        <f t="shared" si="1744"/>
        <v>S</v>
      </c>
      <c r="B1371">
        <f t="shared" si="1745"/>
        <v>0</v>
      </c>
      <c r="C1371">
        <f t="shared" ca="1" si="1733"/>
        <v>15</v>
      </c>
      <c r="D1371">
        <f t="shared" ca="1" si="1734"/>
        <v>2</v>
      </c>
      <c r="E1371">
        <f t="shared" ca="1" si="1735"/>
        <v>0</v>
      </c>
      <c r="F1371">
        <f t="shared" ca="1" si="1736"/>
        <v>0</v>
      </c>
      <c r="G1371">
        <f t="shared" ca="1" si="1737"/>
        <v>2</v>
      </c>
      <c r="H1371">
        <f ca="1">IF(OR($A1371="S",$A1371=0),0,MATCH(0,OFFSET($B1371,1,$A1371,ROW($A$1504)-ROW($A1371)),0))</f>
        <v>0</v>
      </c>
      <c r="I1371">
        <f ca="1">IF(OR($A1371="S",$A1371=0),0,MATCH(OFFSET($B1371,0,$A1371)+1,OFFSET($B1371,1,$A1371,ROW($A$1504)-ROW($A1371)),0))</f>
        <v>0</v>
      </c>
      <c r="J1371" s="132" t="s">
        <v>29</v>
      </c>
      <c r="K1371" s="121" t="str">
        <f t="shared" ca="1" si="1746"/>
        <v>15.2.2.</v>
      </c>
      <c r="L1371" s="137" t="str">
        <f t="shared" ca="1" si="1738"/>
        <v>CRESS</v>
      </c>
      <c r="M1371" s="122" t="s">
        <v>78</v>
      </c>
      <c r="N1371" s="139" t="s">
        <v>152</v>
      </c>
      <c r="O1371" s="137" t="str">
        <f ca="1">IF(NOT(ISERROR($Y1371)),IF($Y1371&lt;&gt;FALSE,INDEX(Banco,$Y1371,5),""),"")</f>
        <v>Assistente Social</v>
      </c>
      <c r="P1371" s="138" t="str">
        <f t="shared" ca="1" si="1739"/>
        <v>Horas</v>
      </c>
      <c r="Q1371" s="134">
        <v>6</v>
      </c>
      <c r="R1371" s="124">
        <f t="shared" ca="1" si="1740"/>
        <v>133.81</v>
      </c>
      <c r="S1371" s="136" t="s">
        <v>62</v>
      </c>
      <c r="T1371" s="123">
        <f t="shared" ca="1" si="1741"/>
        <v>167.26</v>
      </c>
      <c r="U1371" s="126">
        <f t="shared" ca="1" si="1742"/>
        <v>1003.56</v>
      </c>
      <c r="V1371" s="1"/>
      <c r="W1371" s="39" t="str">
        <f ca="1">IF(OR($A1371=0,$A1371="S",$A1371&gt;CFF!$A$9),"",MAX(W$11:OFFSET(W1371,-1,0))+1)</f>
        <v/>
      </c>
      <c r="X1371" s="4" t="str">
        <f t="shared" si="1743"/>
        <v>Rec. Humanos-002</v>
      </c>
      <c r="Y1371" s="39">
        <f t="shared" ca="1" si="1747"/>
        <v>4</v>
      </c>
      <c r="Z1371" s="1"/>
      <c r="AA1371" s="133">
        <f>IF($J1371=$G$2,ROUND(IF(ISNUMBER(S1371),S1371,IF(LEFT(S1371,2)="DI",HLOOKUP(S1371,DADOS!$T$29:$X$30,2,FALSE),0)),4),"")</f>
        <v>0.25</v>
      </c>
      <c r="AB1371" s="2"/>
    </row>
    <row r="1372" spans="1:28" ht="25.5">
      <c r="A1372">
        <f>CHOOSE(1+LOG(1+2*(J1372=$C$2)+4*(J1372=$D$2)+8*(J1372=$E$2)+16*(J1372=$F$2)+32*(J1372=$G$2),2),0,1,2,3,4,"S")</f>
        <v>2</v>
      </c>
      <c r="B1372">
        <f ca="1">IF(OR(A1372="S",A1372=0),0,IF(ISERROR(I1372),H1372,SMALL(H1372:I1372,1)))</f>
        <v>19</v>
      </c>
      <c r="C1372">
        <f ca="1">IF($A1372=1,OFFSET(C1372,-1,0)+1,OFFSET(C1372,-1,0))</f>
        <v>15</v>
      </c>
      <c r="D1372">
        <f ca="1">IF($A1372=1,0,IF($A1372=2,OFFSET(D1372,-1,0)+1,OFFSET(D1372,-1,0)))</f>
        <v>3</v>
      </c>
      <c r="E1372">
        <f ca="1">IF(AND($A1372&lt;=2,$A1372&lt;&gt;0),0,IF($A1372=3,OFFSET(E1372,-1,0)+1,OFFSET(E1372,-1,0)))</f>
        <v>0</v>
      </c>
      <c r="F1372">
        <f ca="1">IF(AND($A1372&lt;=3,$A1372&lt;&gt;0),0,IF($A1372=4,OFFSET(F1372,-1,0)+1,OFFSET(F1372,-1,0)))</f>
        <v>0</v>
      </c>
      <c r="G1372">
        <f ca="1">IF(AND($A1372&lt;=4,$A1372&lt;&gt;0),0,IF($A1372="S",OFFSET(G1372,-1,0)+1,OFFSET(G1372,-1,0)))</f>
        <v>0</v>
      </c>
      <c r="H1372">
        <f ca="1">IF(OR($A1372="S",$A1372=0),0,MATCH(0,OFFSET($B1372,1,$A1372,ROW($A$1504)-ROW($A1372)),0))</f>
        <v>41</v>
      </c>
      <c r="I1372">
        <f ca="1">IF(OR($A1372="S",$A1372=0),0,MATCH(OFFSET($B1372,0,$A1372)+1,OFFSET($B1372,1,$A1372,ROW($A$1504)-ROW($A1372)),0))</f>
        <v>19</v>
      </c>
      <c r="J1372" s="132" t="s">
        <v>68</v>
      </c>
      <c r="K1372" s="121" t="str">
        <f ca="1">IF($A1372=0,"-",CONCATENATE(C1372&amp;".",IF(AND($A$5&gt;=2,$A1372&gt;=2),D1372&amp;".",""),IF(AND($A$5&gt;=3,$A1372&gt;=3),E1372&amp;".",""),IF(AND($A$5&gt;=4,$A1372&gt;=4),F1372&amp;".",""),IF($A1372="S",G1372&amp;".","")))</f>
        <v>15.3.</v>
      </c>
      <c r="L1372" s="137" t="str">
        <f ca="1">IF(NOT(ISERROR($Y1372)),IF($Y1372&lt;&gt;FALSE,INDEX(Banco,$Y1372,4),""),"")</f>
        <v/>
      </c>
      <c r="M1372" s="122"/>
      <c r="N1372" s="139"/>
      <c r="O1372" s="137" t="s">
        <v>446</v>
      </c>
      <c r="P1372" s="138" t="str">
        <f ca="1">IF(NOT(ISERROR($Y1372)),IF($Y1372&lt;&gt;FALSE,INDEX(Banco,$Y1372,6),""),"")</f>
        <v/>
      </c>
      <c r="Q1372" s="134"/>
      <c r="R1372" s="124">
        <f ca="1">IF(NOT(ISERROR($Y1372)),IF($Y1372&lt;&gt;FALSE,INDEX(Banco,$Y1372,7),0),0)</f>
        <v>0</v>
      </c>
      <c r="S1372" s="136" t="s">
        <v>62</v>
      </c>
      <c r="T1372" s="123">
        <f>IF($J1372=$G$2,ROUND(ROUND($R1372,2)*IF($R$9="Preço Unitário (R$)",1,1+$AA1372),2),0)</f>
        <v>0</v>
      </c>
      <c r="U1372" s="126">
        <f ca="1">IF($A1372="S",VTOTAL1,IF($A1372=0,0,ROUND(SomaAgrup,2)))</f>
        <v>8463.56</v>
      </c>
      <c r="V1372" s="1"/>
      <c r="W1372" s="39">
        <f ca="1">IF(OR($A1372=0,$A1372="S",$A1372&gt;CFF!$A$9),"",MAX(W$11:OFFSET(W1372,-1,0))+1)</f>
        <v>120</v>
      </c>
      <c r="X1372" s="4" t="b">
        <f>IF(AND($J1372=$G$2,$N1372&lt;&gt;"",$M1372&lt;&gt;""),CONCATENATE($M1372,"-",$N1372))</f>
        <v>0</v>
      </c>
      <c r="Y1372" s="39" t="b">
        <f ca="1">IF(X1372&lt;&gt;FALSE,MATCH(X1372,OFFSET(Banco,0,0,,1),0))</f>
        <v>0</v>
      </c>
      <c r="Z1372" s="1"/>
      <c r="AA1372" s="133" t="str">
        <f>IF($J1372=$G$2,ROUND(IF(ISNUMBER(S1372),S1372,IF(LEFT(S1372,2)="DI",HLOOKUP(S1372,DADOS!$T$29:$X$30,2,FALSE),0)),4),"")</f>
        <v/>
      </c>
      <c r="AB1372" s="2"/>
    </row>
    <row r="1373" spans="1:28">
      <c r="A1373" t="str">
        <f>CHOOSE(1+LOG(1+2*(J1373=$C$2)+4*(J1373=$D$2)+8*(J1373=$E$2)+16*(J1373=$F$2)+32*(J1373=$G$2),2),0,1,2,3,4,"S")</f>
        <v>S</v>
      </c>
      <c r="B1373">
        <f>IF(OR(A1373="S",A1373=0),0,IF(ISERROR(I1373),H1373,SMALL(H1373:I1373,1)))</f>
        <v>0</v>
      </c>
      <c r="C1373">
        <f t="shared" ca="1" si="1733"/>
        <v>15</v>
      </c>
      <c r="D1373">
        <f t="shared" ca="1" si="1734"/>
        <v>3</v>
      </c>
      <c r="E1373">
        <f t="shared" ca="1" si="1735"/>
        <v>0</v>
      </c>
      <c r="F1373">
        <f t="shared" ca="1" si="1736"/>
        <v>0</v>
      </c>
      <c r="G1373">
        <f t="shared" ca="1" si="1737"/>
        <v>1</v>
      </c>
      <c r="H1373">
        <f ca="1">IF(OR($A1373="S",$A1373=0),0,MATCH(0,OFFSET($B1373,1,$A1373,ROW($A$1504)-ROW($A1373)),0))</f>
        <v>0</v>
      </c>
      <c r="I1373">
        <f ca="1">IF(OR($A1373="S",$A1373=0),0,MATCH(OFFSET($B1373,0,$A1373)+1,OFFSET($B1373,1,$A1373,ROW($A$1504)-ROW($A1373)),0))</f>
        <v>0</v>
      </c>
      <c r="J1373" s="132" t="s">
        <v>29</v>
      </c>
      <c r="K1373" s="121" t="str">
        <f ca="1">IF($A1373=0,"-",CONCATENATE(C1373&amp;".",IF(AND($A$5&gt;=2,$A1373&gt;=2),D1373&amp;".",""),IF(AND($A$5&gt;=3,$A1373&gt;=3),E1373&amp;".",""),IF(AND($A$5&gt;=4,$A1373&gt;=4),F1373&amp;".",""),IF($A1373="S",G1373&amp;".","")))</f>
        <v>15.3.1.</v>
      </c>
      <c r="L1373" s="137" t="str">
        <f t="shared" ca="1" si="1738"/>
        <v>CRESS</v>
      </c>
      <c r="M1373" s="122" t="s">
        <v>78</v>
      </c>
      <c r="N1373" s="139" t="s">
        <v>149</v>
      </c>
      <c r="O1373" s="137" t="str">
        <f ca="1">IF(NOT(ISERROR($Y1373)),IF($Y1373&lt;&gt;FALSE,INDEX(Banco,$Y1373,5),""),"")</f>
        <v>Responsável Técnica</v>
      </c>
      <c r="P1373" s="138" t="str">
        <f t="shared" ca="1" si="1739"/>
        <v>Horas</v>
      </c>
      <c r="Q1373" s="134">
        <v>6</v>
      </c>
      <c r="R1373" s="124">
        <f t="shared" ca="1" si="1740"/>
        <v>150.28</v>
      </c>
      <c r="S1373" s="136" t="s">
        <v>62</v>
      </c>
      <c r="T1373" s="123">
        <f t="shared" ca="1" si="1741"/>
        <v>187.85</v>
      </c>
      <c r="U1373" s="126">
        <f t="shared" ca="1" si="1742"/>
        <v>1127.0999999999999</v>
      </c>
      <c r="V1373" s="1"/>
      <c r="W1373" s="39" t="str">
        <f ca="1">IF(OR($A1373=0,$A1373="S",$A1373&gt;CFF!$A$9),"",MAX(W$11:OFFSET(W1373,-1,0))+1)</f>
        <v/>
      </c>
      <c r="X1373" s="4" t="str">
        <f t="shared" si="1743"/>
        <v>Rec. Humanos-001</v>
      </c>
      <c r="Y1373" s="39">
        <f ca="1">IF(X1373&lt;&gt;FALSE,MATCH(X1373,OFFSET(Banco,0,0,,1),0))</f>
        <v>3</v>
      </c>
      <c r="Z1373" s="1"/>
      <c r="AA1373" s="133">
        <f>IF($J1373=$G$2,ROUND(IF(ISNUMBER(S1373),S1373,IF(LEFT(S1373,2)="DI",HLOOKUP(S1373,DADOS!$T$29:$X$30,2,FALSE),0)),4),"")</f>
        <v>0.25</v>
      </c>
      <c r="AB1373" s="2"/>
    </row>
    <row r="1374" spans="1:28">
      <c r="A1374" t="str">
        <f t="shared" ref="A1374:A1381" si="1748">CHOOSE(1+LOG(1+2*(J1374=$C$2)+4*(J1374=$D$2)+8*(J1374=$E$2)+16*(J1374=$F$2)+32*(J1374=$G$2),2),0,1,2,3,4,"S")</f>
        <v>S</v>
      </c>
      <c r="B1374">
        <f t="shared" ref="B1374:B1381" si="1749">IF(OR(A1374="S",A1374=0),0,IF(ISERROR(I1374),H1374,SMALL(H1374:I1374,1)))</f>
        <v>0</v>
      </c>
      <c r="C1374">
        <f t="shared" ref="C1374:C1381" ca="1" si="1750">IF($A1374=1,OFFSET(C1374,-1,0)+1,OFFSET(C1374,-1,0))</f>
        <v>15</v>
      </c>
      <c r="D1374">
        <f t="shared" ref="D1374:D1381" ca="1" si="1751">IF($A1374=1,0,IF($A1374=2,OFFSET(D1374,-1,0)+1,OFFSET(D1374,-1,0)))</f>
        <v>3</v>
      </c>
      <c r="E1374">
        <f t="shared" ref="E1374:E1381" ca="1" si="1752">IF(AND($A1374&lt;=2,$A1374&lt;&gt;0),0,IF($A1374=3,OFFSET(E1374,-1,0)+1,OFFSET(E1374,-1,0)))</f>
        <v>0</v>
      </c>
      <c r="F1374">
        <f t="shared" ref="F1374:F1381" ca="1" si="1753">IF(AND($A1374&lt;=3,$A1374&lt;&gt;0),0,IF($A1374=4,OFFSET(F1374,-1,0)+1,OFFSET(F1374,-1,0)))</f>
        <v>0</v>
      </c>
      <c r="G1374">
        <f t="shared" ref="G1374:G1381" ca="1" si="1754">IF(AND($A1374&lt;=4,$A1374&lt;&gt;0),0,IF($A1374="S",OFFSET(G1374,-1,0)+1,OFFSET(G1374,-1,0)))</f>
        <v>2</v>
      </c>
      <c r="H1374">
        <f ca="1">IF(OR($A1374="S",$A1374=0),0,MATCH(0,OFFSET($B1374,1,$A1374,ROW($A$1504)-ROW($A1374)),0))</f>
        <v>0</v>
      </c>
      <c r="I1374">
        <f ca="1">IF(OR($A1374="S",$A1374=0),0,MATCH(OFFSET($B1374,0,$A1374)+1,OFFSET($B1374,1,$A1374,ROW($A$1504)-ROW($A1374)),0))</f>
        <v>0</v>
      </c>
      <c r="J1374" s="132" t="s">
        <v>29</v>
      </c>
      <c r="K1374" s="121" t="str">
        <f t="shared" ref="K1374:K1381" ca="1" si="1755">IF($A1374=0,"-",CONCATENATE(C1374&amp;".",IF(AND($A$5&gt;=2,$A1374&gt;=2),D1374&amp;".",""),IF(AND($A$5&gt;=3,$A1374&gt;=3),E1374&amp;".",""),IF(AND($A$5&gt;=4,$A1374&gt;=4),F1374&amp;".",""),IF($A1374="S",G1374&amp;".","")))</f>
        <v>15.3.2.</v>
      </c>
      <c r="L1374" s="137" t="str">
        <f t="shared" ref="L1374:L1381" ca="1" si="1756">IF(NOT(ISERROR($Y1374)),IF($Y1374&lt;&gt;FALSE,INDEX(Banco,$Y1374,4),""),"")</f>
        <v>CRESS</v>
      </c>
      <c r="M1374" s="122" t="s">
        <v>78</v>
      </c>
      <c r="N1374" s="139" t="s">
        <v>152</v>
      </c>
      <c r="O1374" s="137" t="str">
        <f t="shared" ref="O1374:O1390" ca="1" si="1757">IF(NOT(ISERROR($Y1374)),IF($Y1374&lt;&gt;FALSE,INDEX(Banco,$Y1374,5),""),"")</f>
        <v>Assistente Social</v>
      </c>
      <c r="P1374" s="138" t="str">
        <f t="shared" ref="P1374:P1381" ca="1" si="1758">IF(NOT(ISERROR($Y1374)),IF($Y1374&lt;&gt;FALSE,INDEX(Banco,$Y1374,6),""),"")</f>
        <v>Horas</v>
      </c>
      <c r="Q1374" s="134">
        <v>6</v>
      </c>
      <c r="R1374" s="124">
        <f t="shared" ref="R1374:R1381" ca="1" si="1759">IF(NOT(ISERROR($Y1374)),IF($Y1374&lt;&gt;FALSE,INDEX(Banco,$Y1374,7),0),0)</f>
        <v>133.81</v>
      </c>
      <c r="S1374" s="136" t="s">
        <v>62</v>
      </c>
      <c r="T1374" s="123">
        <f t="shared" ref="T1374:T1381" ca="1" si="1760">IF($J1374=$G$2,ROUND(ROUND($R1374,2)*IF($R$9="Preço Unitário (R$)",1,1+$AA1374),2),0)</f>
        <v>167.26</v>
      </c>
      <c r="U1374" s="126">
        <f t="shared" ref="U1374:U1381" ca="1" si="1761">IF($A1374="S",VTOTAL1,IF($A1374=0,0,ROUND(SomaAgrup,2)))</f>
        <v>1003.56</v>
      </c>
      <c r="V1374" s="1"/>
      <c r="W1374" s="39" t="str">
        <f ca="1">IF(OR($A1374=0,$A1374="S",$A1374&gt;CFF!$A$9),"",MAX(W$11:OFFSET(W1374,-1,0))+1)</f>
        <v/>
      </c>
      <c r="X1374" s="4" t="str">
        <f t="shared" ref="X1374:X1381" si="1762">IF(AND($J1374=$G$2,$N1374&lt;&gt;"",$M1374&lt;&gt;""),CONCATENATE($M1374,"-",$N1374))</f>
        <v>Rec. Humanos-002</v>
      </c>
      <c r="Y1374" s="39">
        <f t="shared" ref="Y1374:Y1381" ca="1" si="1763">IF(X1374&lt;&gt;FALSE,MATCH(X1374,OFFSET(Banco,0,0,,1),0))</f>
        <v>4</v>
      </c>
      <c r="Z1374" s="1"/>
      <c r="AA1374" s="133">
        <f>IF($J1374=$G$2,ROUND(IF(ISNUMBER(S1374),S1374,IF(LEFT(S1374,2)="DI",HLOOKUP(S1374,DADOS!$T$29:$X$30,2,FALSE),0)),4),"")</f>
        <v>0.25</v>
      </c>
      <c r="AB1374" s="2"/>
    </row>
    <row r="1375" spans="1:28">
      <c r="A1375" t="str">
        <f t="shared" si="1748"/>
        <v>S</v>
      </c>
      <c r="B1375">
        <f t="shared" si="1749"/>
        <v>0</v>
      </c>
      <c r="C1375">
        <f t="shared" ca="1" si="1750"/>
        <v>15</v>
      </c>
      <c r="D1375">
        <f t="shared" ca="1" si="1751"/>
        <v>3</v>
      </c>
      <c r="E1375">
        <f t="shared" ca="1" si="1752"/>
        <v>0</v>
      </c>
      <c r="F1375">
        <f t="shared" ca="1" si="1753"/>
        <v>0</v>
      </c>
      <c r="G1375">
        <f t="shared" ca="1" si="1754"/>
        <v>3</v>
      </c>
      <c r="H1375">
        <f ca="1">IF(OR($A1375="S",$A1375=0),0,MATCH(0,OFFSET($B1375,1,$A1375,ROW($A$1504)-ROW($A1375)),0))</f>
        <v>0</v>
      </c>
      <c r="I1375">
        <f ca="1">IF(OR($A1375="S",$A1375=0),0,MATCH(OFFSET($B1375,0,$A1375)+1,OFFSET($B1375,1,$A1375,ROW($A$1504)-ROW($A1375)),0))</f>
        <v>0</v>
      </c>
      <c r="J1375" s="132" t="s">
        <v>29</v>
      </c>
      <c r="K1375" s="121" t="str">
        <f t="shared" ca="1" si="1755"/>
        <v>15.3.3.</v>
      </c>
      <c r="L1375" s="137" t="str">
        <f t="shared" ca="1" si="1756"/>
        <v>Cotação</v>
      </c>
      <c r="M1375" s="122" t="s">
        <v>78</v>
      </c>
      <c r="N1375" s="139" t="s">
        <v>151</v>
      </c>
      <c r="O1375" s="137" t="str">
        <f t="shared" ca="1" si="1757"/>
        <v xml:space="preserve">Administrador (Técnico de Apoio) </v>
      </c>
      <c r="P1375" s="138" t="str">
        <f t="shared" ca="1" si="1758"/>
        <v>Horas</v>
      </c>
      <c r="Q1375" s="134">
        <v>4</v>
      </c>
      <c r="R1375" s="124">
        <f t="shared" ca="1" si="1759"/>
        <v>103.65</v>
      </c>
      <c r="S1375" s="136" t="s">
        <v>62</v>
      </c>
      <c r="T1375" s="123">
        <f t="shared" ca="1" si="1760"/>
        <v>129.56</v>
      </c>
      <c r="U1375" s="126">
        <f t="shared" ca="1" si="1761"/>
        <v>518.24</v>
      </c>
      <c r="V1375" s="1"/>
      <c r="W1375" s="39" t="str">
        <f ca="1">IF(OR($A1375=0,$A1375="S",$A1375&gt;CFF!$A$9),"",MAX(W$11:OFFSET(W1375,-1,0))+1)</f>
        <v/>
      </c>
      <c r="X1375" s="4" t="str">
        <f t="shared" si="1762"/>
        <v>Rec. Humanos-003</v>
      </c>
      <c r="Y1375" s="39">
        <f t="shared" ca="1" si="1763"/>
        <v>5</v>
      </c>
      <c r="Z1375" s="1"/>
      <c r="AA1375" s="133">
        <f>IF($J1375=$G$2,ROUND(IF(ISNUMBER(S1375),S1375,IF(LEFT(S1375,2)="DI",HLOOKUP(S1375,DADOS!$T$29:$X$30,2,FALSE),0)),4),"")</f>
        <v>0.25</v>
      </c>
      <c r="AB1375" s="2"/>
    </row>
    <row r="1376" spans="1:28">
      <c r="A1376" t="str">
        <f t="shared" si="1748"/>
        <v>S</v>
      </c>
      <c r="B1376">
        <f t="shared" si="1749"/>
        <v>0</v>
      </c>
      <c r="C1376">
        <f t="shared" ca="1" si="1750"/>
        <v>15</v>
      </c>
      <c r="D1376">
        <f t="shared" ca="1" si="1751"/>
        <v>3</v>
      </c>
      <c r="E1376">
        <f t="shared" ca="1" si="1752"/>
        <v>0</v>
      </c>
      <c r="F1376">
        <f t="shared" ca="1" si="1753"/>
        <v>0</v>
      </c>
      <c r="G1376">
        <f t="shared" ca="1" si="1754"/>
        <v>4</v>
      </c>
      <c r="H1376">
        <f ca="1">IF(OR($A1376="S",$A1376=0),0,MATCH(0,OFFSET($B1376,1,$A1376,ROW($A$1504)-ROW($A1376)),0))</f>
        <v>0</v>
      </c>
      <c r="I1376">
        <f ca="1">IF(OR($A1376="S",$A1376=0),0,MATCH(OFFSET($B1376,0,$A1376)+1,OFFSET($B1376,1,$A1376,ROW($A$1504)-ROW($A1376)),0))</f>
        <v>0</v>
      </c>
      <c r="J1376" s="132" t="s">
        <v>29</v>
      </c>
      <c r="K1376" s="121" t="str">
        <f t="shared" ca="1" si="1755"/>
        <v>15.3.4.</v>
      </c>
      <c r="L1376" s="137" t="str">
        <f t="shared" ca="1" si="1756"/>
        <v>SINE</v>
      </c>
      <c r="M1376" s="122" t="s">
        <v>78</v>
      </c>
      <c r="N1376" s="139" t="s">
        <v>153</v>
      </c>
      <c r="O1376" s="137" t="str">
        <f t="shared" ca="1" si="1757"/>
        <v>Estagiários</v>
      </c>
      <c r="P1376" s="138" t="str">
        <f t="shared" ca="1" si="1758"/>
        <v>Horas</v>
      </c>
      <c r="Q1376" s="134">
        <v>10</v>
      </c>
      <c r="R1376" s="124">
        <f t="shared" ca="1" si="1759"/>
        <v>9.7899999999999991</v>
      </c>
      <c r="S1376" s="136" t="s">
        <v>62</v>
      </c>
      <c r="T1376" s="123">
        <f t="shared" ca="1" si="1760"/>
        <v>12.24</v>
      </c>
      <c r="U1376" s="126">
        <f t="shared" ca="1" si="1761"/>
        <v>122.4</v>
      </c>
      <c r="V1376" s="1"/>
      <c r="W1376" s="39" t="str">
        <f ca="1">IF(OR($A1376=0,$A1376="S",$A1376&gt;CFF!$A$9),"",MAX(W$11:OFFSET(W1376,-1,0))+1)</f>
        <v/>
      </c>
      <c r="X1376" s="4" t="str">
        <f t="shared" si="1762"/>
        <v>Rec. Humanos-004</v>
      </c>
      <c r="Y1376" s="39">
        <f t="shared" ca="1" si="1763"/>
        <v>6</v>
      </c>
      <c r="Z1376" s="1"/>
      <c r="AA1376" s="133">
        <f>IF($J1376=$G$2,ROUND(IF(ISNUMBER(S1376),S1376,IF(LEFT(S1376,2)="DI",HLOOKUP(S1376,DADOS!$T$29:$X$30,2,FALSE),0)),4),"")</f>
        <v>0.25</v>
      </c>
      <c r="AB1376" s="2"/>
    </row>
    <row r="1377" spans="1:28">
      <c r="A1377" t="str">
        <f t="shared" si="1748"/>
        <v>S</v>
      </c>
      <c r="B1377">
        <f t="shared" si="1749"/>
        <v>0</v>
      </c>
      <c r="C1377">
        <f t="shared" ca="1" si="1750"/>
        <v>15</v>
      </c>
      <c r="D1377">
        <f t="shared" ca="1" si="1751"/>
        <v>3</v>
      </c>
      <c r="E1377">
        <f t="shared" ca="1" si="1752"/>
        <v>0</v>
      </c>
      <c r="F1377">
        <f t="shared" ca="1" si="1753"/>
        <v>0</v>
      </c>
      <c r="G1377">
        <f t="shared" ca="1" si="1754"/>
        <v>5</v>
      </c>
      <c r="H1377">
        <f ca="1">IF(OR($A1377="S",$A1377=0),0,MATCH(0,OFFSET($B1377,1,$A1377,ROW($A$1504)-ROW($A1377)),0))</f>
        <v>0</v>
      </c>
      <c r="I1377">
        <f ca="1">IF(OR($A1377="S",$A1377=0),0,MATCH(OFFSET($B1377,0,$A1377)+1,OFFSET($B1377,1,$A1377,ROW($A$1504)-ROW($A1377)),0))</f>
        <v>0</v>
      </c>
      <c r="J1377" s="132" t="s">
        <v>29</v>
      </c>
      <c r="K1377" s="121" t="str">
        <f t="shared" ca="1" si="1755"/>
        <v>15.3.5.</v>
      </c>
      <c r="L1377" s="137" t="str">
        <f t="shared" ca="1" si="1756"/>
        <v>Cotação</v>
      </c>
      <c r="M1377" s="122" t="s">
        <v>80</v>
      </c>
      <c r="N1377" s="139" t="s">
        <v>149</v>
      </c>
      <c r="O1377" s="137" t="str">
        <f t="shared" ca="1" si="1757"/>
        <v>Fotocópias</v>
      </c>
      <c r="P1377" s="138" t="str">
        <f t="shared" ca="1" si="1758"/>
        <v>Unidade</v>
      </c>
      <c r="Q1377" s="134">
        <v>150</v>
      </c>
      <c r="R1377" s="124">
        <f t="shared" ca="1" si="1759"/>
        <v>0.3</v>
      </c>
      <c r="S1377" s="136" t="s">
        <v>62</v>
      </c>
      <c r="T1377" s="123">
        <f t="shared" ca="1" si="1760"/>
        <v>0.38</v>
      </c>
      <c r="U1377" s="126">
        <f t="shared" ca="1" si="1761"/>
        <v>57</v>
      </c>
      <c r="V1377" s="1"/>
      <c r="W1377" s="39" t="str">
        <f ca="1">IF(OR($A1377=0,$A1377="S",$A1377&gt;CFF!$A$9),"",MAX(W$11:OFFSET(W1377,-1,0))+1)</f>
        <v/>
      </c>
      <c r="X1377" s="4" t="str">
        <f t="shared" si="1762"/>
        <v>Serv. Terc.-001</v>
      </c>
      <c r="Y1377" s="39">
        <f t="shared" ca="1" si="1763"/>
        <v>81</v>
      </c>
      <c r="Z1377" s="1"/>
      <c r="AA1377" s="133">
        <f>IF($J1377=$G$2,ROUND(IF(ISNUMBER(S1377),S1377,IF(LEFT(S1377,2)="DI",HLOOKUP(S1377,DADOS!$T$29:$X$30,2,FALSE),0)),4),"")</f>
        <v>0.25</v>
      </c>
      <c r="AB1377" s="2"/>
    </row>
    <row r="1378" spans="1:28">
      <c r="A1378" t="str">
        <f>CHOOSE(1+LOG(1+2*(J1378=$C$2)+4*(J1378=$D$2)+8*(J1378=$E$2)+16*(J1378=$F$2)+32*(J1378=$G$2),2),0,1,2,3,4,"S")</f>
        <v>S</v>
      </c>
      <c r="B1378">
        <f>IF(OR(A1378="S",A1378=0),0,IF(ISERROR(I1378),H1378,SMALL(H1378:I1378,1)))</f>
        <v>0</v>
      </c>
      <c r="C1378">
        <f ca="1">IF($A1378=1,OFFSET(C1378,-1,0)+1,OFFSET(C1378,-1,0))</f>
        <v>15</v>
      </c>
      <c r="D1378">
        <f ca="1">IF($A1378=1,0,IF($A1378=2,OFFSET(D1378,-1,0)+1,OFFSET(D1378,-1,0)))</f>
        <v>3</v>
      </c>
      <c r="E1378">
        <f ca="1">IF(AND($A1378&lt;=2,$A1378&lt;&gt;0),0,IF($A1378=3,OFFSET(E1378,-1,0)+1,OFFSET(E1378,-1,0)))</f>
        <v>0</v>
      </c>
      <c r="F1378">
        <f ca="1">IF(AND($A1378&lt;=3,$A1378&lt;&gt;0),0,IF($A1378=4,OFFSET(F1378,-1,0)+1,OFFSET(F1378,-1,0)))</f>
        <v>0</v>
      </c>
      <c r="G1378">
        <f ca="1">IF(AND($A1378&lt;=4,$A1378&lt;&gt;0),0,IF($A1378="S",OFFSET(G1378,-1,0)+1,OFFSET(G1378,-1,0)))</f>
        <v>6</v>
      </c>
      <c r="H1378">
        <f ca="1">IF(OR($A1378="S",$A1378=0),0,MATCH(0,OFFSET($B1378,1,$A1378,ROW($A$1504)-ROW($A1378)),0))</f>
        <v>0</v>
      </c>
      <c r="I1378">
        <f ca="1">IF(OR($A1378="S",$A1378=0),0,MATCH(OFFSET($B1378,0,$A1378)+1,OFFSET($B1378,1,$A1378,ROW($A$1504)-ROW($A1378)),0))</f>
        <v>0</v>
      </c>
      <c r="J1378" s="132" t="s">
        <v>29</v>
      </c>
      <c r="K1378" s="121" t="str">
        <f ca="1">IF($A1378=0,"-",CONCATENATE(C1378&amp;".",IF(AND($A$5&gt;=2,$A1378&gt;=2),D1378&amp;".",""),IF(AND($A$5&gt;=3,$A1378&gt;=3),E1378&amp;".",""),IF(AND($A$5&gt;=4,$A1378&gt;=4),F1378&amp;".",""),IF($A1378="S",G1378&amp;".","")))</f>
        <v>15.3.6.</v>
      </c>
      <c r="L1378" s="137" t="str">
        <f ca="1">IF(NOT(ISERROR($Y1378)),IF($Y1378&lt;&gt;FALSE,INDEX(Banco,$Y1378,4),""),"")</f>
        <v>Cotação</v>
      </c>
      <c r="M1378" s="122" t="s">
        <v>80</v>
      </c>
      <c r="N1378" s="139" t="s">
        <v>256</v>
      </c>
      <c r="O1378" s="137" t="str">
        <f ca="1">IF(NOT(ISERROR($Y1378)),IF($Y1378&lt;&gt;FALSE,INDEX(Banco,$Y1378,5),""),"")</f>
        <v>Instrutor/Monitor (Educação Fisíca)</v>
      </c>
      <c r="P1378" s="138" t="str">
        <f ca="1">IF(NOT(ISERROR($Y1378)),IF($Y1378&lt;&gt;FALSE,INDEX(Banco,$Y1378,6),""),"")</f>
        <v>Horas</v>
      </c>
      <c r="Q1378" s="134">
        <v>3</v>
      </c>
      <c r="R1378" s="124">
        <f ca="1">IF(NOT(ISERROR($Y1378)),IF($Y1378&lt;&gt;FALSE,INDEX(Banco,$Y1378,7),0),0)</f>
        <v>100</v>
      </c>
      <c r="S1378" s="136" t="s">
        <v>62</v>
      </c>
      <c r="T1378" s="123">
        <f ca="1">IF($J1378=$G$2,ROUND(ROUND($R1378,2)*IF($R$9="Preço Unitário (R$)",1,1+$AA1378),2),0)</f>
        <v>125</v>
      </c>
      <c r="U1378" s="126">
        <f ca="1">IF($A1378="S",VTOTAL1,IF($A1378=0,0,ROUND(SomaAgrup,2)))</f>
        <v>375</v>
      </c>
      <c r="V1378" s="1"/>
      <c r="W1378" s="39" t="str">
        <f ca="1">IF(OR($A1378=0,$A1378="S",$A1378&gt;CFF!$A$9),"",MAX(W$11:OFFSET(W1378,-1,0))+1)</f>
        <v/>
      </c>
      <c r="X1378" s="4" t="str">
        <f>IF(AND($J1378=$G$2,$N1378&lt;&gt;"",$M1378&lt;&gt;""),CONCATENATE($M1378,"-",$N1378))</f>
        <v>Serv. Terc.-017</v>
      </c>
      <c r="Y1378" s="39">
        <f ca="1">IF(X1378&lt;&gt;FALSE,MATCH(X1378,OFFSET(Banco,0,0,,1),0))</f>
        <v>97</v>
      </c>
      <c r="Z1378" s="1"/>
      <c r="AA1378" s="133">
        <f>IF($J1378=$G$2,ROUND(IF(ISNUMBER(S1378),S1378,IF(LEFT(S1378,2)="DI",HLOOKUP(S1378,DADOS!$T$29:$X$30,2,FALSE),0)),4),"")</f>
        <v>0.25</v>
      </c>
      <c r="AB1378" s="2"/>
    </row>
    <row r="1379" spans="1:28">
      <c r="A1379" t="str">
        <f t="shared" si="1748"/>
        <v>S</v>
      </c>
      <c r="B1379">
        <f t="shared" si="1749"/>
        <v>0</v>
      </c>
      <c r="C1379">
        <f t="shared" ca="1" si="1750"/>
        <v>15</v>
      </c>
      <c r="D1379">
        <f t="shared" ca="1" si="1751"/>
        <v>3</v>
      </c>
      <c r="E1379">
        <f t="shared" ca="1" si="1752"/>
        <v>0</v>
      </c>
      <c r="F1379">
        <f t="shared" ca="1" si="1753"/>
        <v>0</v>
      </c>
      <c r="G1379">
        <f t="shared" ca="1" si="1754"/>
        <v>7</v>
      </c>
      <c r="H1379">
        <f ca="1">IF(OR($A1379="S",$A1379=0),0,MATCH(0,OFFSET($B1379,1,$A1379,ROW($A$1504)-ROW($A1379)),0))</f>
        <v>0</v>
      </c>
      <c r="I1379">
        <f ca="1">IF(OR($A1379="S",$A1379=0),0,MATCH(OFFSET($B1379,0,$A1379)+1,OFFSET($B1379,1,$A1379,ROW($A$1504)-ROW($A1379)),0))</f>
        <v>0</v>
      </c>
      <c r="J1379" s="132" t="s">
        <v>29</v>
      </c>
      <c r="K1379" s="121" t="str">
        <f t="shared" ca="1" si="1755"/>
        <v>15.3.7.</v>
      </c>
      <c r="L1379" s="137" t="str">
        <f t="shared" ca="1" si="1756"/>
        <v>Cotação</v>
      </c>
      <c r="M1379" s="122" t="s">
        <v>80</v>
      </c>
      <c r="N1379" s="139" t="s">
        <v>152</v>
      </c>
      <c r="O1379" s="137" t="str">
        <f t="shared" ca="1" si="1757"/>
        <v>Carro de som com gravação de vinheta</v>
      </c>
      <c r="P1379" s="138" t="str">
        <f t="shared" ca="1" si="1758"/>
        <v>Horas</v>
      </c>
      <c r="Q1379" s="134">
        <v>3</v>
      </c>
      <c r="R1379" s="124">
        <f t="shared" ca="1" si="1759"/>
        <v>200</v>
      </c>
      <c r="S1379" s="136" t="s">
        <v>62</v>
      </c>
      <c r="T1379" s="123">
        <f t="shared" ca="1" si="1760"/>
        <v>250</v>
      </c>
      <c r="U1379" s="126">
        <f t="shared" ca="1" si="1761"/>
        <v>750</v>
      </c>
      <c r="V1379" s="1"/>
      <c r="W1379" s="39" t="str">
        <f ca="1">IF(OR($A1379=0,$A1379="S",$A1379&gt;CFF!$A$9),"",MAX(W$11:OFFSET(W1379,-1,0))+1)</f>
        <v/>
      </c>
      <c r="X1379" s="4" t="str">
        <f t="shared" si="1762"/>
        <v>Serv. Terc.-002</v>
      </c>
      <c r="Y1379" s="39">
        <f t="shared" ca="1" si="1763"/>
        <v>82</v>
      </c>
      <c r="Z1379" s="1"/>
      <c r="AA1379" s="133">
        <f>IF($J1379=$G$2,ROUND(IF(ISNUMBER(S1379),S1379,IF(LEFT(S1379,2)="DI",HLOOKUP(S1379,DADOS!$T$29:$X$30,2,FALSE),0)),4),"")</f>
        <v>0.25</v>
      </c>
      <c r="AB1379" s="2"/>
    </row>
    <row r="1380" spans="1:28">
      <c r="A1380" t="str">
        <f t="shared" si="1748"/>
        <v>S</v>
      </c>
      <c r="B1380">
        <f t="shared" si="1749"/>
        <v>0</v>
      </c>
      <c r="C1380">
        <f t="shared" ca="1" si="1750"/>
        <v>15</v>
      </c>
      <c r="D1380">
        <f t="shared" ca="1" si="1751"/>
        <v>3</v>
      </c>
      <c r="E1380">
        <f t="shared" ca="1" si="1752"/>
        <v>0</v>
      </c>
      <c r="F1380">
        <f t="shared" ca="1" si="1753"/>
        <v>0</v>
      </c>
      <c r="G1380">
        <f t="shared" ca="1" si="1754"/>
        <v>8</v>
      </c>
      <c r="H1380">
        <f ca="1">IF(OR($A1380="S",$A1380=0),0,MATCH(0,OFFSET($B1380,1,$A1380,ROW($A$1504)-ROW($A1380)),0))</f>
        <v>0</v>
      </c>
      <c r="I1380">
        <f ca="1">IF(OR($A1380="S",$A1380=0),0,MATCH(OFFSET($B1380,0,$A1380)+1,OFFSET($B1380,1,$A1380,ROW($A$1504)-ROW($A1380)),0))</f>
        <v>0</v>
      </c>
      <c r="J1380" s="132" t="s">
        <v>29</v>
      </c>
      <c r="K1380" s="121" t="str">
        <f t="shared" ca="1" si="1755"/>
        <v>15.3.8.</v>
      </c>
      <c r="L1380" s="137" t="str">
        <f t="shared" ca="1" si="1756"/>
        <v>Cotação</v>
      </c>
      <c r="M1380" s="122" t="s">
        <v>80</v>
      </c>
      <c r="N1380" s="139" t="s">
        <v>154</v>
      </c>
      <c r="O1380" s="137" t="str">
        <f t="shared" ca="1" si="1757"/>
        <v>Locação de caixa térmica</v>
      </c>
      <c r="P1380" s="138" t="str">
        <f t="shared" ca="1" si="1758"/>
        <v>Unidade</v>
      </c>
      <c r="Q1380" s="134">
        <v>2</v>
      </c>
      <c r="R1380" s="124">
        <f t="shared" ca="1" si="1759"/>
        <v>40</v>
      </c>
      <c r="S1380" s="136" t="s">
        <v>62</v>
      </c>
      <c r="T1380" s="123">
        <f t="shared" ca="1" si="1760"/>
        <v>50</v>
      </c>
      <c r="U1380" s="126">
        <f t="shared" ca="1" si="1761"/>
        <v>100</v>
      </c>
      <c r="V1380" s="1"/>
      <c r="W1380" s="39" t="str">
        <f ca="1">IF(OR($A1380=0,$A1380="S",$A1380&gt;CFF!$A$9),"",MAX(W$11:OFFSET(W1380,-1,0))+1)</f>
        <v/>
      </c>
      <c r="X1380" s="4" t="str">
        <f t="shared" si="1762"/>
        <v>Serv. Terc.-005</v>
      </c>
      <c r="Y1380" s="39">
        <f t="shared" ca="1" si="1763"/>
        <v>85</v>
      </c>
      <c r="Z1380" s="1"/>
      <c r="AA1380" s="133">
        <f>IF($J1380=$G$2,ROUND(IF(ISNUMBER(S1380),S1380,IF(LEFT(S1380,2)="DI",HLOOKUP(S1380,DADOS!$T$29:$X$30,2,FALSE),0)),4),"")</f>
        <v>0.25</v>
      </c>
      <c r="AB1380" s="2"/>
    </row>
    <row r="1381" spans="1:28">
      <c r="A1381" t="str">
        <f t="shared" si="1748"/>
        <v>S</v>
      </c>
      <c r="B1381">
        <f t="shared" si="1749"/>
        <v>0</v>
      </c>
      <c r="C1381">
        <f t="shared" ca="1" si="1750"/>
        <v>15</v>
      </c>
      <c r="D1381">
        <f t="shared" ca="1" si="1751"/>
        <v>3</v>
      </c>
      <c r="E1381">
        <f t="shared" ca="1" si="1752"/>
        <v>0</v>
      </c>
      <c r="F1381">
        <f t="shared" ca="1" si="1753"/>
        <v>0</v>
      </c>
      <c r="G1381">
        <f t="shared" ca="1" si="1754"/>
        <v>9</v>
      </c>
      <c r="H1381">
        <f ca="1">IF(OR($A1381="S",$A1381=0),0,MATCH(0,OFFSET($B1381,1,$A1381,ROW($A$1504)-ROW($A1381)),0))</f>
        <v>0</v>
      </c>
      <c r="I1381">
        <f ca="1">IF(OR($A1381="S",$A1381=0),0,MATCH(OFFSET($B1381,0,$A1381)+1,OFFSET($B1381,1,$A1381,ROW($A$1504)-ROW($A1381)),0))</f>
        <v>0</v>
      </c>
      <c r="J1381" s="132" t="s">
        <v>29</v>
      </c>
      <c r="K1381" s="121" t="str">
        <f t="shared" ca="1" si="1755"/>
        <v>15.3.9.</v>
      </c>
      <c r="L1381" s="137" t="str">
        <f t="shared" ca="1" si="1756"/>
        <v>Cotação</v>
      </c>
      <c r="M1381" s="122" t="s">
        <v>80</v>
      </c>
      <c r="N1381" s="139" t="s">
        <v>157</v>
      </c>
      <c r="O1381" s="137" t="str">
        <f t="shared" ca="1" si="1757"/>
        <v>Locação de pula-pula com monitor</v>
      </c>
      <c r="P1381" s="138" t="str">
        <f t="shared" ca="1" si="1758"/>
        <v>Unidade</v>
      </c>
      <c r="Q1381" s="134">
        <v>2</v>
      </c>
      <c r="R1381" s="124">
        <f t="shared" ca="1" si="1759"/>
        <v>220</v>
      </c>
      <c r="S1381" s="136" t="s">
        <v>62</v>
      </c>
      <c r="T1381" s="123">
        <f t="shared" ca="1" si="1760"/>
        <v>275</v>
      </c>
      <c r="U1381" s="126">
        <f t="shared" ca="1" si="1761"/>
        <v>550</v>
      </c>
      <c r="V1381" s="1"/>
      <c r="W1381" s="39" t="str">
        <f ca="1">IF(OR($A1381=0,$A1381="S",$A1381&gt;CFF!$A$9),"",MAX(W$11:OFFSET(W1381,-1,0))+1)</f>
        <v/>
      </c>
      <c r="X1381" s="4" t="str">
        <f t="shared" si="1762"/>
        <v>Serv. Terc.-008</v>
      </c>
      <c r="Y1381" s="39">
        <f t="shared" ca="1" si="1763"/>
        <v>88</v>
      </c>
      <c r="Z1381" s="1"/>
      <c r="AA1381" s="133">
        <f>IF($J1381=$G$2,ROUND(IF(ISNUMBER(S1381),S1381,IF(LEFT(S1381,2)="DI",HLOOKUP(S1381,DADOS!$T$29:$X$30,2,FALSE),0)),4),"")</f>
        <v>0.25</v>
      </c>
      <c r="AB1381" s="2"/>
    </row>
    <row r="1382" spans="1:28">
      <c r="A1382" t="str">
        <f t="shared" ref="A1382:A1390" si="1764">CHOOSE(1+LOG(1+2*(J1382=$C$2)+4*(J1382=$D$2)+8*(J1382=$E$2)+16*(J1382=$F$2)+32*(J1382=$G$2),2),0,1,2,3,4,"S")</f>
        <v>S</v>
      </c>
      <c r="B1382">
        <f t="shared" ref="B1382:B1390" si="1765">IF(OR(A1382="S",A1382=0),0,IF(ISERROR(I1382),H1382,SMALL(H1382:I1382,1)))</f>
        <v>0</v>
      </c>
      <c r="C1382">
        <f t="shared" ref="C1382:C1412" ca="1" si="1766">IF($A1382=1,OFFSET(C1382,-1,0)+1,OFFSET(C1382,-1,0))</f>
        <v>15</v>
      </c>
      <c r="D1382">
        <f t="shared" ref="D1382:D1412" ca="1" si="1767">IF($A1382=1,0,IF($A1382=2,OFFSET(D1382,-1,0)+1,OFFSET(D1382,-1,0)))</f>
        <v>3</v>
      </c>
      <c r="E1382">
        <f t="shared" ref="E1382:E1412" ca="1" si="1768">IF(AND($A1382&lt;=2,$A1382&lt;&gt;0),0,IF($A1382=3,OFFSET(E1382,-1,0)+1,OFFSET(E1382,-1,0)))</f>
        <v>0</v>
      </c>
      <c r="F1382">
        <f t="shared" ref="F1382:F1412" ca="1" si="1769">IF(AND($A1382&lt;=3,$A1382&lt;&gt;0),0,IF($A1382=4,OFFSET(F1382,-1,0)+1,OFFSET(F1382,-1,0)))</f>
        <v>0</v>
      </c>
      <c r="G1382">
        <f t="shared" ref="G1382:G1412" ca="1" si="1770">IF(AND($A1382&lt;=4,$A1382&lt;&gt;0),0,IF($A1382="S",OFFSET(G1382,-1,0)+1,OFFSET(G1382,-1,0)))</f>
        <v>10</v>
      </c>
      <c r="H1382">
        <f ca="1">IF(OR($A1382="S",$A1382=0),0,MATCH(0,OFFSET($B1382,1,$A1382,ROW($A$1504)-ROW($A1382)),0))</f>
        <v>0</v>
      </c>
      <c r="I1382">
        <f ca="1">IF(OR($A1382="S",$A1382=0),0,MATCH(OFFSET($B1382,0,$A1382)+1,OFFSET($B1382,1,$A1382,ROW($A$1504)-ROW($A1382)),0))</f>
        <v>0</v>
      </c>
      <c r="J1382" s="132" t="s">
        <v>29</v>
      </c>
      <c r="K1382" s="121" t="str">
        <f t="shared" ref="K1382:K1390" ca="1" si="1771">IF($A1382=0,"-",CONCATENATE(C1382&amp;".",IF(AND($A$5&gt;=2,$A1382&gt;=2),D1382&amp;".",""),IF(AND($A$5&gt;=3,$A1382&gt;=3),E1382&amp;".",""),IF(AND($A$5&gt;=4,$A1382&gt;=4),F1382&amp;".",""),IF($A1382="S",G1382&amp;".","")))</f>
        <v>15.3.10.</v>
      </c>
      <c r="L1382" s="137" t="str">
        <f t="shared" ref="L1382:L1412" ca="1" si="1772">IF(NOT(ISERROR($Y1382)),IF($Y1382&lt;&gt;FALSE,INDEX(Banco,$Y1382,4),""),"")</f>
        <v xml:space="preserve">Cotação </v>
      </c>
      <c r="M1382" s="122" t="s">
        <v>80</v>
      </c>
      <c r="N1382" s="139" t="s">
        <v>160</v>
      </c>
      <c r="O1382" s="137" t="str">
        <f t="shared" ca="1" si="1757"/>
        <v>Barra de gelo</v>
      </c>
      <c r="P1382" s="138" t="str">
        <f t="shared" ref="P1382:P1412" ca="1" si="1773">IF(NOT(ISERROR($Y1382)),IF($Y1382&lt;&gt;FALSE,INDEX(Banco,$Y1382,6),""),"")</f>
        <v>Unidade</v>
      </c>
      <c r="Q1382" s="134">
        <v>4</v>
      </c>
      <c r="R1382" s="124">
        <f t="shared" ref="R1382:R1412" ca="1" si="1774">IF(NOT(ISERROR($Y1382)),IF($Y1382&lt;&gt;FALSE,INDEX(Banco,$Y1382,7),0),0)</f>
        <v>12</v>
      </c>
      <c r="S1382" s="136" t="s">
        <v>62</v>
      </c>
      <c r="T1382" s="123">
        <f t="shared" ref="T1382:T1412" ca="1" si="1775">IF($J1382=$G$2,ROUND(ROUND($R1382,2)*IF($R$9="Preço Unitário (R$)",1,1+$AA1382),2),0)</f>
        <v>15</v>
      </c>
      <c r="U1382" s="126">
        <f t="shared" ref="U1382:U1412" ca="1" si="1776">IF($A1382="S",VTOTAL1,IF($A1382=0,0,ROUND(SomaAgrup,2)))</f>
        <v>60</v>
      </c>
      <c r="V1382" s="1"/>
      <c r="W1382" s="39" t="str">
        <f ca="1">IF(OR($A1382=0,$A1382="S",$A1382&gt;CFF!$A$9),"",MAX(W$11:OFFSET(W1382,-1,0))+1)</f>
        <v/>
      </c>
      <c r="X1382" s="4" t="str">
        <f t="shared" ref="X1382:X1412" si="1777">IF(AND($J1382=$G$2,$N1382&lt;&gt;"",$M1382&lt;&gt;""),CONCATENATE($M1382,"-",$N1382))</f>
        <v>Serv. Terc.-011</v>
      </c>
      <c r="Y1382" s="39">
        <f t="shared" ref="Y1382:Y1390" ca="1" si="1778">IF(X1382&lt;&gt;FALSE,MATCH(X1382,OFFSET(Banco,0,0,,1),0))</f>
        <v>91</v>
      </c>
      <c r="Z1382" s="1"/>
      <c r="AA1382" s="133">
        <f>IF($J1382=$G$2,ROUND(IF(ISNUMBER(S1382),S1382,IF(LEFT(S1382,2)="DI",HLOOKUP(S1382,DADOS!$T$29:$X$30,2,FALSE),0)),4),"")</f>
        <v>0.25</v>
      </c>
      <c r="AB1382" s="2"/>
    </row>
    <row r="1383" spans="1:28">
      <c r="A1383" t="str">
        <f t="shared" si="1764"/>
        <v>S</v>
      </c>
      <c r="B1383">
        <f t="shared" si="1765"/>
        <v>0</v>
      </c>
      <c r="C1383">
        <f t="shared" ca="1" si="1766"/>
        <v>15</v>
      </c>
      <c r="D1383">
        <f t="shared" ca="1" si="1767"/>
        <v>3</v>
      </c>
      <c r="E1383">
        <f t="shared" ca="1" si="1768"/>
        <v>0</v>
      </c>
      <c r="F1383">
        <f t="shared" ca="1" si="1769"/>
        <v>0</v>
      </c>
      <c r="G1383">
        <f t="shared" ca="1" si="1770"/>
        <v>11</v>
      </c>
      <c r="H1383">
        <f ca="1">IF(OR($A1383="S",$A1383=0),0,MATCH(0,OFFSET($B1383,1,$A1383,ROW($A$1504)-ROW($A1383)),0))</f>
        <v>0</v>
      </c>
      <c r="I1383">
        <f ca="1">IF(OR($A1383="S",$A1383=0),0,MATCH(OFFSET($B1383,0,$A1383)+1,OFFSET($B1383,1,$A1383,ROW($A$1504)-ROW($A1383)),0))</f>
        <v>0</v>
      </c>
      <c r="J1383" s="132" t="s">
        <v>29</v>
      </c>
      <c r="K1383" s="121" t="str">
        <f t="shared" ca="1" si="1771"/>
        <v>15.3.11.</v>
      </c>
      <c r="L1383" s="137" t="str">
        <f t="shared" ca="1" si="1772"/>
        <v>Cotação</v>
      </c>
      <c r="M1383" s="122" t="s">
        <v>80</v>
      </c>
      <c r="N1383" s="139" t="s">
        <v>150</v>
      </c>
      <c r="O1383" s="137" t="str">
        <f t="shared" ca="1" si="1757"/>
        <v>Sucos</v>
      </c>
      <c r="P1383" s="138" t="str">
        <f t="shared" ca="1" si="1773"/>
        <v>Unidade</v>
      </c>
      <c r="Q1383" s="134">
        <v>12</v>
      </c>
      <c r="R1383" s="124">
        <f t="shared" ca="1" si="1774"/>
        <v>6.4</v>
      </c>
      <c r="S1383" s="136" t="s">
        <v>62</v>
      </c>
      <c r="T1383" s="123">
        <f t="shared" ca="1" si="1775"/>
        <v>8</v>
      </c>
      <c r="U1383" s="126">
        <f t="shared" ca="1" si="1776"/>
        <v>96</v>
      </c>
      <c r="V1383" s="1"/>
      <c r="W1383" s="39" t="str">
        <f ca="1">IF(OR($A1383=0,$A1383="S",$A1383&gt;CFF!$A$9),"",MAX(W$11:OFFSET(W1383,-1,0))+1)</f>
        <v/>
      </c>
      <c r="X1383" s="4" t="str">
        <f t="shared" si="1777"/>
        <v>Serv. Terc.-013</v>
      </c>
      <c r="Y1383" s="39">
        <f t="shared" ca="1" si="1778"/>
        <v>93</v>
      </c>
      <c r="Z1383" s="1"/>
      <c r="AA1383" s="133">
        <f>IF($J1383=$G$2,ROUND(IF(ISNUMBER(S1383),S1383,IF(LEFT(S1383,2)="DI",HLOOKUP(S1383,DADOS!$T$29:$X$30,2,FALSE),0)),4),"")</f>
        <v>0.25</v>
      </c>
      <c r="AB1383" s="2"/>
    </row>
    <row r="1384" spans="1:28">
      <c r="A1384" t="str">
        <f>CHOOSE(1+LOG(1+2*(J1384=$C$2)+4*(J1384=$D$2)+8*(J1384=$E$2)+16*(J1384=$F$2)+32*(J1384=$G$2),2),0,1,2,3,4,"S")</f>
        <v>S</v>
      </c>
      <c r="B1384">
        <f>IF(OR(A1384="S",A1384=0),0,IF(ISERROR(I1384),H1384,SMALL(H1384:I1384,1)))</f>
        <v>0</v>
      </c>
      <c r="C1384">
        <f ca="1">IF($A1384=1,OFFSET(C1384,-1,0)+1,OFFSET(C1384,-1,0))</f>
        <v>15</v>
      </c>
      <c r="D1384">
        <f ca="1">IF($A1384=1,0,IF($A1384=2,OFFSET(D1384,-1,0)+1,OFFSET(D1384,-1,0)))</f>
        <v>3</v>
      </c>
      <c r="E1384">
        <f ca="1">IF(AND($A1384&lt;=2,$A1384&lt;&gt;0),0,IF($A1384=3,OFFSET(E1384,-1,0)+1,OFFSET(E1384,-1,0)))</f>
        <v>0</v>
      </c>
      <c r="F1384">
        <f ca="1">IF(AND($A1384&lt;=3,$A1384&lt;&gt;0),0,IF($A1384=4,OFFSET(F1384,-1,0)+1,OFFSET(F1384,-1,0)))</f>
        <v>0</v>
      </c>
      <c r="G1384">
        <f ca="1">IF(AND($A1384&lt;=4,$A1384&lt;&gt;0),0,IF($A1384="S",OFFSET(G1384,-1,0)+1,OFFSET(G1384,-1,0)))</f>
        <v>12</v>
      </c>
      <c r="H1384">
        <f ca="1">IF(OR($A1384="S",$A1384=0),0,MATCH(0,OFFSET($B1384,1,$A1384,ROW($A$1504)-ROW($A1384)),0))</f>
        <v>0</v>
      </c>
      <c r="I1384">
        <f ca="1">IF(OR($A1384="S",$A1384=0),0,MATCH(OFFSET($B1384,0,$A1384)+1,OFFSET($B1384,1,$A1384,ROW($A$1504)-ROW($A1384)),0))</f>
        <v>0</v>
      </c>
      <c r="J1384" s="132" t="s">
        <v>29</v>
      </c>
      <c r="K1384" s="121" t="str">
        <f ca="1">IF($A1384=0,"-",CONCATENATE(C1384&amp;".",IF(AND($A$5&gt;=2,$A1384&gt;=2),D1384&amp;".",""),IF(AND($A$5&gt;=3,$A1384&gt;=3),E1384&amp;".",""),IF(AND($A$5&gt;=4,$A1384&gt;=4),F1384&amp;".",""),IF($A1384="S",G1384&amp;".","")))</f>
        <v>15.3.12.</v>
      </c>
      <c r="L1384" s="137" t="str">
        <f ca="1">IF(NOT(ISERROR($Y1384)),IF($Y1384&lt;&gt;FALSE,INDEX(Banco,$Y1384,4),""),"")</f>
        <v>Cotação</v>
      </c>
      <c r="M1384" s="122" t="s">
        <v>80</v>
      </c>
      <c r="N1384" s="139" t="s">
        <v>171</v>
      </c>
      <c r="O1384" s="137" t="str">
        <f ca="1">IF(NOT(ISERROR($Y1384)),IF($Y1384&lt;&gt;FALSE,INDEX(Banco,$Y1384,5),""),"")</f>
        <v xml:space="preserve">Refrigerantes (02 litros) </v>
      </c>
      <c r="P1384" s="138" t="str">
        <f ca="1">IF(NOT(ISERROR($Y1384)),IF($Y1384&lt;&gt;FALSE,INDEX(Banco,$Y1384,6),""),"")</f>
        <v>Unidade</v>
      </c>
      <c r="Q1384" s="134">
        <v>20</v>
      </c>
      <c r="R1384" s="124">
        <f ca="1">IF(NOT(ISERROR($Y1384)),IF($Y1384&lt;&gt;FALSE,INDEX(Banco,$Y1384,7),0),0)</f>
        <v>6</v>
      </c>
      <c r="S1384" s="136" t="s">
        <v>62</v>
      </c>
      <c r="T1384" s="123">
        <f ca="1">IF($J1384=$G$2,ROUND(ROUND($R1384,2)*IF($R$9="Preço Unitário (R$)",1,1+$AA1384),2),0)</f>
        <v>7.5</v>
      </c>
      <c r="U1384" s="126">
        <f ca="1">IF($A1384="S",VTOTAL1,IF($A1384=0,0,ROUND(SomaAgrup,2)))</f>
        <v>150</v>
      </c>
      <c r="V1384" s="1"/>
      <c r="W1384" s="39" t="str">
        <f ca="1">IF(OR($A1384=0,$A1384="S",$A1384&gt;CFF!$A$9),"",MAX(W$11:OFFSET(W1384,-1,0))+1)</f>
        <v/>
      </c>
      <c r="X1384" s="4" t="str">
        <f>IF(AND($J1384=$G$2,$N1384&lt;&gt;"",$M1384&lt;&gt;""),CONCATENATE($M1384,"-",$N1384))</f>
        <v>Serv. Terc.-027</v>
      </c>
      <c r="Y1384" s="39">
        <f ca="1">IF(X1384&lt;&gt;FALSE,MATCH(X1384,OFFSET(Banco,0,0,,1),0))</f>
        <v>107</v>
      </c>
      <c r="Z1384" s="1"/>
      <c r="AA1384" s="133">
        <f>IF($J1384=$G$2,ROUND(IF(ISNUMBER(S1384),S1384,IF(LEFT(S1384,2)="DI",HLOOKUP(S1384,DADOS!$T$29:$X$30,2,FALSE),0)),4),"")</f>
        <v>0.25</v>
      </c>
      <c r="AB1384" s="2"/>
    </row>
    <row r="1385" spans="1:28">
      <c r="A1385" t="str">
        <f t="shared" si="1764"/>
        <v>S</v>
      </c>
      <c r="B1385">
        <f t="shared" si="1765"/>
        <v>0</v>
      </c>
      <c r="C1385">
        <f t="shared" ca="1" si="1766"/>
        <v>15</v>
      </c>
      <c r="D1385">
        <f t="shared" ca="1" si="1767"/>
        <v>3</v>
      </c>
      <c r="E1385">
        <f t="shared" ca="1" si="1768"/>
        <v>0</v>
      </c>
      <c r="F1385">
        <f t="shared" ca="1" si="1769"/>
        <v>0</v>
      </c>
      <c r="G1385">
        <f t="shared" ca="1" si="1770"/>
        <v>13</v>
      </c>
      <c r="H1385">
        <f ca="1">IF(OR($A1385="S",$A1385=0),0,MATCH(0,OFFSET($B1385,1,$A1385,ROW($A$1504)-ROW($A1385)),0))</f>
        <v>0</v>
      </c>
      <c r="I1385">
        <f ca="1">IF(OR($A1385="S",$A1385=0),0,MATCH(OFFSET($B1385,0,$A1385)+1,OFFSET($B1385,1,$A1385,ROW($A$1504)-ROW($A1385)),0))</f>
        <v>0</v>
      </c>
      <c r="J1385" s="132" t="s">
        <v>29</v>
      </c>
      <c r="K1385" s="121" t="str">
        <f t="shared" ca="1" si="1771"/>
        <v>15.3.13.</v>
      </c>
      <c r="L1385" s="137" t="str">
        <f t="shared" ca="1" si="1772"/>
        <v xml:space="preserve">Cotação </v>
      </c>
      <c r="M1385" s="122" t="s">
        <v>80</v>
      </c>
      <c r="N1385" s="139" t="s">
        <v>159</v>
      </c>
      <c r="O1385" s="137" t="str">
        <f t="shared" ca="1" si="1757"/>
        <v>Brindes ( descrição nos orçamentos e PTS)</v>
      </c>
      <c r="P1385" s="138" t="str">
        <f t="shared" ca="1" si="1773"/>
        <v>Unidade</v>
      </c>
      <c r="Q1385" s="134">
        <v>4</v>
      </c>
      <c r="R1385" s="124">
        <f t="shared" ca="1" si="1774"/>
        <v>120</v>
      </c>
      <c r="S1385" s="136" t="s">
        <v>62</v>
      </c>
      <c r="T1385" s="123">
        <f t="shared" ca="1" si="1775"/>
        <v>150</v>
      </c>
      <c r="U1385" s="126">
        <f t="shared" ca="1" si="1776"/>
        <v>600</v>
      </c>
      <c r="V1385" s="1"/>
      <c r="W1385" s="39" t="str">
        <f ca="1">IF(OR($A1385=0,$A1385="S",$A1385&gt;CFF!$A$9),"",MAX(W$11:OFFSET(W1385,-1,0))+1)</f>
        <v/>
      </c>
      <c r="X1385" s="4" t="str">
        <f t="shared" si="1777"/>
        <v>Serv. Terc.-010</v>
      </c>
      <c r="Y1385" s="39">
        <f t="shared" ca="1" si="1778"/>
        <v>90</v>
      </c>
      <c r="Z1385" s="1"/>
      <c r="AA1385" s="133">
        <f>IF($J1385=$G$2,ROUND(IF(ISNUMBER(S1385),S1385,IF(LEFT(S1385,2)="DI",HLOOKUP(S1385,DADOS!$T$29:$X$30,2,FALSE),0)),4),"")</f>
        <v>0.25</v>
      </c>
      <c r="AB1385" s="2"/>
    </row>
    <row r="1386" spans="1:28">
      <c r="A1386" t="str">
        <f t="shared" si="1764"/>
        <v>S</v>
      </c>
      <c r="B1386">
        <f t="shared" si="1765"/>
        <v>0</v>
      </c>
      <c r="C1386">
        <f t="shared" ca="1" si="1766"/>
        <v>15</v>
      </c>
      <c r="D1386">
        <f t="shared" ca="1" si="1767"/>
        <v>3</v>
      </c>
      <c r="E1386">
        <f t="shared" ca="1" si="1768"/>
        <v>0</v>
      </c>
      <c r="F1386">
        <f t="shared" ca="1" si="1769"/>
        <v>0</v>
      </c>
      <c r="G1386">
        <f t="shared" ca="1" si="1770"/>
        <v>14</v>
      </c>
      <c r="H1386">
        <f ca="1">IF(OR($A1386="S",$A1386=0),0,MATCH(0,OFFSET($B1386,1,$A1386,ROW($A$1504)-ROW($A1386)),0))</f>
        <v>0</v>
      </c>
      <c r="I1386">
        <f ca="1">IF(OR($A1386="S",$A1386=0),0,MATCH(OFFSET($B1386,0,$A1386)+1,OFFSET($B1386,1,$A1386,ROW($A$1504)-ROW($A1386)),0))</f>
        <v>0</v>
      </c>
      <c r="J1386" s="132" t="s">
        <v>29</v>
      </c>
      <c r="K1386" s="121" t="str">
        <f t="shared" ca="1" si="1771"/>
        <v>15.3.14.</v>
      </c>
      <c r="L1386" s="137" t="str">
        <f t="shared" ca="1" si="1772"/>
        <v>Cotação</v>
      </c>
      <c r="M1386" s="122" t="s">
        <v>80</v>
      </c>
      <c r="N1386" s="139" t="s">
        <v>162</v>
      </c>
      <c r="O1386" s="137" t="str">
        <f t="shared" ca="1" si="1757"/>
        <v>Coffee break (salgados)</v>
      </c>
      <c r="P1386" s="138" t="str">
        <f t="shared" ca="1" si="1773"/>
        <v>Centro</v>
      </c>
      <c r="Q1386" s="134">
        <v>15</v>
      </c>
      <c r="R1386" s="124">
        <f t="shared" ca="1" si="1774"/>
        <v>65</v>
      </c>
      <c r="S1386" s="136" t="s">
        <v>62</v>
      </c>
      <c r="T1386" s="123">
        <f t="shared" ca="1" si="1775"/>
        <v>81.25</v>
      </c>
      <c r="U1386" s="126">
        <f t="shared" ca="1" si="1776"/>
        <v>1218.75</v>
      </c>
      <c r="V1386" s="1"/>
      <c r="W1386" s="39" t="str">
        <f ca="1">IF(OR($A1386=0,$A1386="S",$A1386&gt;CFF!$A$9),"",MAX(W$11:OFFSET(W1386,-1,0))+1)</f>
        <v/>
      </c>
      <c r="X1386" s="4" t="str">
        <f t="shared" si="1777"/>
        <v>Serv. Terc.-015</v>
      </c>
      <c r="Y1386" s="39">
        <f t="shared" ca="1" si="1778"/>
        <v>95</v>
      </c>
      <c r="Z1386" s="1"/>
      <c r="AA1386" s="133">
        <f>IF($J1386=$G$2,ROUND(IF(ISNUMBER(S1386),S1386,IF(LEFT(S1386,2)="DI",HLOOKUP(S1386,DADOS!$T$29:$X$30,2,FALSE),0)),4),"")</f>
        <v>0.25</v>
      </c>
      <c r="AB1386" s="2"/>
    </row>
    <row r="1387" spans="1:28">
      <c r="A1387" t="str">
        <f>CHOOSE(1+LOG(1+2*(J1387=$C$2)+4*(J1387=$D$2)+8*(J1387=$E$2)+16*(J1387=$F$2)+32*(J1387=$G$2),2),0,1,2,3,4,"S")</f>
        <v>S</v>
      </c>
      <c r="B1387">
        <f>IF(OR(A1387="S",A1387=0),0,IF(ISERROR(I1387),H1387,SMALL(H1387:I1387,1)))</f>
        <v>0</v>
      </c>
      <c r="C1387">
        <f ca="1">IF($A1387=1,OFFSET(C1387,-1,0)+1,OFFSET(C1387,-1,0))</f>
        <v>15</v>
      </c>
      <c r="D1387">
        <f ca="1">IF($A1387=1,0,IF($A1387=2,OFFSET(D1387,-1,0)+1,OFFSET(D1387,-1,0)))</f>
        <v>3</v>
      </c>
      <c r="E1387">
        <f ca="1">IF(AND($A1387&lt;=2,$A1387&lt;&gt;0),0,IF($A1387=3,OFFSET(E1387,-1,0)+1,OFFSET(E1387,-1,0)))</f>
        <v>0</v>
      </c>
      <c r="F1387">
        <f ca="1">IF(AND($A1387&lt;=3,$A1387&lt;&gt;0),0,IF($A1387=4,OFFSET(F1387,-1,0)+1,OFFSET(F1387,-1,0)))</f>
        <v>0</v>
      </c>
      <c r="G1387">
        <f ca="1">IF(AND($A1387&lt;=4,$A1387&lt;&gt;0),0,IF($A1387="S",OFFSET(G1387,-1,0)+1,OFFSET(G1387,-1,0)))</f>
        <v>15</v>
      </c>
      <c r="H1387">
        <f ca="1">IF(OR($A1387="S",$A1387=0),0,MATCH(0,OFFSET($B1387,1,$A1387,ROW($A$1504)-ROW($A1387)),0))</f>
        <v>0</v>
      </c>
      <c r="I1387">
        <f ca="1">IF(OR($A1387="S",$A1387=0),0,MATCH(OFFSET($B1387,0,$A1387)+1,OFFSET($B1387,1,$A1387,ROW($A$1504)-ROW($A1387)),0))</f>
        <v>0</v>
      </c>
      <c r="J1387" s="132" t="s">
        <v>29</v>
      </c>
      <c r="K1387" s="121" t="str">
        <f ca="1">IF($A1387=0,"-",CONCATENATE(C1387&amp;".",IF(AND($A$5&gt;=2,$A1387&gt;=2),D1387&amp;".",""),IF(AND($A$5&gt;=3,$A1387&gt;=3),E1387&amp;".",""),IF(AND($A$5&gt;=4,$A1387&gt;=4),F1387&amp;".",""),IF($A1387="S",G1387&amp;".","")))</f>
        <v>15.3.15.</v>
      </c>
      <c r="L1387" s="137" t="str">
        <f ca="1">IF(NOT(ISERROR($Y1387)),IF($Y1387&lt;&gt;FALSE,INDEX(Banco,$Y1387,4),""),"")</f>
        <v>CRP</v>
      </c>
      <c r="M1387" s="122" t="s">
        <v>80</v>
      </c>
      <c r="N1387" s="139" t="s">
        <v>279</v>
      </c>
      <c r="O1387" s="137" t="str">
        <f ca="1">IF(NOT(ISERROR($Y1387)),IF($Y1387&lt;&gt;FALSE,INDEX(Banco,$Y1387,5),""),"")</f>
        <v>Psicologa</v>
      </c>
      <c r="P1387" s="138" t="str">
        <f ca="1">IF(NOT(ISERROR($Y1387)),IF($Y1387&lt;&gt;FALSE,INDEX(Banco,$Y1387,6),""),"")</f>
        <v>Horas</v>
      </c>
      <c r="Q1387" s="134">
        <v>3</v>
      </c>
      <c r="R1387" s="124">
        <f ca="1">IF(NOT(ISERROR($Y1387)),IF($Y1387&lt;&gt;FALSE,INDEX(Banco,$Y1387,7),0),0)</f>
        <v>432.79</v>
      </c>
      <c r="S1387" s="136" t="s">
        <v>62</v>
      </c>
      <c r="T1387" s="123">
        <f ca="1">IF($J1387=$G$2,ROUND(ROUND($R1387,2)*IF($R$9="Preço Unitário (R$)",1,1+$AA1387),2),0)</f>
        <v>540.99</v>
      </c>
      <c r="U1387" s="126">
        <f ca="1">IF($A1387="S",VTOTAL1,IF($A1387=0,0,ROUND(SomaAgrup,2)))</f>
        <v>1622.97</v>
      </c>
      <c r="V1387" s="1"/>
      <c r="W1387" s="39" t="str">
        <f ca="1">IF(OR($A1387=0,$A1387="S",$A1387&gt;CFF!$A$9),"",MAX(W$11:OFFSET(W1387,-1,0))+1)</f>
        <v/>
      </c>
      <c r="X1387" s="4" t="str">
        <f>IF(AND($J1387=$G$2,$N1387&lt;&gt;"",$M1387&lt;&gt;""),CONCATENATE($M1387,"-",$N1387))</f>
        <v>Serv. Terc.-062</v>
      </c>
      <c r="Y1387" s="39">
        <f ca="1">IF(X1387&lt;&gt;FALSE,MATCH(X1387,OFFSET(Banco,0,0,,1),0))</f>
        <v>142</v>
      </c>
      <c r="Z1387" s="1"/>
      <c r="AA1387" s="133">
        <f>IF($J1387=$G$2,ROUND(IF(ISNUMBER(S1387),S1387,IF(LEFT(S1387,2)="DI",HLOOKUP(S1387,DADOS!$T$29:$X$30,2,FALSE),0)),4),"")</f>
        <v>0.25</v>
      </c>
      <c r="AB1387" s="2"/>
    </row>
    <row r="1388" spans="1:28">
      <c r="A1388" t="str">
        <f t="shared" si="1764"/>
        <v>S</v>
      </c>
      <c r="B1388">
        <f t="shared" si="1765"/>
        <v>0</v>
      </c>
      <c r="C1388">
        <f t="shared" ca="1" si="1766"/>
        <v>15</v>
      </c>
      <c r="D1388">
        <f t="shared" ca="1" si="1767"/>
        <v>3</v>
      </c>
      <c r="E1388">
        <f t="shared" ca="1" si="1768"/>
        <v>0</v>
      </c>
      <c r="F1388">
        <f t="shared" ca="1" si="1769"/>
        <v>0</v>
      </c>
      <c r="G1388">
        <f t="shared" ca="1" si="1770"/>
        <v>16</v>
      </c>
      <c r="H1388">
        <f ca="1">IF(OR($A1388="S",$A1388=0),0,MATCH(0,OFFSET($B1388,1,$A1388,ROW($A$1504)-ROW($A1388)),0))</f>
        <v>0</v>
      </c>
      <c r="I1388">
        <f ca="1">IF(OR($A1388="S",$A1388=0),0,MATCH(OFFSET($B1388,0,$A1388)+1,OFFSET($B1388,1,$A1388,ROW($A$1504)-ROW($A1388)),0))</f>
        <v>0</v>
      </c>
      <c r="J1388" s="132" t="s">
        <v>29</v>
      </c>
      <c r="K1388" s="121" t="str">
        <f t="shared" ca="1" si="1771"/>
        <v>15.3.16.</v>
      </c>
      <c r="L1388" s="137" t="str">
        <f t="shared" ca="1" si="1772"/>
        <v>Cotação</v>
      </c>
      <c r="M1388" s="122" t="s">
        <v>79</v>
      </c>
      <c r="N1388" s="139" t="s">
        <v>163</v>
      </c>
      <c r="O1388" s="137" t="str">
        <f t="shared" ca="1" si="1757"/>
        <v>Guloseimas (balas e pirulito)</v>
      </c>
      <c r="P1388" s="138" t="str">
        <f t="shared" ca="1" si="1773"/>
        <v>Pacote</v>
      </c>
      <c r="Q1388" s="134">
        <v>4</v>
      </c>
      <c r="R1388" s="124">
        <f t="shared" ca="1" si="1774"/>
        <v>12</v>
      </c>
      <c r="S1388" s="136" t="s">
        <v>62</v>
      </c>
      <c r="T1388" s="123">
        <f t="shared" ca="1" si="1775"/>
        <v>15</v>
      </c>
      <c r="U1388" s="126">
        <f t="shared" ca="1" si="1776"/>
        <v>60</v>
      </c>
      <c r="V1388" s="1"/>
      <c r="W1388" s="39" t="str">
        <f ca="1">IF(OR($A1388=0,$A1388="S",$A1388&gt;CFF!$A$9),"",MAX(W$11:OFFSET(W1388,-1,0))+1)</f>
        <v/>
      </c>
      <c r="X1388" s="4" t="str">
        <f t="shared" si="1777"/>
        <v>Rec. Materiais-020</v>
      </c>
      <c r="Y1388" s="39">
        <f t="shared" ca="1" si="1778"/>
        <v>29</v>
      </c>
      <c r="Z1388" s="1"/>
      <c r="AA1388" s="133">
        <f>IF($J1388=$G$2,ROUND(IF(ISNUMBER(S1388),S1388,IF(LEFT(S1388,2)="DI",HLOOKUP(S1388,DADOS!$T$29:$X$30,2,FALSE),0)),4),"")</f>
        <v>0.25</v>
      </c>
      <c r="AB1388" s="2"/>
    </row>
    <row r="1389" spans="1:28">
      <c r="A1389" t="str">
        <f t="shared" si="1764"/>
        <v>S</v>
      </c>
      <c r="B1389">
        <f t="shared" si="1765"/>
        <v>0</v>
      </c>
      <c r="C1389">
        <f t="shared" ca="1" si="1766"/>
        <v>15</v>
      </c>
      <c r="D1389">
        <f t="shared" ca="1" si="1767"/>
        <v>3</v>
      </c>
      <c r="E1389">
        <f t="shared" ca="1" si="1768"/>
        <v>0</v>
      </c>
      <c r="F1389">
        <f t="shared" ca="1" si="1769"/>
        <v>0</v>
      </c>
      <c r="G1389">
        <f t="shared" ca="1" si="1770"/>
        <v>17</v>
      </c>
      <c r="H1389">
        <f ca="1">IF(OR($A1389="S",$A1389=0),0,MATCH(0,OFFSET($B1389,1,$A1389,ROW($A$1504)-ROW($A1389)),0))</f>
        <v>0</v>
      </c>
      <c r="I1389">
        <f ca="1">IF(OR($A1389="S",$A1389=0),0,MATCH(OFFSET($B1389,0,$A1389)+1,OFFSET($B1389,1,$A1389,ROW($A$1504)-ROW($A1389)),0))</f>
        <v>0</v>
      </c>
      <c r="J1389" s="132" t="s">
        <v>29</v>
      </c>
      <c r="K1389" s="121" t="str">
        <f t="shared" ca="1" si="1771"/>
        <v>15.3.17.</v>
      </c>
      <c r="L1389" s="137" t="str">
        <f t="shared" ca="1" si="1772"/>
        <v>Cotação</v>
      </c>
      <c r="M1389" s="122" t="s">
        <v>79</v>
      </c>
      <c r="N1389" s="139" t="s">
        <v>165</v>
      </c>
      <c r="O1389" s="137" t="str">
        <f t="shared" ca="1" si="1757"/>
        <v>Papel de presente</v>
      </c>
      <c r="P1389" s="138" t="str">
        <f t="shared" ca="1" si="1773"/>
        <v>Folhas</v>
      </c>
      <c r="Q1389" s="134">
        <v>8</v>
      </c>
      <c r="R1389" s="124">
        <f t="shared" ca="1" si="1774"/>
        <v>1.5</v>
      </c>
      <c r="S1389" s="136" t="s">
        <v>62</v>
      </c>
      <c r="T1389" s="123">
        <f t="shared" ca="1" si="1775"/>
        <v>1.88</v>
      </c>
      <c r="U1389" s="126">
        <f t="shared" ca="1" si="1776"/>
        <v>15.04</v>
      </c>
      <c r="V1389" s="1"/>
      <c r="W1389" s="39" t="str">
        <f ca="1">IF(OR($A1389=0,$A1389="S",$A1389&gt;CFF!$A$9),"",MAX(W$11:OFFSET(W1389,-1,0))+1)</f>
        <v/>
      </c>
      <c r="X1389" s="4" t="str">
        <f t="shared" si="1777"/>
        <v>Rec. Materiais-021</v>
      </c>
      <c r="Y1389" s="39">
        <f t="shared" ca="1" si="1778"/>
        <v>30</v>
      </c>
      <c r="Z1389" s="1"/>
      <c r="AA1389" s="133">
        <f>IF($J1389=$G$2,ROUND(IF(ISNUMBER(S1389),S1389,IF(LEFT(S1389,2)="DI",HLOOKUP(S1389,DADOS!$T$29:$X$30,2,FALSE),0)),4),"")</f>
        <v>0.25</v>
      </c>
      <c r="AB1389" s="2"/>
    </row>
    <row r="1390" spans="1:28">
      <c r="A1390" t="str">
        <f t="shared" si="1764"/>
        <v>S</v>
      </c>
      <c r="B1390">
        <f t="shared" si="1765"/>
        <v>0</v>
      </c>
      <c r="C1390">
        <f t="shared" ca="1" si="1766"/>
        <v>15</v>
      </c>
      <c r="D1390">
        <f t="shared" ca="1" si="1767"/>
        <v>3</v>
      </c>
      <c r="E1390">
        <f t="shared" ca="1" si="1768"/>
        <v>0</v>
      </c>
      <c r="F1390">
        <f t="shared" ca="1" si="1769"/>
        <v>0</v>
      </c>
      <c r="G1390">
        <f t="shared" ca="1" si="1770"/>
        <v>18</v>
      </c>
      <c r="H1390">
        <f ca="1">IF(OR($A1390="S",$A1390=0),0,MATCH(0,OFFSET($B1390,1,$A1390,ROW($A$1504)-ROW($A1390)),0))</f>
        <v>0</v>
      </c>
      <c r="I1390">
        <f ca="1">IF(OR($A1390="S",$A1390=0),0,MATCH(OFFSET($B1390,0,$A1390)+1,OFFSET($B1390,1,$A1390,ROW($A$1504)-ROW($A1390)),0))</f>
        <v>0</v>
      </c>
      <c r="J1390" s="132" t="s">
        <v>29</v>
      </c>
      <c r="K1390" s="121" t="str">
        <f t="shared" ca="1" si="1771"/>
        <v>15.3.18.</v>
      </c>
      <c r="L1390" s="137" t="str">
        <f t="shared" ca="1" si="1772"/>
        <v>Cotação</v>
      </c>
      <c r="M1390" s="122" t="s">
        <v>79</v>
      </c>
      <c r="N1390" s="139" t="s">
        <v>170</v>
      </c>
      <c r="O1390" s="137" t="str">
        <f t="shared" ca="1" si="1757"/>
        <v>Saco de lixo (100 litros)</v>
      </c>
      <c r="P1390" s="138" t="str">
        <f t="shared" ca="1" si="1773"/>
        <v>Pacote</v>
      </c>
      <c r="Q1390" s="134">
        <v>2</v>
      </c>
      <c r="R1390" s="124">
        <f t="shared" ca="1" si="1774"/>
        <v>15</v>
      </c>
      <c r="S1390" s="136" t="s">
        <v>62</v>
      </c>
      <c r="T1390" s="123">
        <f t="shared" ca="1" si="1775"/>
        <v>18.75</v>
      </c>
      <c r="U1390" s="126">
        <f t="shared" ca="1" si="1776"/>
        <v>37.5</v>
      </c>
      <c r="V1390" s="1"/>
      <c r="W1390" s="39" t="str">
        <f ca="1">IF(OR($A1390=0,$A1390="S",$A1390&gt;CFF!$A$9),"",MAX(W$11:OFFSET(W1390,-1,0))+1)</f>
        <v/>
      </c>
      <c r="X1390" s="4" t="str">
        <f t="shared" si="1777"/>
        <v>Rec. Materiais-026</v>
      </c>
      <c r="Y1390" s="39">
        <f t="shared" ca="1" si="1778"/>
        <v>35</v>
      </c>
      <c r="Z1390" s="1"/>
      <c r="AA1390" s="133">
        <f>IF($J1390=$G$2,ROUND(IF(ISNUMBER(S1390),S1390,IF(LEFT(S1390,2)="DI",HLOOKUP(S1390,DADOS!$T$29:$X$30,2,FALSE),0)),4),"")</f>
        <v>0.25</v>
      </c>
      <c r="AB1390" s="2"/>
    </row>
    <row r="1391" spans="1:28">
      <c r="A1391">
        <f>CHOOSE(1+LOG(1+2*(J1391=$C$2)+4*(J1391=$D$2)+8*(J1391=$E$2)+16*(J1391=$F$2)+32*(J1391=$G$2),2),0,1,2,3,4,"S")</f>
        <v>2</v>
      </c>
      <c r="B1391">
        <f ca="1">IF(OR(A1391="S",A1391=0),0,IF(ISERROR(I1391),H1391,SMALL(H1391:I1391,1)))</f>
        <v>3</v>
      </c>
      <c r="C1391">
        <f ca="1">IF($A1391=1,OFFSET(C1391,-1,0)+1,OFFSET(C1391,-1,0))</f>
        <v>15</v>
      </c>
      <c r="D1391">
        <f ca="1">IF($A1391=1,0,IF($A1391=2,OFFSET(D1391,-1,0)+1,OFFSET(D1391,-1,0)))</f>
        <v>4</v>
      </c>
      <c r="E1391">
        <f ca="1">IF(AND($A1391&lt;=2,$A1391&lt;&gt;0),0,IF($A1391=3,OFFSET(E1391,-1,0)+1,OFFSET(E1391,-1,0)))</f>
        <v>0</v>
      </c>
      <c r="F1391">
        <f ca="1">IF(AND($A1391&lt;=3,$A1391&lt;&gt;0),0,IF($A1391=4,OFFSET(F1391,-1,0)+1,OFFSET(F1391,-1,0)))</f>
        <v>0</v>
      </c>
      <c r="G1391">
        <f ca="1">IF(AND($A1391&lt;=4,$A1391&lt;&gt;0),0,IF($A1391="S",OFFSET(G1391,-1,0)+1,OFFSET(G1391,-1,0)))</f>
        <v>0</v>
      </c>
      <c r="H1391">
        <f ca="1">IF(OR($A1391="S",$A1391=0),0,MATCH(0,OFFSET($B1391,1,$A1391,ROW($A$1504)-ROW($A1391)),0))</f>
        <v>22</v>
      </c>
      <c r="I1391">
        <f ca="1">IF(OR($A1391="S",$A1391=0),0,MATCH(OFFSET($B1391,0,$A1391)+1,OFFSET($B1391,1,$A1391,ROW($A$1504)-ROW($A1391)),0))</f>
        <v>3</v>
      </c>
      <c r="J1391" s="132" t="s">
        <v>68</v>
      </c>
      <c r="K1391" s="121" t="str">
        <f ca="1">IF($A1391=0,"-",CONCATENATE(C1391&amp;".",IF(AND($A$5&gt;=2,$A1391&gt;=2),D1391&amp;".",""),IF(AND($A$5&gt;=3,$A1391&gt;=3),E1391&amp;".",""),IF(AND($A$5&gt;=4,$A1391&gt;=4),F1391&amp;".",""),IF($A1391="S",G1391&amp;".","")))</f>
        <v>15.4.</v>
      </c>
      <c r="L1391" s="137" t="str">
        <f ca="1">IF(NOT(ISERROR($Y1391)),IF($Y1391&lt;&gt;FALSE,INDEX(Banco,$Y1391,4),""),"")</f>
        <v/>
      </c>
      <c r="M1391" s="122"/>
      <c r="N1391" s="139"/>
      <c r="O1391" s="137" t="s">
        <v>447</v>
      </c>
      <c r="P1391" s="138" t="str">
        <f ca="1">IF(NOT(ISERROR($Y1391)),IF($Y1391&lt;&gt;FALSE,INDEX(Banco,$Y1391,6),""),"")</f>
        <v/>
      </c>
      <c r="Q1391" s="134"/>
      <c r="R1391" s="124">
        <f ca="1">IF(NOT(ISERROR($Y1391)),IF($Y1391&lt;&gt;FALSE,INDEX(Banco,$Y1391,7),0),0)</f>
        <v>0</v>
      </c>
      <c r="S1391" s="136" t="s">
        <v>62</v>
      </c>
      <c r="T1391" s="123">
        <f>IF($J1391=$G$2,ROUND(ROUND($R1391,2)*IF($R$9="Preço Unitário (R$)",1,1+$AA1391),2),0)</f>
        <v>0</v>
      </c>
      <c r="U1391" s="126">
        <f ca="1">IF($A1391="S",VTOTAL1,IF($A1391=0,0,ROUND(SomaAgrup,2)))</f>
        <v>2089.48</v>
      </c>
      <c r="V1391" s="1"/>
      <c r="W1391" s="39">
        <f ca="1">IF(OR($A1391=0,$A1391="S",$A1391&gt;CFF!$A$9),"",MAX(W$11:OFFSET(W1391,-1,0))+1)</f>
        <v>121</v>
      </c>
      <c r="X1391" s="4" t="b">
        <f>IF(AND($J1391=$G$2,$N1391&lt;&gt;"",$M1391&lt;&gt;""),CONCATENATE($M1391,"-",$N1391))</f>
        <v>0</v>
      </c>
      <c r="Y1391" s="39" t="b">
        <f ca="1">IF(X1391&lt;&gt;FALSE,MATCH(X1391,OFFSET(Banco,0,0,,1),0))</f>
        <v>0</v>
      </c>
      <c r="Z1391" s="1"/>
      <c r="AA1391" s="133" t="str">
        <f>IF($J1391=$G$2,ROUND(IF(ISNUMBER(S1391),S1391,IF(LEFT(S1391,2)="DI",HLOOKUP(S1391,DADOS!$T$29:$X$30,2,FALSE),0)),4),"")</f>
        <v/>
      </c>
      <c r="AB1391" s="2"/>
    </row>
    <row r="1392" spans="1:28">
      <c r="A1392" t="str">
        <f t="shared" ref="A1392:A1393" si="1779">CHOOSE(1+LOG(1+2*(J1392=$C$2)+4*(J1392=$D$2)+8*(J1392=$E$2)+16*(J1392=$F$2)+32*(J1392=$G$2),2),0,1,2,3,4,"S")</f>
        <v>S</v>
      </c>
      <c r="B1392">
        <f t="shared" ref="B1392:B1393" si="1780">IF(OR(A1392="S",A1392=0),0,IF(ISERROR(I1392),H1392,SMALL(H1392:I1392,1)))</f>
        <v>0</v>
      </c>
      <c r="C1392">
        <f t="shared" ca="1" si="1766"/>
        <v>15</v>
      </c>
      <c r="D1392">
        <f t="shared" ca="1" si="1767"/>
        <v>4</v>
      </c>
      <c r="E1392">
        <f t="shared" ca="1" si="1768"/>
        <v>0</v>
      </c>
      <c r="F1392">
        <f t="shared" ca="1" si="1769"/>
        <v>0</v>
      </c>
      <c r="G1392">
        <f t="shared" ca="1" si="1770"/>
        <v>1</v>
      </c>
      <c r="H1392">
        <f ca="1">IF(OR($A1392="S",$A1392=0),0,MATCH(0,OFFSET($B1392,1,$A1392,ROW($A$1504)-ROW($A1392)),0))</f>
        <v>0</v>
      </c>
      <c r="I1392">
        <f ca="1">IF(OR($A1392="S",$A1392=0),0,MATCH(OFFSET($B1392,0,$A1392)+1,OFFSET($B1392,1,$A1392,ROW($A$1504)-ROW($A1392)),0))</f>
        <v>0</v>
      </c>
      <c r="J1392" s="132" t="s">
        <v>29</v>
      </c>
      <c r="K1392" s="121" t="str">
        <f t="shared" ref="K1392:K1393" ca="1" si="1781">IF($A1392=0,"-",CONCATENATE(C1392&amp;".",IF(AND($A$5&gt;=2,$A1392&gt;=2),D1392&amp;".",""),IF(AND($A$5&gt;=3,$A1392&gt;=3),E1392&amp;".",""),IF(AND($A$5&gt;=4,$A1392&gt;=4),F1392&amp;".",""),IF($A1392="S",G1392&amp;".","")))</f>
        <v>15.4.1.</v>
      </c>
      <c r="L1392" s="137" t="str">
        <f t="shared" ca="1" si="1772"/>
        <v>CRESS</v>
      </c>
      <c r="M1392" s="122" t="s">
        <v>78</v>
      </c>
      <c r="N1392" s="139" t="s">
        <v>149</v>
      </c>
      <c r="O1392" s="137" t="str">
        <f ca="1">IF(NOT(ISERROR($Y1392)),IF($Y1392&lt;&gt;FALSE,INDEX(Banco,$Y1392,5),""),"")</f>
        <v>Responsável Técnica</v>
      </c>
      <c r="P1392" s="138" t="str">
        <f t="shared" ca="1" si="1773"/>
        <v>Horas</v>
      </c>
      <c r="Q1392" s="134">
        <v>4</v>
      </c>
      <c r="R1392" s="124">
        <f t="shared" ca="1" si="1774"/>
        <v>150.28</v>
      </c>
      <c r="S1392" s="136" t="s">
        <v>62</v>
      </c>
      <c r="T1392" s="123">
        <f t="shared" ca="1" si="1775"/>
        <v>187.85</v>
      </c>
      <c r="U1392" s="126">
        <f t="shared" ca="1" si="1776"/>
        <v>751.4</v>
      </c>
      <c r="V1392" s="1"/>
      <c r="W1392" s="39" t="str">
        <f ca="1">IF(OR($A1392=0,$A1392="S",$A1392&gt;CFF!$A$9),"",MAX(W$11:OFFSET(W1392,-1,0))+1)</f>
        <v/>
      </c>
      <c r="X1392" s="4" t="str">
        <f t="shared" si="1777"/>
        <v>Rec. Humanos-001</v>
      </c>
      <c r="Y1392" s="39">
        <f t="shared" ref="Y1392:Y1393" ca="1" si="1782">IF(X1392&lt;&gt;FALSE,MATCH(X1392,OFFSET(Banco,0,0,,1),0))</f>
        <v>3</v>
      </c>
      <c r="Z1392" s="1"/>
      <c r="AA1392" s="133">
        <f>IF($J1392=$G$2,ROUND(IF(ISNUMBER(S1392),S1392,IF(LEFT(S1392,2)="DI",HLOOKUP(S1392,DADOS!$T$29:$X$30,2,FALSE),0)),4),"")</f>
        <v>0.25</v>
      </c>
      <c r="AB1392" s="2"/>
    </row>
    <row r="1393" spans="1:28">
      <c r="A1393" t="str">
        <f t="shared" si="1779"/>
        <v>S</v>
      </c>
      <c r="B1393">
        <f t="shared" si="1780"/>
        <v>0</v>
      </c>
      <c r="C1393">
        <f t="shared" ca="1" si="1766"/>
        <v>15</v>
      </c>
      <c r="D1393">
        <f t="shared" ca="1" si="1767"/>
        <v>4</v>
      </c>
      <c r="E1393">
        <f t="shared" ca="1" si="1768"/>
        <v>0</v>
      </c>
      <c r="F1393">
        <f t="shared" ca="1" si="1769"/>
        <v>0</v>
      </c>
      <c r="G1393">
        <f t="shared" ca="1" si="1770"/>
        <v>2</v>
      </c>
      <c r="H1393">
        <f ca="1">IF(OR($A1393="S",$A1393=0),0,MATCH(0,OFFSET($B1393,1,$A1393,ROW($A$1504)-ROW($A1393)),0))</f>
        <v>0</v>
      </c>
      <c r="I1393">
        <f ca="1">IF(OR($A1393="S",$A1393=0),0,MATCH(OFFSET($B1393,0,$A1393)+1,OFFSET($B1393,1,$A1393,ROW($A$1504)-ROW($A1393)),0))</f>
        <v>0</v>
      </c>
      <c r="J1393" s="132" t="s">
        <v>29</v>
      </c>
      <c r="K1393" s="121" t="str">
        <f t="shared" ca="1" si="1781"/>
        <v>15.4.2.</v>
      </c>
      <c r="L1393" s="137" t="str">
        <f t="shared" ca="1" si="1772"/>
        <v>CRESS</v>
      </c>
      <c r="M1393" s="122" t="s">
        <v>78</v>
      </c>
      <c r="N1393" s="139" t="s">
        <v>152</v>
      </c>
      <c r="O1393" s="137" t="str">
        <f ca="1">IF(NOT(ISERROR($Y1393)),IF($Y1393&lt;&gt;FALSE,INDEX(Banco,$Y1393,5),""),"")</f>
        <v>Assistente Social</v>
      </c>
      <c r="P1393" s="138" t="str">
        <f t="shared" ca="1" si="1773"/>
        <v>Horas</v>
      </c>
      <c r="Q1393" s="134">
        <v>8</v>
      </c>
      <c r="R1393" s="124">
        <f t="shared" ca="1" si="1774"/>
        <v>133.81</v>
      </c>
      <c r="S1393" s="136" t="s">
        <v>62</v>
      </c>
      <c r="T1393" s="123">
        <f t="shared" ca="1" si="1775"/>
        <v>167.26</v>
      </c>
      <c r="U1393" s="126">
        <f t="shared" ca="1" si="1776"/>
        <v>1338.08</v>
      </c>
      <c r="V1393" s="1"/>
      <c r="W1393" s="39" t="str">
        <f ca="1">IF(OR($A1393=0,$A1393="S",$A1393&gt;CFF!$A$9),"",MAX(W$11:OFFSET(W1393,-1,0))+1)</f>
        <v/>
      </c>
      <c r="X1393" s="4" t="str">
        <f t="shared" si="1777"/>
        <v>Rec. Humanos-002</v>
      </c>
      <c r="Y1393" s="39">
        <f t="shared" ca="1" si="1782"/>
        <v>4</v>
      </c>
      <c r="Z1393" s="1"/>
      <c r="AA1393" s="133">
        <f>IF($J1393=$G$2,ROUND(IF(ISNUMBER(S1393),S1393,IF(LEFT(S1393,2)="DI",HLOOKUP(S1393,DADOS!$T$29:$X$30,2,FALSE),0)),4),"")</f>
        <v>0.25</v>
      </c>
      <c r="AB1393" s="2"/>
    </row>
    <row r="1394" spans="1:28" ht="25.5">
      <c r="A1394">
        <f>CHOOSE(1+LOG(1+2*(J1394=$C$2)+4*(J1394=$D$2)+8*(J1394=$E$2)+16*(J1394=$F$2)+32*(J1394=$G$2),2),0,1,2,3,4,"S")</f>
        <v>2</v>
      </c>
      <c r="B1394">
        <f ca="1">IF(OR(A1394="S",A1394=0),0,IF(ISERROR(I1394),H1394,SMALL(H1394:I1394,1)))</f>
        <v>19</v>
      </c>
      <c r="C1394">
        <f ca="1">IF($A1394=1,OFFSET(C1394,-1,0)+1,OFFSET(C1394,-1,0))</f>
        <v>15</v>
      </c>
      <c r="D1394">
        <f ca="1">IF($A1394=1,0,IF($A1394=2,OFFSET(D1394,-1,0)+1,OFFSET(D1394,-1,0)))</f>
        <v>5</v>
      </c>
      <c r="E1394">
        <f ca="1">IF(AND($A1394&lt;=2,$A1394&lt;&gt;0),0,IF($A1394=3,OFFSET(E1394,-1,0)+1,OFFSET(E1394,-1,0)))</f>
        <v>0</v>
      </c>
      <c r="F1394">
        <f ca="1">IF(AND($A1394&lt;=3,$A1394&lt;&gt;0),0,IF($A1394=4,OFFSET(F1394,-1,0)+1,OFFSET(F1394,-1,0)))</f>
        <v>0</v>
      </c>
      <c r="G1394">
        <f ca="1">IF(AND($A1394&lt;=4,$A1394&lt;&gt;0),0,IF($A1394="S",OFFSET(G1394,-1,0)+1,OFFSET(G1394,-1,0)))</f>
        <v>0</v>
      </c>
      <c r="H1394">
        <f ca="1">IF(OR($A1394="S",$A1394=0),0,MATCH(0,OFFSET($B1394,1,$A1394,ROW($A$1504)-ROW($A1394)),0))</f>
        <v>19</v>
      </c>
      <c r="I1394" t="e">
        <f ca="1">IF(OR($A1394="S",$A1394=0),0,MATCH(OFFSET($B1394,0,$A1394)+1,OFFSET($B1394,1,$A1394,ROW($A$1504)-ROW($A1394)),0))</f>
        <v>#N/A</v>
      </c>
      <c r="J1394" s="132" t="s">
        <v>68</v>
      </c>
      <c r="K1394" s="121" t="str">
        <f ca="1">IF($A1394=0,"-",CONCATENATE(C1394&amp;".",IF(AND($A$5&gt;=2,$A1394&gt;=2),D1394&amp;".",""),IF(AND($A$5&gt;=3,$A1394&gt;=3),E1394&amp;".",""),IF(AND($A$5&gt;=4,$A1394&gt;=4),F1394&amp;".",""),IF($A1394="S",G1394&amp;".","")))</f>
        <v>15.5.</v>
      </c>
      <c r="L1394" s="137" t="str">
        <f ca="1">IF(NOT(ISERROR($Y1394)),IF($Y1394&lt;&gt;FALSE,INDEX(Banco,$Y1394,4),""),"")</f>
        <v/>
      </c>
      <c r="M1394" s="122"/>
      <c r="N1394" s="139"/>
      <c r="O1394" s="137" t="s">
        <v>448</v>
      </c>
      <c r="P1394" s="138" t="str">
        <f ca="1">IF(NOT(ISERROR($Y1394)),IF($Y1394&lt;&gt;FALSE,INDEX(Banco,$Y1394,6),""),"")</f>
        <v/>
      </c>
      <c r="Q1394" s="134"/>
      <c r="R1394" s="124">
        <f ca="1">IF(NOT(ISERROR($Y1394)),IF($Y1394&lt;&gt;FALSE,INDEX(Banco,$Y1394,7),0),0)</f>
        <v>0</v>
      </c>
      <c r="S1394" s="136" t="s">
        <v>62</v>
      </c>
      <c r="T1394" s="123">
        <f>IF($J1394=$G$2,ROUND(ROUND($R1394,2)*IF($R$9="Preço Unitário (R$)",1,1+$AA1394),2),0)</f>
        <v>0</v>
      </c>
      <c r="U1394" s="126">
        <f ca="1">IF($A1394="S",VTOTAL1,IF($A1394=0,0,ROUND(SomaAgrup,2)))</f>
        <v>10104.11</v>
      </c>
      <c r="V1394" s="1"/>
      <c r="W1394" s="39">
        <f ca="1">IF(OR($A1394=0,$A1394="S",$A1394&gt;CFF!$A$9),"",MAX(W$11:OFFSET(W1394,-1,0))+1)</f>
        <v>122</v>
      </c>
      <c r="X1394" s="4" t="b">
        <f>IF(AND($J1394=$G$2,$N1394&lt;&gt;"",$M1394&lt;&gt;""),CONCATENATE($M1394,"-",$N1394))</f>
        <v>0</v>
      </c>
      <c r="Y1394" s="39" t="b">
        <f ca="1">IF(X1394&lt;&gt;FALSE,MATCH(X1394,OFFSET(Banco,0,0,,1),0))</f>
        <v>0</v>
      </c>
      <c r="Z1394" s="1"/>
      <c r="AA1394" s="133" t="str">
        <f>IF($J1394=$G$2,ROUND(IF(ISNUMBER(S1394),S1394,IF(LEFT(S1394,2)="DI",HLOOKUP(S1394,DADOS!$T$29:$X$30,2,FALSE),0)),4),"")</f>
        <v/>
      </c>
      <c r="AB1394" s="2"/>
    </row>
    <row r="1395" spans="1:28">
      <c r="A1395" t="str">
        <f t="shared" ref="A1395:A1400" si="1783">CHOOSE(1+LOG(1+2*(J1395=$C$2)+4*(J1395=$D$2)+8*(J1395=$E$2)+16*(J1395=$F$2)+32*(J1395=$G$2),2),0,1,2,3,4,"S")</f>
        <v>S</v>
      </c>
      <c r="B1395">
        <f t="shared" ref="B1395:B1400" si="1784">IF(OR(A1395="S",A1395=0),0,IF(ISERROR(I1395),H1395,SMALL(H1395:I1395,1)))</f>
        <v>0</v>
      </c>
      <c r="C1395">
        <f t="shared" ref="C1395:C1403" ca="1" si="1785">IF($A1395=1,OFFSET(C1395,-1,0)+1,OFFSET(C1395,-1,0))</f>
        <v>15</v>
      </c>
      <c r="D1395">
        <f t="shared" ref="D1395:D1403" ca="1" si="1786">IF($A1395=1,0,IF($A1395=2,OFFSET(D1395,-1,0)+1,OFFSET(D1395,-1,0)))</f>
        <v>5</v>
      </c>
      <c r="E1395">
        <f t="shared" ref="E1395:E1403" ca="1" si="1787">IF(AND($A1395&lt;=2,$A1395&lt;&gt;0),0,IF($A1395=3,OFFSET(E1395,-1,0)+1,OFFSET(E1395,-1,0)))</f>
        <v>0</v>
      </c>
      <c r="F1395">
        <f t="shared" ref="F1395:F1403" ca="1" si="1788">IF(AND($A1395&lt;=3,$A1395&lt;&gt;0),0,IF($A1395=4,OFFSET(F1395,-1,0)+1,OFFSET(F1395,-1,0)))</f>
        <v>0</v>
      </c>
      <c r="G1395">
        <f t="shared" ref="G1395:G1403" ca="1" si="1789">IF(AND($A1395&lt;=4,$A1395&lt;&gt;0),0,IF($A1395="S",OFFSET(G1395,-1,0)+1,OFFSET(G1395,-1,0)))</f>
        <v>1</v>
      </c>
      <c r="H1395">
        <f ca="1">IF(OR($A1395="S",$A1395=0),0,MATCH(0,OFFSET($B1395,1,$A1395,ROW($A$1504)-ROW($A1395)),0))</f>
        <v>0</v>
      </c>
      <c r="I1395">
        <f ca="1">IF(OR($A1395="S",$A1395=0),0,MATCH(OFFSET($B1395,0,$A1395)+1,OFFSET($B1395,1,$A1395,ROW($A$1504)-ROW($A1395)),0))</f>
        <v>0</v>
      </c>
      <c r="J1395" s="132" t="s">
        <v>29</v>
      </c>
      <c r="K1395" s="121" t="str">
        <f t="shared" ref="K1395:K1400" ca="1" si="1790">IF($A1395=0,"-",CONCATENATE(C1395&amp;".",IF(AND($A$5&gt;=2,$A1395&gt;=2),D1395&amp;".",""),IF(AND($A$5&gt;=3,$A1395&gt;=3),E1395&amp;".",""),IF(AND($A$5&gt;=4,$A1395&gt;=4),F1395&amp;".",""),IF($A1395="S",G1395&amp;".","")))</f>
        <v>15.5.1.</v>
      </c>
      <c r="L1395" s="137" t="str">
        <f t="shared" ref="L1395:L1403" ca="1" si="1791">IF(NOT(ISERROR($Y1395)),IF($Y1395&lt;&gt;FALSE,INDEX(Banco,$Y1395,4),""),"")</f>
        <v>CRESS</v>
      </c>
      <c r="M1395" s="122" t="s">
        <v>78</v>
      </c>
      <c r="N1395" s="139" t="s">
        <v>149</v>
      </c>
      <c r="O1395" s="137" t="str">
        <f ca="1">IF(NOT(ISERROR($Y1395)),IF($Y1395&lt;&gt;FALSE,INDEX(Banco,$Y1395,5),""),"")</f>
        <v>Responsável Técnica</v>
      </c>
      <c r="P1395" s="138" t="str">
        <f t="shared" ref="P1395:P1403" ca="1" si="1792">IF(NOT(ISERROR($Y1395)),IF($Y1395&lt;&gt;FALSE,INDEX(Banco,$Y1395,6),""),"")</f>
        <v>Horas</v>
      </c>
      <c r="Q1395" s="134">
        <v>9</v>
      </c>
      <c r="R1395" s="124">
        <f t="shared" ref="R1395:R1403" ca="1" si="1793">IF(NOT(ISERROR($Y1395)),IF($Y1395&lt;&gt;FALSE,INDEX(Banco,$Y1395,7),0),0)</f>
        <v>150.28</v>
      </c>
      <c r="S1395" s="136" t="s">
        <v>62</v>
      </c>
      <c r="T1395" s="123">
        <f t="shared" ref="T1395:T1403" ca="1" si="1794">IF($J1395=$G$2,ROUND(ROUND($R1395,2)*IF($R$9="Preço Unitário (R$)",1,1+$AA1395),2),0)</f>
        <v>187.85</v>
      </c>
      <c r="U1395" s="126">
        <f t="shared" ref="U1395:U1403" ca="1" si="1795">IF($A1395="S",VTOTAL1,IF($A1395=0,0,ROUND(SomaAgrup,2)))</f>
        <v>1690.65</v>
      </c>
      <c r="V1395" s="1"/>
      <c r="W1395" s="39" t="str">
        <f ca="1">IF(OR($A1395=0,$A1395="S",$A1395&gt;CFF!$A$9),"",MAX(W$11:OFFSET(W1395,-1,0))+1)</f>
        <v/>
      </c>
      <c r="X1395" s="4" t="str">
        <f t="shared" ref="X1395:X1403" si="1796">IF(AND($J1395=$G$2,$N1395&lt;&gt;"",$M1395&lt;&gt;""),CONCATENATE($M1395,"-",$N1395))</f>
        <v>Rec. Humanos-001</v>
      </c>
      <c r="Y1395" s="39">
        <f t="shared" ref="Y1395:Y1400" ca="1" si="1797">IF(X1395&lt;&gt;FALSE,MATCH(X1395,OFFSET(Banco,0,0,,1),0))</f>
        <v>3</v>
      </c>
      <c r="Z1395" s="1"/>
      <c r="AA1395" s="133">
        <f>IF($J1395=$G$2,ROUND(IF(ISNUMBER(S1395),S1395,IF(LEFT(S1395,2)="DI",HLOOKUP(S1395,DADOS!$T$29:$X$30,2,FALSE),0)),4),"")</f>
        <v>0.25</v>
      </c>
      <c r="AB1395" s="2"/>
    </row>
    <row r="1396" spans="1:28">
      <c r="A1396" t="str">
        <f t="shared" si="1783"/>
        <v>S</v>
      </c>
      <c r="B1396">
        <f t="shared" si="1784"/>
        <v>0</v>
      </c>
      <c r="C1396">
        <f t="shared" ca="1" si="1785"/>
        <v>15</v>
      </c>
      <c r="D1396">
        <f t="shared" ca="1" si="1786"/>
        <v>5</v>
      </c>
      <c r="E1396">
        <f t="shared" ca="1" si="1787"/>
        <v>0</v>
      </c>
      <c r="F1396">
        <f t="shared" ca="1" si="1788"/>
        <v>0</v>
      </c>
      <c r="G1396">
        <f t="shared" ca="1" si="1789"/>
        <v>2</v>
      </c>
      <c r="H1396">
        <f ca="1">IF(OR($A1396="S",$A1396=0),0,MATCH(0,OFFSET($B1396,1,$A1396,ROW($A$1504)-ROW($A1396)),0))</f>
        <v>0</v>
      </c>
      <c r="I1396">
        <f ca="1">IF(OR($A1396="S",$A1396=0),0,MATCH(OFFSET($B1396,0,$A1396)+1,OFFSET($B1396,1,$A1396,ROW($A$1504)-ROW($A1396)),0))</f>
        <v>0</v>
      </c>
      <c r="J1396" s="132" t="s">
        <v>29</v>
      </c>
      <c r="K1396" s="121" t="str">
        <f t="shared" ca="1" si="1790"/>
        <v>15.5.2.</v>
      </c>
      <c r="L1396" s="137" t="str">
        <f t="shared" ca="1" si="1791"/>
        <v>CRESS</v>
      </c>
      <c r="M1396" s="122" t="s">
        <v>78</v>
      </c>
      <c r="N1396" s="139" t="s">
        <v>152</v>
      </c>
      <c r="O1396" s="137" t="str">
        <f t="shared" ref="O1396:O1412" ca="1" si="1798">IF(NOT(ISERROR($Y1396)),IF($Y1396&lt;&gt;FALSE,INDEX(Banco,$Y1396,5),""),"")</f>
        <v>Assistente Social</v>
      </c>
      <c r="P1396" s="138" t="str">
        <f t="shared" ca="1" si="1792"/>
        <v>Horas</v>
      </c>
      <c r="Q1396" s="134">
        <v>12</v>
      </c>
      <c r="R1396" s="124">
        <f t="shared" ca="1" si="1793"/>
        <v>133.81</v>
      </c>
      <c r="S1396" s="136" t="s">
        <v>62</v>
      </c>
      <c r="T1396" s="123">
        <f t="shared" ca="1" si="1794"/>
        <v>167.26</v>
      </c>
      <c r="U1396" s="126">
        <f t="shared" ca="1" si="1795"/>
        <v>2007.12</v>
      </c>
      <c r="V1396" s="1"/>
      <c r="W1396" s="39" t="str">
        <f ca="1">IF(OR($A1396=0,$A1396="S",$A1396&gt;CFF!$A$9),"",MAX(W$11:OFFSET(W1396,-1,0))+1)</f>
        <v/>
      </c>
      <c r="X1396" s="4" t="str">
        <f t="shared" si="1796"/>
        <v>Rec. Humanos-002</v>
      </c>
      <c r="Y1396" s="39">
        <f t="shared" ca="1" si="1797"/>
        <v>4</v>
      </c>
      <c r="Z1396" s="1"/>
      <c r="AA1396" s="133">
        <f>IF($J1396=$G$2,ROUND(IF(ISNUMBER(S1396),S1396,IF(LEFT(S1396,2)="DI",HLOOKUP(S1396,DADOS!$T$29:$X$30,2,FALSE),0)),4),"")</f>
        <v>0.25</v>
      </c>
      <c r="AB1396" s="2"/>
    </row>
    <row r="1397" spans="1:28">
      <c r="A1397" t="str">
        <f t="shared" si="1783"/>
        <v>S</v>
      </c>
      <c r="B1397">
        <f t="shared" si="1784"/>
        <v>0</v>
      </c>
      <c r="C1397">
        <f t="shared" ca="1" si="1785"/>
        <v>15</v>
      </c>
      <c r="D1397">
        <f t="shared" ca="1" si="1786"/>
        <v>5</v>
      </c>
      <c r="E1397">
        <f t="shared" ca="1" si="1787"/>
        <v>0</v>
      </c>
      <c r="F1397">
        <f t="shared" ca="1" si="1788"/>
        <v>0</v>
      </c>
      <c r="G1397">
        <f t="shared" ca="1" si="1789"/>
        <v>3</v>
      </c>
      <c r="H1397">
        <f ca="1">IF(OR($A1397="S",$A1397=0),0,MATCH(0,OFFSET($B1397,1,$A1397,ROW($A$1504)-ROW($A1397)),0))</f>
        <v>0</v>
      </c>
      <c r="I1397">
        <f ca="1">IF(OR($A1397="S",$A1397=0),0,MATCH(OFFSET($B1397,0,$A1397)+1,OFFSET($B1397,1,$A1397,ROW($A$1504)-ROW($A1397)),0))</f>
        <v>0</v>
      </c>
      <c r="J1397" s="132" t="s">
        <v>29</v>
      </c>
      <c r="K1397" s="121" t="str">
        <f t="shared" ca="1" si="1790"/>
        <v>15.5.3.</v>
      </c>
      <c r="L1397" s="137" t="str">
        <f t="shared" ca="1" si="1791"/>
        <v>Cotação</v>
      </c>
      <c r="M1397" s="122" t="s">
        <v>78</v>
      </c>
      <c r="N1397" s="139" t="s">
        <v>151</v>
      </c>
      <c r="O1397" s="137" t="str">
        <f t="shared" ca="1" si="1798"/>
        <v xml:space="preserve">Administrador (Técnico de Apoio) </v>
      </c>
      <c r="P1397" s="138" t="str">
        <f t="shared" ca="1" si="1792"/>
        <v>Horas</v>
      </c>
      <c r="Q1397" s="134">
        <v>4</v>
      </c>
      <c r="R1397" s="124">
        <f t="shared" ca="1" si="1793"/>
        <v>103.65</v>
      </c>
      <c r="S1397" s="136" t="s">
        <v>62</v>
      </c>
      <c r="T1397" s="123">
        <f t="shared" ca="1" si="1794"/>
        <v>129.56</v>
      </c>
      <c r="U1397" s="126">
        <f t="shared" ca="1" si="1795"/>
        <v>518.24</v>
      </c>
      <c r="V1397" s="1"/>
      <c r="W1397" s="39" t="str">
        <f ca="1">IF(OR($A1397=0,$A1397="S",$A1397&gt;CFF!$A$9),"",MAX(W$11:OFFSET(W1397,-1,0))+1)</f>
        <v/>
      </c>
      <c r="X1397" s="4" t="str">
        <f t="shared" si="1796"/>
        <v>Rec. Humanos-003</v>
      </c>
      <c r="Y1397" s="39">
        <f t="shared" ca="1" si="1797"/>
        <v>5</v>
      </c>
      <c r="Z1397" s="1"/>
      <c r="AA1397" s="133">
        <f>IF($J1397=$G$2,ROUND(IF(ISNUMBER(S1397),S1397,IF(LEFT(S1397,2)="DI",HLOOKUP(S1397,DADOS!$T$29:$X$30,2,FALSE),0)),4),"")</f>
        <v>0.25</v>
      </c>
      <c r="AB1397" s="2"/>
    </row>
    <row r="1398" spans="1:28">
      <c r="A1398" t="str">
        <f t="shared" si="1783"/>
        <v>S</v>
      </c>
      <c r="B1398">
        <f t="shared" si="1784"/>
        <v>0</v>
      </c>
      <c r="C1398">
        <f t="shared" ca="1" si="1785"/>
        <v>15</v>
      </c>
      <c r="D1398">
        <f t="shared" ca="1" si="1786"/>
        <v>5</v>
      </c>
      <c r="E1398">
        <f t="shared" ca="1" si="1787"/>
        <v>0</v>
      </c>
      <c r="F1398">
        <f t="shared" ca="1" si="1788"/>
        <v>0</v>
      </c>
      <c r="G1398">
        <f t="shared" ca="1" si="1789"/>
        <v>4</v>
      </c>
      <c r="H1398">
        <f ca="1">IF(OR($A1398="S",$A1398=0),0,MATCH(0,OFFSET($B1398,1,$A1398,ROW($A$1504)-ROW($A1398)),0))</f>
        <v>0</v>
      </c>
      <c r="I1398">
        <f ca="1">IF(OR($A1398="S",$A1398=0),0,MATCH(OFFSET($B1398,0,$A1398)+1,OFFSET($B1398,1,$A1398,ROW($A$1504)-ROW($A1398)),0))</f>
        <v>0</v>
      </c>
      <c r="J1398" s="132" t="s">
        <v>29</v>
      </c>
      <c r="K1398" s="121" t="str">
        <f t="shared" ca="1" si="1790"/>
        <v>15.5.4.</v>
      </c>
      <c r="L1398" s="137" t="str">
        <f t="shared" ca="1" si="1791"/>
        <v>SINE</v>
      </c>
      <c r="M1398" s="122" t="s">
        <v>78</v>
      </c>
      <c r="N1398" s="139" t="s">
        <v>153</v>
      </c>
      <c r="O1398" s="137" t="str">
        <f t="shared" ca="1" si="1798"/>
        <v>Estagiários</v>
      </c>
      <c r="P1398" s="138" t="str">
        <f t="shared" ca="1" si="1792"/>
        <v>Horas</v>
      </c>
      <c r="Q1398" s="134">
        <v>16</v>
      </c>
      <c r="R1398" s="124">
        <f t="shared" ca="1" si="1793"/>
        <v>9.7899999999999991</v>
      </c>
      <c r="S1398" s="136" t="s">
        <v>62</v>
      </c>
      <c r="T1398" s="123">
        <f t="shared" ca="1" si="1794"/>
        <v>12.24</v>
      </c>
      <c r="U1398" s="126">
        <f t="shared" ca="1" si="1795"/>
        <v>195.84</v>
      </c>
      <c r="V1398" s="1"/>
      <c r="W1398" s="39" t="str">
        <f ca="1">IF(OR($A1398=0,$A1398="S",$A1398&gt;CFF!$A$9),"",MAX(W$11:OFFSET(W1398,-1,0))+1)</f>
        <v/>
      </c>
      <c r="X1398" s="4" t="str">
        <f t="shared" si="1796"/>
        <v>Rec. Humanos-004</v>
      </c>
      <c r="Y1398" s="39">
        <f t="shared" ca="1" si="1797"/>
        <v>6</v>
      </c>
      <c r="Z1398" s="1"/>
      <c r="AA1398" s="133">
        <f>IF($J1398=$G$2,ROUND(IF(ISNUMBER(S1398),S1398,IF(LEFT(S1398,2)="DI",HLOOKUP(S1398,DADOS!$T$29:$X$30,2,FALSE),0)),4),"")</f>
        <v>0.25</v>
      </c>
      <c r="AB1398" s="2"/>
    </row>
    <row r="1399" spans="1:28">
      <c r="A1399" t="str">
        <f t="shared" si="1783"/>
        <v>S</v>
      </c>
      <c r="B1399">
        <f t="shared" si="1784"/>
        <v>0</v>
      </c>
      <c r="C1399">
        <f t="shared" ca="1" si="1785"/>
        <v>15</v>
      </c>
      <c r="D1399">
        <f t="shared" ca="1" si="1786"/>
        <v>5</v>
      </c>
      <c r="E1399">
        <f t="shared" ca="1" si="1787"/>
        <v>0</v>
      </c>
      <c r="F1399">
        <f t="shared" ca="1" si="1788"/>
        <v>0</v>
      </c>
      <c r="G1399">
        <f t="shared" ca="1" si="1789"/>
        <v>5</v>
      </c>
      <c r="H1399">
        <f ca="1">IF(OR($A1399="S",$A1399=0),0,MATCH(0,OFFSET($B1399,1,$A1399,ROW($A$1504)-ROW($A1399)),0))</f>
        <v>0</v>
      </c>
      <c r="I1399">
        <f ca="1">IF(OR($A1399="S",$A1399=0),0,MATCH(OFFSET($B1399,0,$A1399)+1,OFFSET($B1399,1,$A1399,ROW($A$1504)-ROW($A1399)),0))</f>
        <v>0</v>
      </c>
      <c r="J1399" s="132" t="s">
        <v>29</v>
      </c>
      <c r="K1399" s="121" t="str">
        <f t="shared" ca="1" si="1790"/>
        <v>15.5.5.</v>
      </c>
      <c r="L1399" s="137" t="str">
        <f t="shared" ca="1" si="1791"/>
        <v>Cotação</v>
      </c>
      <c r="M1399" s="122" t="s">
        <v>80</v>
      </c>
      <c r="N1399" s="139" t="s">
        <v>149</v>
      </c>
      <c r="O1399" s="137" t="str">
        <f t="shared" ca="1" si="1798"/>
        <v>Fotocópias</v>
      </c>
      <c r="P1399" s="138" t="str">
        <f t="shared" ca="1" si="1792"/>
        <v>Unidade</v>
      </c>
      <c r="Q1399" s="134">
        <v>150</v>
      </c>
      <c r="R1399" s="124">
        <f t="shared" ca="1" si="1793"/>
        <v>0.3</v>
      </c>
      <c r="S1399" s="136" t="s">
        <v>62</v>
      </c>
      <c r="T1399" s="123">
        <f t="shared" ca="1" si="1794"/>
        <v>0.38</v>
      </c>
      <c r="U1399" s="126">
        <f t="shared" ca="1" si="1795"/>
        <v>57</v>
      </c>
      <c r="V1399" s="1"/>
      <c r="W1399" s="39" t="str">
        <f ca="1">IF(OR($A1399=0,$A1399="S",$A1399&gt;CFF!$A$9),"",MAX(W$11:OFFSET(W1399,-1,0))+1)</f>
        <v/>
      </c>
      <c r="X1399" s="4" t="str">
        <f t="shared" si="1796"/>
        <v>Serv. Terc.-001</v>
      </c>
      <c r="Y1399" s="39">
        <f t="shared" ca="1" si="1797"/>
        <v>81</v>
      </c>
      <c r="Z1399" s="1"/>
      <c r="AA1399" s="133">
        <f>IF($J1399=$G$2,ROUND(IF(ISNUMBER(S1399),S1399,IF(LEFT(S1399,2)="DI",HLOOKUP(S1399,DADOS!$T$29:$X$30,2,FALSE),0)),4),"")</f>
        <v>0.25</v>
      </c>
      <c r="AB1399" s="2"/>
    </row>
    <row r="1400" spans="1:28">
      <c r="A1400" t="str">
        <f t="shared" si="1783"/>
        <v>S</v>
      </c>
      <c r="B1400">
        <f t="shared" si="1784"/>
        <v>0</v>
      </c>
      <c r="C1400">
        <f ca="1">IF($A1400=1,OFFSET(C1400,-1,0)+1,OFFSET(C1400,-1,0))</f>
        <v>15</v>
      </c>
      <c r="D1400">
        <f ca="1">IF($A1400=1,0,IF($A1400=2,OFFSET(D1400,-1,0)+1,OFFSET(D1400,-1,0)))</f>
        <v>5</v>
      </c>
      <c r="E1400">
        <f ca="1">IF(AND($A1400&lt;=2,$A1400&lt;&gt;0),0,IF($A1400=3,OFFSET(E1400,-1,0)+1,OFFSET(E1400,-1,0)))</f>
        <v>0</v>
      </c>
      <c r="F1400">
        <f ca="1">IF(AND($A1400&lt;=3,$A1400&lt;&gt;0),0,IF($A1400=4,OFFSET(F1400,-1,0)+1,OFFSET(F1400,-1,0)))</f>
        <v>0</v>
      </c>
      <c r="G1400">
        <f ca="1">IF(AND($A1400&lt;=4,$A1400&lt;&gt;0),0,IF($A1400="S",OFFSET(G1400,-1,0)+1,OFFSET(G1400,-1,0)))</f>
        <v>6</v>
      </c>
      <c r="H1400">
        <f ca="1">IF(OR($A1400="S",$A1400=0),0,MATCH(0,OFFSET($B1400,1,$A1400,ROW($A$1504)-ROW($A1400)),0))</f>
        <v>0</v>
      </c>
      <c r="I1400">
        <f ca="1">IF(OR($A1400="S",$A1400=0),0,MATCH(OFFSET($B1400,0,$A1400)+1,OFFSET($B1400,1,$A1400,ROW($A$1504)-ROW($A1400)),0))</f>
        <v>0</v>
      </c>
      <c r="J1400" s="132" t="s">
        <v>29</v>
      </c>
      <c r="K1400" s="121" t="str">
        <f t="shared" ca="1" si="1790"/>
        <v>15.5.6.</v>
      </c>
      <c r="L1400" s="137" t="str">
        <f ca="1">IF(NOT(ISERROR($Y1400)),IF($Y1400&lt;&gt;FALSE,INDEX(Banco,$Y1400,4),""),"")</f>
        <v>Cotação</v>
      </c>
      <c r="M1400" s="122" t="s">
        <v>80</v>
      </c>
      <c r="N1400" s="139" t="s">
        <v>256</v>
      </c>
      <c r="O1400" s="137" t="str">
        <f ca="1">IF(NOT(ISERROR($Y1400)),IF($Y1400&lt;&gt;FALSE,INDEX(Banco,$Y1400,5),""),"")</f>
        <v>Instrutor/Monitor (Educação Fisíca)</v>
      </c>
      <c r="P1400" s="138" t="str">
        <f ca="1">IF(NOT(ISERROR($Y1400)),IF($Y1400&lt;&gt;FALSE,INDEX(Banco,$Y1400,6),""),"")</f>
        <v>Horas</v>
      </c>
      <c r="Q1400" s="134">
        <v>3</v>
      </c>
      <c r="R1400" s="124">
        <f ca="1">IF(NOT(ISERROR($Y1400)),IF($Y1400&lt;&gt;FALSE,INDEX(Banco,$Y1400,7),0),0)</f>
        <v>100</v>
      </c>
      <c r="S1400" s="136" t="s">
        <v>62</v>
      </c>
      <c r="T1400" s="123">
        <f ca="1">IF($J1400=$G$2,ROUND(ROUND($R1400,2)*IF($R$9="Preço Unitário (R$)",1,1+$AA1400),2),0)</f>
        <v>125</v>
      </c>
      <c r="U1400" s="126">
        <f ca="1">IF($A1400="S",VTOTAL1,IF($A1400=0,0,ROUND(SomaAgrup,2)))</f>
        <v>375</v>
      </c>
      <c r="V1400" s="1"/>
      <c r="W1400" s="39" t="str">
        <f ca="1">IF(OR($A1400=0,$A1400="S",$A1400&gt;CFF!$A$9),"",MAX(W$11:OFFSET(W1400,-1,0))+1)</f>
        <v/>
      </c>
      <c r="X1400" s="4" t="str">
        <f>IF(AND($J1400=$G$2,$N1400&lt;&gt;"",$M1400&lt;&gt;""),CONCATENATE($M1400,"-",$N1400))</f>
        <v>Serv. Terc.-017</v>
      </c>
      <c r="Y1400" s="39">
        <f t="shared" ca="1" si="1797"/>
        <v>97</v>
      </c>
      <c r="Z1400" s="1"/>
      <c r="AA1400" s="133">
        <f>IF($J1400=$G$2,ROUND(IF(ISNUMBER(S1400),S1400,IF(LEFT(S1400,2)="DI",HLOOKUP(S1400,DADOS!$T$29:$X$30,2,FALSE),0)),4),"")</f>
        <v>0.25</v>
      </c>
      <c r="AB1400" s="2"/>
    </row>
    <row r="1401" spans="1:28">
      <c r="A1401" t="str">
        <f t="shared" ref="A1401:A1412" si="1799">CHOOSE(1+LOG(1+2*(J1401=$C$2)+4*(J1401=$D$2)+8*(J1401=$E$2)+16*(J1401=$F$2)+32*(J1401=$G$2),2),0,1,2,3,4,"S")</f>
        <v>S</v>
      </c>
      <c r="B1401">
        <f t="shared" ref="B1401:B1412" si="1800">IF(OR(A1401="S",A1401=0),0,IF(ISERROR(I1401),H1401,SMALL(H1401:I1401,1)))</f>
        <v>0</v>
      </c>
      <c r="C1401">
        <f t="shared" ca="1" si="1785"/>
        <v>15</v>
      </c>
      <c r="D1401">
        <f t="shared" ca="1" si="1786"/>
        <v>5</v>
      </c>
      <c r="E1401">
        <f t="shared" ca="1" si="1787"/>
        <v>0</v>
      </c>
      <c r="F1401">
        <f t="shared" ca="1" si="1788"/>
        <v>0</v>
      </c>
      <c r="G1401">
        <f t="shared" ca="1" si="1789"/>
        <v>7</v>
      </c>
      <c r="H1401">
        <f ca="1">IF(OR($A1401="S",$A1401=0),0,MATCH(0,OFFSET($B1401,1,$A1401,ROW($A$1504)-ROW($A1401)),0))</f>
        <v>0</v>
      </c>
      <c r="I1401">
        <f ca="1">IF(OR($A1401="S",$A1401=0),0,MATCH(OFFSET($B1401,0,$A1401)+1,OFFSET($B1401,1,$A1401,ROW($A$1504)-ROW($A1401)),0))</f>
        <v>0</v>
      </c>
      <c r="J1401" s="132" t="s">
        <v>29</v>
      </c>
      <c r="K1401" s="121" t="str">
        <f t="shared" ref="K1401:K1412" ca="1" si="1801">IF($A1401=0,"-",CONCATENATE(C1401&amp;".",IF(AND($A$5&gt;=2,$A1401&gt;=2),D1401&amp;".",""),IF(AND($A$5&gt;=3,$A1401&gt;=3),E1401&amp;".",""),IF(AND($A$5&gt;=4,$A1401&gt;=4),F1401&amp;".",""),IF($A1401="S",G1401&amp;".","")))</f>
        <v>15.5.7.</v>
      </c>
      <c r="L1401" s="137" t="str">
        <f t="shared" ca="1" si="1791"/>
        <v>Cotação</v>
      </c>
      <c r="M1401" s="122" t="s">
        <v>80</v>
      </c>
      <c r="N1401" s="139" t="s">
        <v>152</v>
      </c>
      <c r="O1401" s="137" t="str">
        <f t="shared" ca="1" si="1798"/>
        <v>Carro de som com gravação de vinheta</v>
      </c>
      <c r="P1401" s="138" t="str">
        <f t="shared" ca="1" si="1792"/>
        <v>Horas</v>
      </c>
      <c r="Q1401" s="134">
        <v>3</v>
      </c>
      <c r="R1401" s="124">
        <f t="shared" ca="1" si="1793"/>
        <v>200</v>
      </c>
      <c r="S1401" s="136" t="s">
        <v>62</v>
      </c>
      <c r="T1401" s="123">
        <f t="shared" ca="1" si="1794"/>
        <v>250</v>
      </c>
      <c r="U1401" s="126">
        <f t="shared" ca="1" si="1795"/>
        <v>750</v>
      </c>
      <c r="V1401" s="1"/>
      <c r="W1401" s="39" t="str">
        <f ca="1">IF(OR($A1401=0,$A1401="S",$A1401&gt;CFF!$A$9),"",MAX(W$11:OFFSET(W1401,-1,0))+1)</f>
        <v/>
      </c>
      <c r="X1401" s="4" t="str">
        <f t="shared" si="1796"/>
        <v>Serv. Terc.-002</v>
      </c>
      <c r="Y1401" s="39">
        <f t="shared" ref="Y1401:Y1412" ca="1" si="1802">IF(X1401&lt;&gt;FALSE,MATCH(X1401,OFFSET(Banco,0,0,,1),0))</f>
        <v>82</v>
      </c>
      <c r="Z1401" s="1"/>
      <c r="AA1401" s="133">
        <f>IF($J1401=$G$2,ROUND(IF(ISNUMBER(S1401),S1401,IF(LEFT(S1401,2)="DI",HLOOKUP(S1401,DADOS!$T$29:$X$30,2,FALSE),0)),4),"")</f>
        <v>0.25</v>
      </c>
      <c r="AB1401" s="2"/>
    </row>
    <row r="1402" spans="1:28">
      <c r="A1402" t="str">
        <f t="shared" si="1799"/>
        <v>S</v>
      </c>
      <c r="B1402">
        <f t="shared" si="1800"/>
        <v>0</v>
      </c>
      <c r="C1402">
        <f t="shared" ca="1" si="1785"/>
        <v>15</v>
      </c>
      <c r="D1402">
        <f t="shared" ca="1" si="1786"/>
        <v>5</v>
      </c>
      <c r="E1402">
        <f t="shared" ca="1" si="1787"/>
        <v>0</v>
      </c>
      <c r="F1402">
        <f t="shared" ca="1" si="1788"/>
        <v>0</v>
      </c>
      <c r="G1402">
        <f t="shared" ca="1" si="1789"/>
        <v>8</v>
      </c>
      <c r="H1402">
        <f ca="1">IF(OR($A1402="S",$A1402=0),0,MATCH(0,OFFSET($B1402,1,$A1402,ROW($A$1504)-ROW($A1402)),0))</f>
        <v>0</v>
      </c>
      <c r="I1402">
        <f ca="1">IF(OR($A1402="S",$A1402=0),0,MATCH(OFFSET($B1402,0,$A1402)+1,OFFSET($B1402,1,$A1402,ROW($A$1504)-ROW($A1402)),0))</f>
        <v>0</v>
      </c>
      <c r="J1402" s="132" t="s">
        <v>29</v>
      </c>
      <c r="K1402" s="121" t="str">
        <f t="shared" ca="1" si="1801"/>
        <v>15.5.8.</v>
      </c>
      <c r="L1402" s="137" t="str">
        <f t="shared" ca="1" si="1791"/>
        <v>Cotação</v>
      </c>
      <c r="M1402" s="122" t="s">
        <v>80</v>
      </c>
      <c r="N1402" s="139" t="s">
        <v>154</v>
      </c>
      <c r="O1402" s="137" t="str">
        <f t="shared" ca="1" si="1798"/>
        <v>Locação de caixa térmica</v>
      </c>
      <c r="P1402" s="138" t="str">
        <f t="shared" ca="1" si="1792"/>
        <v>Unidade</v>
      </c>
      <c r="Q1402" s="134">
        <v>2</v>
      </c>
      <c r="R1402" s="124">
        <f t="shared" ca="1" si="1793"/>
        <v>40</v>
      </c>
      <c r="S1402" s="136" t="s">
        <v>62</v>
      </c>
      <c r="T1402" s="123">
        <f t="shared" ca="1" si="1794"/>
        <v>50</v>
      </c>
      <c r="U1402" s="126">
        <f t="shared" ca="1" si="1795"/>
        <v>100</v>
      </c>
      <c r="V1402" s="1"/>
      <c r="W1402" s="39" t="str">
        <f ca="1">IF(OR($A1402=0,$A1402="S",$A1402&gt;CFF!$A$9),"",MAX(W$11:OFFSET(W1402,-1,0))+1)</f>
        <v/>
      </c>
      <c r="X1402" s="4" t="str">
        <f t="shared" si="1796"/>
        <v>Serv. Terc.-005</v>
      </c>
      <c r="Y1402" s="39">
        <f t="shared" ca="1" si="1802"/>
        <v>85</v>
      </c>
      <c r="Z1402" s="1"/>
      <c r="AA1402" s="133">
        <f>IF($J1402=$G$2,ROUND(IF(ISNUMBER(S1402),S1402,IF(LEFT(S1402,2)="DI",HLOOKUP(S1402,DADOS!$T$29:$X$30,2,FALSE),0)),4),"")</f>
        <v>0.25</v>
      </c>
      <c r="AB1402" s="2"/>
    </row>
    <row r="1403" spans="1:28">
      <c r="A1403" t="str">
        <f t="shared" si="1799"/>
        <v>S</v>
      </c>
      <c r="B1403">
        <f t="shared" si="1800"/>
        <v>0</v>
      </c>
      <c r="C1403">
        <f t="shared" ca="1" si="1785"/>
        <v>15</v>
      </c>
      <c r="D1403">
        <f t="shared" ca="1" si="1786"/>
        <v>5</v>
      </c>
      <c r="E1403">
        <f t="shared" ca="1" si="1787"/>
        <v>0</v>
      </c>
      <c r="F1403">
        <f t="shared" ca="1" si="1788"/>
        <v>0</v>
      </c>
      <c r="G1403">
        <f t="shared" ca="1" si="1789"/>
        <v>9</v>
      </c>
      <c r="H1403">
        <f ca="1">IF(OR($A1403="S",$A1403=0),0,MATCH(0,OFFSET($B1403,1,$A1403,ROW($A$1504)-ROW($A1403)),0))</f>
        <v>0</v>
      </c>
      <c r="I1403">
        <f ca="1">IF(OR($A1403="S",$A1403=0),0,MATCH(OFFSET($B1403,0,$A1403)+1,OFFSET($B1403,1,$A1403,ROW($A$1504)-ROW($A1403)),0))</f>
        <v>0</v>
      </c>
      <c r="J1403" s="132" t="s">
        <v>29</v>
      </c>
      <c r="K1403" s="121" t="str">
        <f t="shared" ca="1" si="1801"/>
        <v>15.5.9.</v>
      </c>
      <c r="L1403" s="137" t="str">
        <f t="shared" ca="1" si="1791"/>
        <v>Cotação</v>
      </c>
      <c r="M1403" s="122" t="s">
        <v>80</v>
      </c>
      <c r="N1403" s="139" t="s">
        <v>157</v>
      </c>
      <c r="O1403" s="137" t="str">
        <f t="shared" ca="1" si="1798"/>
        <v>Locação de pula-pula com monitor</v>
      </c>
      <c r="P1403" s="138" t="str">
        <f t="shared" ca="1" si="1792"/>
        <v>Unidade</v>
      </c>
      <c r="Q1403" s="134">
        <v>2</v>
      </c>
      <c r="R1403" s="124">
        <f t="shared" ca="1" si="1793"/>
        <v>220</v>
      </c>
      <c r="S1403" s="136" t="s">
        <v>62</v>
      </c>
      <c r="T1403" s="123">
        <f t="shared" ca="1" si="1794"/>
        <v>275</v>
      </c>
      <c r="U1403" s="126">
        <f t="shared" ca="1" si="1795"/>
        <v>550</v>
      </c>
      <c r="V1403" s="1"/>
      <c r="W1403" s="39" t="str">
        <f ca="1">IF(OR($A1403=0,$A1403="S",$A1403&gt;CFF!$A$9),"",MAX(W$11:OFFSET(W1403,-1,0))+1)</f>
        <v/>
      </c>
      <c r="X1403" s="4" t="str">
        <f t="shared" si="1796"/>
        <v>Serv. Terc.-008</v>
      </c>
      <c r="Y1403" s="39">
        <f t="shared" ca="1" si="1802"/>
        <v>88</v>
      </c>
      <c r="Z1403" s="1"/>
      <c r="AA1403" s="133">
        <f>IF($J1403=$G$2,ROUND(IF(ISNUMBER(S1403),S1403,IF(LEFT(S1403,2)="DI",HLOOKUP(S1403,DADOS!$T$29:$X$30,2,FALSE),0)),4),"")</f>
        <v>0.25</v>
      </c>
      <c r="AB1403" s="2"/>
    </row>
    <row r="1404" spans="1:28">
      <c r="A1404" t="str">
        <f t="shared" si="1799"/>
        <v>S</v>
      </c>
      <c r="B1404">
        <f t="shared" si="1800"/>
        <v>0</v>
      </c>
      <c r="C1404">
        <f t="shared" ca="1" si="1766"/>
        <v>15</v>
      </c>
      <c r="D1404">
        <f t="shared" ca="1" si="1767"/>
        <v>5</v>
      </c>
      <c r="E1404">
        <f t="shared" ca="1" si="1768"/>
        <v>0</v>
      </c>
      <c r="F1404">
        <f t="shared" ca="1" si="1769"/>
        <v>0</v>
      </c>
      <c r="G1404">
        <f t="shared" ca="1" si="1770"/>
        <v>10</v>
      </c>
      <c r="H1404">
        <f ca="1">IF(OR($A1404="S",$A1404=0),0,MATCH(0,OFFSET($B1404,1,$A1404,ROW($A$1504)-ROW($A1404)),0))</f>
        <v>0</v>
      </c>
      <c r="I1404">
        <f ca="1">IF(OR($A1404="S",$A1404=0),0,MATCH(OFFSET($B1404,0,$A1404)+1,OFFSET($B1404,1,$A1404,ROW($A$1504)-ROW($A1404)),0))</f>
        <v>0</v>
      </c>
      <c r="J1404" s="132" t="s">
        <v>29</v>
      </c>
      <c r="K1404" s="121" t="str">
        <f t="shared" ca="1" si="1801"/>
        <v>15.5.10.</v>
      </c>
      <c r="L1404" s="137" t="str">
        <f t="shared" ca="1" si="1772"/>
        <v xml:space="preserve">Cotação </v>
      </c>
      <c r="M1404" s="122" t="s">
        <v>80</v>
      </c>
      <c r="N1404" s="139" t="s">
        <v>160</v>
      </c>
      <c r="O1404" s="137" t="str">
        <f t="shared" ca="1" si="1798"/>
        <v>Barra de gelo</v>
      </c>
      <c r="P1404" s="138" t="str">
        <f t="shared" ca="1" si="1773"/>
        <v>Unidade</v>
      </c>
      <c r="Q1404" s="134">
        <v>4</v>
      </c>
      <c r="R1404" s="124">
        <f t="shared" ca="1" si="1774"/>
        <v>12</v>
      </c>
      <c r="S1404" s="136" t="s">
        <v>62</v>
      </c>
      <c r="T1404" s="123">
        <f t="shared" ca="1" si="1775"/>
        <v>15</v>
      </c>
      <c r="U1404" s="126">
        <f t="shared" ca="1" si="1776"/>
        <v>60</v>
      </c>
      <c r="V1404" s="1"/>
      <c r="W1404" s="39" t="str">
        <f ca="1">IF(OR($A1404=0,$A1404="S",$A1404&gt;CFF!$A$9),"",MAX(W$11:OFFSET(W1404,-1,0))+1)</f>
        <v/>
      </c>
      <c r="X1404" s="4" t="str">
        <f t="shared" si="1777"/>
        <v>Serv. Terc.-011</v>
      </c>
      <c r="Y1404" s="39">
        <f t="shared" ca="1" si="1802"/>
        <v>91</v>
      </c>
      <c r="Z1404" s="1"/>
      <c r="AA1404" s="133">
        <f>IF($J1404=$G$2,ROUND(IF(ISNUMBER(S1404),S1404,IF(LEFT(S1404,2)="DI",HLOOKUP(S1404,DADOS!$T$29:$X$30,2,FALSE),0)),4),"")</f>
        <v>0.25</v>
      </c>
      <c r="AB1404" s="2"/>
    </row>
    <row r="1405" spans="1:28">
      <c r="A1405" t="str">
        <f t="shared" si="1799"/>
        <v>S</v>
      </c>
      <c r="B1405">
        <f t="shared" si="1800"/>
        <v>0</v>
      </c>
      <c r="C1405">
        <f t="shared" ca="1" si="1766"/>
        <v>15</v>
      </c>
      <c r="D1405">
        <f t="shared" ca="1" si="1767"/>
        <v>5</v>
      </c>
      <c r="E1405">
        <f t="shared" ca="1" si="1768"/>
        <v>0</v>
      </c>
      <c r="F1405">
        <f t="shared" ca="1" si="1769"/>
        <v>0</v>
      </c>
      <c r="G1405">
        <f t="shared" ca="1" si="1770"/>
        <v>11</v>
      </c>
      <c r="H1405">
        <f ca="1">IF(OR($A1405="S",$A1405=0),0,MATCH(0,OFFSET($B1405,1,$A1405,ROW($A$1504)-ROW($A1405)),0))</f>
        <v>0</v>
      </c>
      <c r="I1405">
        <f ca="1">IF(OR($A1405="S",$A1405=0),0,MATCH(OFFSET($B1405,0,$A1405)+1,OFFSET($B1405,1,$A1405,ROW($A$1504)-ROW($A1405)),0))</f>
        <v>0</v>
      </c>
      <c r="J1405" s="132" t="s">
        <v>29</v>
      </c>
      <c r="K1405" s="121" t="str">
        <f t="shared" ca="1" si="1801"/>
        <v>15.5.11.</v>
      </c>
      <c r="L1405" s="137" t="str">
        <f t="shared" ca="1" si="1772"/>
        <v>Cotação</v>
      </c>
      <c r="M1405" s="122" t="s">
        <v>80</v>
      </c>
      <c r="N1405" s="139" t="s">
        <v>150</v>
      </c>
      <c r="O1405" s="137" t="str">
        <f t="shared" ca="1" si="1798"/>
        <v>Sucos</v>
      </c>
      <c r="P1405" s="138" t="str">
        <f t="shared" ca="1" si="1773"/>
        <v>Unidade</v>
      </c>
      <c r="Q1405" s="134">
        <v>12</v>
      </c>
      <c r="R1405" s="124">
        <f t="shared" ca="1" si="1774"/>
        <v>6.4</v>
      </c>
      <c r="S1405" s="136" t="s">
        <v>62</v>
      </c>
      <c r="T1405" s="123">
        <f t="shared" ca="1" si="1775"/>
        <v>8</v>
      </c>
      <c r="U1405" s="126">
        <f t="shared" ca="1" si="1776"/>
        <v>96</v>
      </c>
      <c r="V1405" s="1"/>
      <c r="W1405" s="39" t="str">
        <f ca="1">IF(OR($A1405=0,$A1405="S",$A1405&gt;CFF!$A$9),"",MAX(W$11:OFFSET(W1405,-1,0))+1)</f>
        <v/>
      </c>
      <c r="X1405" s="4" t="str">
        <f t="shared" si="1777"/>
        <v>Serv. Terc.-013</v>
      </c>
      <c r="Y1405" s="39">
        <f t="shared" ca="1" si="1802"/>
        <v>93</v>
      </c>
      <c r="Z1405" s="1"/>
      <c r="AA1405" s="133">
        <f>IF($J1405=$G$2,ROUND(IF(ISNUMBER(S1405),S1405,IF(LEFT(S1405,2)="DI",HLOOKUP(S1405,DADOS!$T$29:$X$30,2,FALSE),0)),4),"")</f>
        <v>0.25</v>
      </c>
      <c r="AB1405" s="2"/>
    </row>
    <row r="1406" spans="1:28">
      <c r="A1406" t="str">
        <f>CHOOSE(1+LOG(1+2*(J1406=$C$2)+4*(J1406=$D$2)+8*(J1406=$E$2)+16*(J1406=$F$2)+32*(J1406=$G$2),2),0,1,2,3,4,"S")</f>
        <v>S</v>
      </c>
      <c r="B1406">
        <f>IF(OR(A1406="S",A1406=0),0,IF(ISERROR(I1406),H1406,SMALL(H1406:I1406,1)))</f>
        <v>0</v>
      </c>
      <c r="C1406">
        <f ca="1">IF($A1406=1,OFFSET(C1406,-1,0)+1,OFFSET(C1406,-1,0))</f>
        <v>15</v>
      </c>
      <c r="D1406">
        <f ca="1">IF($A1406=1,0,IF($A1406=2,OFFSET(D1406,-1,0)+1,OFFSET(D1406,-1,0)))</f>
        <v>5</v>
      </c>
      <c r="E1406">
        <f ca="1">IF(AND($A1406&lt;=2,$A1406&lt;&gt;0),0,IF($A1406=3,OFFSET(E1406,-1,0)+1,OFFSET(E1406,-1,0)))</f>
        <v>0</v>
      </c>
      <c r="F1406">
        <f ca="1">IF(AND($A1406&lt;=3,$A1406&lt;&gt;0),0,IF($A1406=4,OFFSET(F1406,-1,0)+1,OFFSET(F1406,-1,0)))</f>
        <v>0</v>
      </c>
      <c r="G1406">
        <f ca="1">IF(AND($A1406&lt;=4,$A1406&lt;&gt;0),0,IF($A1406="S",OFFSET(G1406,-1,0)+1,OFFSET(G1406,-1,0)))</f>
        <v>12</v>
      </c>
      <c r="H1406">
        <f ca="1">IF(OR($A1406="S",$A1406=0),0,MATCH(0,OFFSET($B1406,1,$A1406,ROW($A$1504)-ROW($A1406)),0))</f>
        <v>0</v>
      </c>
      <c r="I1406">
        <f ca="1">IF(OR($A1406="S",$A1406=0),0,MATCH(OFFSET($B1406,0,$A1406)+1,OFFSET($B1406,1,$A1406,ROW($A$1504)-ROW($A1406)),0))</f>
        <v>0</v>
      </c>
      <c r="J1406" s="132" t="s">
        <v>29</v>
      </c>
      <c r="K1406" s="121" t="str">
        <f ca="1">IF($A1406=0,"-",CONCATENATE(C1406&amp;".",IF(AND($A$5&gt;=2,$A1406&gt;=2),D1406&amp;".",""),IF(AND($A$5&gt;=3,$A1406&gt;=3),E1406&amp;".",""),IF(AND($A$5&gt;=4,$A1406&gt;=4),F1406&amp;".",""),IF($A1406="S",G1406&amp;".","")))</f>
        <v>15.5.12.</v>
      </c>
      <c r="L1406" s="137" t="str">
        <f ca="1">IF(NOT(ISERROR($Y1406)),IF($Y1406&lt;&gt;FALSE,INDEX(Banco,$Y1406,4),""),"")</f>
        <v>Cotação</v>
      </c>
      <c r="M1406" s="122" t="s">
        <v>80</v>
      </c>
      <c r="N1406" s="139" t="s">
        <v>171</v>
      </c>
      <c r="O1406" s="137" t="str">
        <f ca="1">IF(NOT(ISERROR($Y1406)),IF($Y1406&lt;&gt;FALSE,INDEX(Banco,$Y1406,5),""),"")</f>
        <v xml:space="preserve">Refrigerantes (02 litros) </v>
      </c>
      <c r="P1406" s="138" t="str">
        <f ca="1">IF(NOT(ISERROR($Y1406)),IF($Y1406&lt;&gt;FALSE,INDEX(Banco,$Y1406,6),""),"")</f>
        <v>Unidade</v>
      </c>
      <c r="Q1406" s="134">
        <v>20</v>
      </c>
      <c r="R1406" s="124">
        <f ca="1">IF(NOT(ISERROR($Y1406)),IF($Y1406&lt;&gt;FALSE,INDEX(Banco,$Y1406,7),0),0)</f>
        <v>6</v>
      </c>
      <c r="S1406" s="136" t="s">
        <v>62</v>
      </c>
      <c r="T1406" s="123">
        <f ca="1">IF($J1406=$G$2,ROUND(ROUND($R1406,2)*IF($R$9="Preço Unitário (R$)",1,1+$AA1406),2),0)</f>
        <v>7.5</v>
      </c>
      <c r="U1406" s="126">
        <f ca="1">IF($A1406="S",VTOTAL1,IF($A1406=0,0,ROUND(SomaAgrup,2)))</f>
        <v>150</v>
      </c>
      <c r="V1406" s="1"/>
      <c r="W1406" s="39" t="str">
        <f ca="1">IF(OR($A1406=0,$A1406="S",$A1406&gt;CFF!$A$9),"",MAX(W$11:OFFSET(W1406,-1,0))+1)</f>
        <v/>
      </c>
      <c r="X1406" s="4" t="str">
        <f>IF(AND($J1406=$G$2,$N1406&lt;&gt;"",$M1406&lt;&gt;""),CONCATENATE($M1406,"-",$N1406))</f>
        <v>Serv. Terc.-027</v>
      </c>
      <c r="Y1406" s="39">
        <f ca="1">IF(X1406&lt;&gt;FALSE,MATCH(X1406,OFFSET(Banco,0,0,,1),0))</f>
        <v>107</v>
      </c>
      <c r="Z1406" s="1"/>
      <c r="AA1406" s="133">
        <f>IF($J1406=$G$2,ROUND(IF(ISNUMBER(S1406),S1406,IF(LEFT(S1406,2)="DI",HLOOKUP(S1406,DADOS!$T$29:$X$30,2,FALSE),0)),4),"")</f>
        <v>0.25</v>
      </c>
      <c r="AB1406" s="2"/>
    </row>
    <row r="1407" spans="1:28">
      <c r="A1407" t="str">
        <f t="shared" si="1799"/>
        <v>S</v>
      </c>
      <c r="B1407">
        <f t="shared" si="1800"/>
        <v>0</v>
      </c>
      <c r="C1407">
        <f t="shared" ca="1" si="1766"/>
        <v>15</v>
      </c>
      <c r="D1407">
        <f t="shared" ca="1" si="1767"/>
        <v>5</v>
      </c>
      <c r="E1407">
        <f t="shared" ca="1" si="1768"/>
        <v>0</v>
      </c>
      <c r="F1407">
        <f t="shared" ca="1" si="1769"/>
        <v>0</v>
      </c>
      <c r="G1407">
        <f t="shared" ca="1" si="1770"/>
        <v>13</v>
      </c>
      <c r="H1407">
        <f ca="1">IF(OR($A1407="S",$A1407=0),0,MATCH(0,OFFSET($B1407,1,$A1407,ROW($A$1504)-ROW($A1407)),0))</f>
        <v>0</v>
      </c>
      <c r="I1407">
        <f ca="1">IF(OR($A1407="S",$A1407=0),0,MATCH(OFFSET($B1407,0,$A1407)+1,OFFSET($B1407,1,$A1407,ROW($A$1504)-ROW($A1407)),0))</f>
        <v>0</v>
      </c>
      <c r="J1407" s="132" t="s">
        <v>29</v>
      </c>
      <c r="K1407" s="121" t="str">
        <f t="shared" ca="1" si="1801"/>
        <v>15.5.13.</v>
      </c>
      <c r="L1407" s="137" t="str">
        <f t="shared" ca="1" si="1772"/>
        <v xml:space="preserve">Cotação </v>
      </c>
      <c r="M1407" s="122" t="s">
        <v>80</v>
      </c>
      <c r="N1407" s="139" t="s">
        <v>159</v>
      </c>
      <c r="O1407" s="137" t="str">
        <f t="shared" ca="1" si="1798"/>
        <v>Brindes ( descrição nos orçamentos e PTS)</v>
      </c>
      <c r="P1407" s="138" t="str">
        <f t="shared" ca="1" si="1773"/>
        <v>Unidade</v>
      </c>
      <c r="Q1407" s="134">
        <v>4</v>
      </c>
      <c r="R1407" s="124">
        <f t="shared" ca="1" si="1774"/>
        <v>120</v>
      </c>
      <c r="S1407" s="136" t="s">
        <v>62</v>
      </c>
      <c r="T1407" s="123">
        <f t="shared" ca="1" si="1775"/>
        <v>150</v>
      </c>
      <c r="U1407" s="126">
        <f t="shared" ca="1" si="1776"/>
        <v>600</v>
      </c>
      <c r="V1407" s="1"/>
      <c r="W1407" s="39" t="str">
        <f ca="1">IF(OR($A1407=0,$A1407="S",$A1407&gt;CFF!$A$9),"",MAX(W$11:OFFSET(W1407,-1,0))+1)</f>
        <v/>
      </c>
      <c r="X1407" s="4" t="str">
        <f t="shared" si="1777"/>
        <v>Serv. Terc.-010</v>
      </c>
      <c r="Y1407" s="39">
        <f t="shared" ca="1" si="1802"/>
        <v>90</v>
      </c>
      <c r="Z1407" s="1"/>
      <c r="AA1407" s="133">
        <f>IF($J1407=$G$2,ROUND(IF(ISNUMBER(S1407),S1407,IF(LEFT(S1407,2)="DI",HLOOKUP(S1407,DADOS!$T$29:$X$30,2,FALSE),0)),4),"")</f>
        <v>0.25</v>
      </c>
      <c r="AB1407" s="2"/>
    </row>
    <row r="1408" spans="1:28">
      <c r="A1408" t="str">
        <f>CHOOSE(1+LOG(1+2*(J1408=$C$2)+4*(J1408=$D$2)+8*(J1408=$E$2)+16*(J1408=$F$2)+32*(J1408=$G$2),2),0,1,2,3,4,"S")</f>
        <v>S</v>
      </c>
      <c r="B1408">
        <f>IF(OR(A1408="S",A1408=0),0,IF(ISERROR(I1408),H1408,SMALL(H1408:I1408,1)))</f>
        <v>0</v>
      </c>
      <c r="C1408">
        <f ca="1">IF($A1408=1,OFFSET(C1408,-1,0)+1,OFFSET(C1408,-1,0))</f>
        <v>15</v>
      </c>
      <c r="D1408">
        <f ca="1">IF($A1408=1,0,IF($A1408=2,OFFSET(D1408,-1,0)+1,OFFSET(D1408,-1,0)))</f>
        <v>5</v>
      </c>
      <c r="E1408">
        <f ca="1">IF(AND($A1408&lt;=2,$A1408&lt;&gt;0),0,IF($A1408=3,OFFSET(E1408,-1,0)+1,OFFSET(E1408,-1,0)))</f>
        <v>0</v>
      </c>
      <c r="F1408">
        <f ca="1">IF(AND($A1408&lt;=3,$A1408&lt;&gt;0),0,IF($A1408=4,OFFSET(F1408,-1,0)+1,OFFSET(F1408,-1,0)))</f>
        <v>0</v>
      </c>
      <c r="G1408">
        <f ca="1">IF(AND($A1408&lt;=4,$A1408&lt;&gt;0),0,IF($A1408="S",OFFSET(G1408,-1,0)+1,OFFSET(G1408,-1,0)))</f>
        <v>14</v>
      </c>
      <c r="H1408">
        <f ca="1">IF(OR($A1408="S",$A1408=0),0,MATCH(0,OFFSET($B1408,1,$A1408,ROW($A$1504)-ROW($A1408)),0))</f>
        <v>0</v>
      </c>
      <c r="I1408">
        <f ca="1">IF(OR($A1408="S",$A1408=0),0,MATCH(OFFSET($B1408,0,$A1408)+1,OFFSET($B1408,1,$A1408,ROW($A$1504)-ROW($A1408)),0))</f>
        <v>0</v>
      </c>
      <c r="J1408" s="132" t="s">
        <v>29</v>
      </c>
      <c r="K1408" s="121" t="str">
        <f ca="1">IF($A1408=0,"-",CONCATENATE(C1408&amp;".",IF(AND($A$5&gt;=2,$A1408&gt;=2),D1408&amp;".",""),IF(AND($A$5&gt;=3,$A1408&gt;=3),E1408&amp;".",""),IF(AND($A$5&gt;=4,$A1408&gt;=4),F1408&amp;".",""),IF($A1408="S",G1408&amp;".","")))</f>
        <v>15.5.14.</v>
      </c>
      <c r="L1408" s="137" t="str">
        <f ca="1">IF(NOT(ISERROR($Y1408)),IF($Y1408&lt;&gt;FALSE,INDEX(Banco,$Y1408,4),""),"")</f>
        <v>CRP</v>
      </c>
      <c r="M1408" s="122" t="s">
        <v>80</v>
      </c>
      <c r="N1408" s="139" t="s">
        <v>279</v>
      </c>
      <c r="O1408" s="137" t="str">
        <f ca="1">IF(NOT(ISERROR($Y1408)),IF($Y1408&lt;&gt;FALSE,INDEX(Banco,$Y1408,5),""),"")</f>
        <v>Psicologa</v>
      </c>
      <c r="P1408" s="138" t="str">
        <f ca="1">IF(NOT(ISERROR($Y1408)),IF($Y1408&lt;&gt;FALSE,INDEX(Banco,$Y1408,6),""),"")</f>
        <v>Horas</v>
      </c>
      <c r="Q1408" s="134">
        <v>3</v>
      </c>
      <c r="R1408" s="124">
        <f ca="1">IF(NOT(ISERROR($Y1408)),IF($Y1408&lt;&gt;FALSE,INDEX(Banco,$Y1408,7),0),0)</f>
        <v>432.79</v>
      </c>
      <c r="S1408" s="136" t="s">
        <v>62</v>
      </c>
      <c r="T1408" s="123">
        <f ca="1">IF($J1408=$G$2,ROUND(ROUND($R1408,2)*IF($R$9="Preço Unitário (R$)",1,1+$AA1408),2),0)</f>
        <v>540.99</v>
      </c>
      <c r="U1408" s="126">
        <f ca="1">IF($A1408="S",VTOTAL1,IF($A1408=0,0,ROUND(SomaAgrup,2)))</f>
        <v>1622.97</v>
      </c>
      <c r="V1408" s="1"/>
      <c r="W1408" s="39" t="str">
        <f ca="1">IF(OR($A1408=0,$A1408="S",$A1408&gt;CFF!$A$9),"",MAX(W$11:OFFSET(W1408,-1,0))+1)</f>
        <v/>
      </c>
      <c r="X1408" s="4" t="str">
        <f>IF(AND($J1408=$G$2,$N1408&lt;&gt;"",$M1408&lt;&gt;""),CONCATENATE($M1408,"-",$N1408))</f>
        <v>Serv. Terc.-062</v>
      </c>
      <c r="Y1408" s="39">
        <f ca="1">IF(X1408&lt;&gt;FALSE,MATCH(X1408,OFFSET(Banco,0,0,,1),0))</f>
        <v>142</v>
      </c>
      <c r="Z1408" s="1"/>
      <c r="AA1408" s="133">
        <f>IF($J1408=$G$2,ROUND(IF(ISNUMBER(S1408),S1408,IF(LEFT(S1408,2)="DI",HLOOKUP(S1408,DADOS!$T$29:$X$30,2,FALSE),0)),4),"")</f>
        <v>0.25</v>
      </c>
      <c r="AB1408" s="2"/>
    </row>
    <row r="1409" spans="1:28">
      <c r="A1409" t="str">
        <f t="shared" si="1799"/>
        <v>S</v>
      </c>
      <c r="B1409">
        <f t="shared" si="1800"/>
        <v>0</v>
      </c>
      <c r="C1409">
        <f t="shared" ca="1" si="1766"/>
        <v>15</v>
      </c>
      <c r="D1409">
        <f t="shared" ca="1" si="1767"/>
        <v>5</v>
      </c>
      <c r="E1409">
        <f t="shared" ca="1" si="1768"/>
        <v>0</v>
      </c>
      <c r="F1409">
        <f t="shared" ca="1" si="1769"/>
        <v>0</v>
      </c>
      <c r="G1409">
        <f t="shared" ca="1" si="1770"/>
        <v>15</v>
      </c>
      <c r="H1409">
        <f ca="1">IF(OR($A1409="S",$A1409=0),0,MATCH(0,OFFSET($B1409,1,$A1409,ROW($A$1504)-ROW($A1409)),0))</f>
        <v>0</v>
      </c>
      <c r="I1409">
        <f ca="1">IF(OR($A1409="S",$A1409=0),0,MATCH(OFFSET($B1409,0,$A1409)+1,OFFSET($B1409,1,$A1409,ROW($A$1504)-ROW($A1409)),0))</f>
        <v>0</v>
      </c>
      <c r="J1409" s="132" t="s">
        <v>29</v>
      </c>
      <c r="K1409" s="121" t="str">
        <f t="shared" ca="1" si="1801"/>
        <v>15.5.15.</v>
      </c>
      <c r="L1409" s="137" t="str">
        <f t="shared" ca="1" si="1772"/>
        <v>Cotação</v>
      </c>
      <c r="M1409" s="122" t="s">
        <v>80</v>
      </c>
      <c r="N1409" s="139" t="s">
        <v>162</v>
      </c>
      <c r="O1409" s="137" t="str">
        <f t="shared" ca="1" si="1798"/>
        <v>Coffee break (salgados)</v>
      </c>
      <c r="P1409" s="138" t="str">
        <f t="shared" ca="1" si="1773"/>
        <v>Centro</v>
      </c>
      <c r="Q1409" s="134">
        <v>15</v>
      </c>
      <c r="R1409" s="124">
        <f t="shared" ca="1" si="1774"/>
        <v>65</v>
      </c>
      <c r="S1409" s="136" t="s">
        <v>62</v>
      </c>
      <c r="T1409" s="123">
        <f t="shared" ca="1" si="1775"/>
        <v>81.25</v>
      </c>
      <c r="U1409" s="126">
        <f t="shared" ca="1" si="1776"/>
        <v>1218.75</v>
      </c>
      <c r="V1409" s="1"/>
      <c r="W1409" s="39" t="str">
        <f ca="1">IF(OR($A1409=0,$A1409="S",$A1409&gt;CFF!$A$9),"",MAX(W$11:OFFSET(W1409,-1,0))+1)</f>
        <v/>
      </c>
      <c r="X1409" s="4" t="str">
        <f t="shared" si="1777"/>
        <v>Serv. Terc.-015</v>
      </c>
      <c r="Y1409" s="39">
        <f t="shared" ca="1" si="1802"/>
        <v>95</v>
      </c>
      <c r="Z1409" s="1"/>
      <c r="AA1409" s="133">
        <f>IF($J1409=$G$2,ROUND(IF(ISNUMBER(S1409),S1409,IF(LEFT(S1409,2)="DI",HLOOKUP(S1409,DADOS!$T$29:$X$30,2,FALSE),0)),4),"")</f>
        <v>0.25</v>
      </c>
      <c r="AB1409" s="2"/>
    </row>
    <row r="1410" spans="1:28">
      <c r="A1410" t="str">
        <f t="shared" si="1799"/>
        <v>S</v>
      </c>
      <c r="B1410">
        <f t="shared" si="1800"/>
        <v>0</v>
      </c>
      <c r="C1410">
        <f t="shared" ca="1" si="1766"/>
        <v>15</v>
      </c>
      <c r="D1410">
        <f t="shared" ca="1" si="1767"/>
        <v>5</v>
      </c>
      <c r="E1410">
        <f t="shared" ca="1" si="1768"/>
        <v>0</v>
      </c>
      <c r="F1410">
        <f t="shared" ca="1" si="1769"/>
        <v>0</v>
      </c>
      <c r="G1410">
        <f t="shared" ca="1" si="1770"/>
        <v>16</v>
      </c>
      <c r="H1410">
        <f ca="1">IF(OR($A1410="S",$A1410=0),0,MATCH(0,OFFSET($B1410,1,$A1410,ROW($A$1504)-ROW($A1410)),0))</f>
        <v>0</v>
      </c>
      <c r="I1410">
        <f ca="1">IF(OR($A1410="S",$A1410=0),0,MATCH(OFFSET($B1410,0,$A1410)+1,OFFSET($B1410,1,$A1410,ROW($A$1504)-ROW($A1410)),0))</f>
        <v>0</v>
      </c>
      <c r="J1410" s="132" t="s">
        <v>29</v>
      </c>
      <c r="K1410" s="121" t="str">
        <f t="shared" ca="1" si="1801"/>
        <v>15.5.16.</v>
      </c>
      <c r="L1410" s="137" t="str">
        <f t="shared" ca="1" si="1772"/>
        <v>Cotação</v>
      </c>
      <c r="M1410" s="122" t="s">
        <v>79</v>
      </c>
      <c r="N1410" s="139" t="s">
        <v>163</v>
      </c>
      <c r="O1410" s="137" t="str">
        <f t="shared" ca="1" si="1798"/>
        <v>Guloseimas (balas e pirulito)</v>
      </c>
      <c r="P1410" s="138" t="str">
        <f t="shared" ca="1" si="1773"/>
        <v>Pacote</v>
      </c>
      <c r="Q1410" s="134">
        <v>4</v>
      </c>
      <c r="R1410" s="124">
        <f t="shared" ca="1" si="1774"/>
        <v>12</v>
      </c>
      <c r="S1410" s="136" t="s">
        <v>62</v>
      </c>
      <c r="T1410" s="123">
        <f t="shared" ca="1" si="1775"/>
        <v>15</v>
      </c>
      <c r="U1410" s="126">
        <f t="shared" ca="1" si="1776"/>
        <v>60</v>
      </c>
      <c r="V1410" s="1"/>
      <c r="W1410" s="39" t="str">
        <f ca="1">IF(OR($A1410=0,$A1410="S",$A1410&gt;CFF!$A$9),"",MAX(W$11:OFFSET(W1410,-1,0))+1)</f>
        <v/>
      </c>
      <c r="X1410" s="4" t="str">
        <f t="shared" si="1777"/>
        <v>Rec. Materiais-020</v>
      </c>
      <c r="Y1410" s="39">
        <f t="shared" ca="1" si="1802"/>
        <v>29</v>
      </c>
      <c r="Z1410" s="1"/>
      <c r="AA1410" s="133">
        <f>IF($J1410=$G$2,ROUND(IF(ISNUMBER(S1410),S1410,IF(LEFT(S1410,2)="DI",HLOOKUP(S1410,DADOS!$T$29:$X$30,2,FALSE),0)),4),"")</f>
        <v>0.25</v>
      </c>
      <c r="AB1410" s="2"/>
    </row>
    <row r="1411" spans="1:28">
      <c r="A1411" t="str">
        <f t="shared" si="1799"/>
        <v>S</v>
      </c>
      <c r="B1411">
        <f t="shared" si="1800"/>
        <v>0</v>
      </c>
      <c r="C1411">
        <f t="shared" ca="1" si="1766"/>
        <v>15</v>
      </c>
      <c r="D1411">
        <f t="shared" ca="1" si="1767"/>
        <v>5</v>
      </c>
      <c r="E1411">
        <f t="shared" ca="1" si="1768"/>
        <v>0</v>
      </c>
      <c r="F1411">
        <f t="shared" ca="1" si="1769"/>
        <v>0</v>
      </c>
      <c r="G1411">
        <f t="shared" ca="1" si="1770"/>
        <v>17</v>
      </c>
      <c r="H1411">
        <f ca="1">IF(OR($A1411="S",$A1411=0),0,MATCH(0,OFFSET($B1411,1,$A1411,ROW($A$1504)-ROW($A1411)),0))</f>
        <v>0</v>
      </c>
      <c r="I1411">
        <f ca="1">IF(OR($A1411="S",$A1411=0),0,MATCH(OFFSET($B1411,0,$A1411)+1,OFFSET($B1411,1,$A1411,ROW($A$1504)-ROW($A1411)),0))</f>
        <v>0</v>
      </c>
      <c r="J1411" s="132" t="s">
        <v>29</v>
      </c>
      <c r="K1411" s="121" t="str">
        <f t="shared" ca="1" si="1801"/>
        <v>15.5.17.</v>
      </c>
      <c r="L1411" s="137" t="str">
        <f t="shared" ca="1" si="1772"/>
        <v>Cotação</v>
      </c>
      <c r="M1411" s="122" t="s">
        <v>79</v>
      </c>
      <c r="N1411" s="139" t="s">
        <v>165</v>
      </c>
      <c r="O1411" s="137" t="str">
        <f t="shared" ca="1" si="1798"/>
        <v>Papel de presente</v>
      </c>
      <c r="P1411" s="138" t="str">
        <f t="shared" ca="1" si="1773"/>
        <v>Folhas</v>
      </c>
      <c r="Q1411" s="134">
        <v>8</v>
      </c>
      <c r="R1411" s="124">
        <f t="shared" ca="1" si="1774"/>
        <v>1.5</v>
      </c>
      <c r="S1411" s="136" t="s">
        <v>62</v>
      </c>
      <c r="T1411" s="123">
        <f t="shared" ca="1" si="1775"/>
        <v>1.88</v>
      </c>
      <c r="U1411" s="126">
        <f t="shared" ca="1" si="1776"/>
        <v>15.04</v>
      </c>
      <c r="V1411" s="1"/>
      <c r="W1411" s="39" t="str">
        <f ca="1">IF(OR($A1411=0,$A1411="S",$A1411&gt;CFF!$A$9),"",MAX(W$11:OFFSET(W1411,-1,0))+1)</f>
        <v/>
      </c>
      <c r="X1411" s="4" t="str">
        <f t="shared" si="1777"/>
        <v>Rec. Materiais-021</v>
      </c>
      <c r="Y1411" s="39">
        <f t="shared" ca="1" si="1802"/>
        <v>30</v>
      </c>
      <c r="Z1411" s="1"/>
      <c r="AA1411" s="133">
        <f>IF($J1411=$G$2,ROUND(IF(ISNUMBER(S1411),S1411,IF(LEFT(S1411,2)="DI",HLOOKUP(S1411,DADOS!$T$29:$X$30,2,FALSE),0)),4),"")</f>
        <v>0.25</v>
      </c>
      <c r="AB1411" s="2"/>
    </row>
    <row r="1412" spans="1:28">
      <c r="A1412" t="str">
        <f t="shared" si="1799"/>
        <v>S</v>
      </c>
      <c r="B1412">
        <f t="shared" si="1800"/>
        <v>0</v>
      </c>
      <c r="C1412">
        <f t="shared" ca="1" si="1766"/>
        <v>15</v>
      </c>
      <c r="D1412">
        <f t="shared" ca="1" si="1767"/>
        <v>5</v>
      </c>
      <c r="E1412">
        <f t="shared" ca="1" si="1768"/>
        <v>0</v>
      </c>
      <c r="F1412">
        <f t="shared" ca="1" si="1769"/>
        <v>0</v>
      </c>
      <c r="G1412">
        <f t="shared" ca="1" si="1770"/>
        <v>18</v>
      </c>
      <c r="H1412">
        <f ca="1">IF(OR($A1412="S",$A1412=0),0,MATCH(0,OFFSET($B1412,1,$A1412,ROW($A$1504)-ROW($A1412)),0))</f>
        <v>0</v>
      </c>
      <c r="I1412">
        <f ca="1">IF(OR($A1412="S",$A1412=0),0,MATCH(OFFSET($B1412,0,$A1412)+1,OFFSET($B1412,1,$A1412,ROW($A$1504)-ROW($A1412)),0))</f>
        <v>0</v>
      </c>
      <c r="J1412" s="132" t="s">
        <v>29</v>
      </c>
      <c r="K1412" s="121" t="str">
        <f t="shared" ca="1" si="1801"/>
        <v>15.5.18.</v>
      </c>
      <c r="L1412" s="137" t="str">
        <f t="shared" ca="1" si="1772"/>
        <v>Cotação</v>
      </c>
      <c r="M1412" s="122" t="s">
        <v>79</v>
      </c>
      <c r="N1412" s="139" t="s">
        <v>170</v>
      </c>
      <c r="O1412" s="137" t="str">
        <f t="shared" ca="1" si="1798"/>
        <v>Saco de lixo (100 litros)</v>
      </c>
      <c r="P1412" s="138" t="str">
        <f t="shared" ca="1" si="1773"/>
        <v>Pacote</v>
      </c>
      <c r="Q1412" s="134">
        <v>2</v>
      </c>
      <c r="R1412" s="124">
        <f t="shared" ca="1" si="1774"/>
        <v>15</v>
      </c>
      <c r="S1412" s="136" t="s">
        <v>62</v>
      </c>
      <c r="T1412" s="123">
        <f t="shared" ca="1" si="1775"/>
        <v>18.75</v>
      </c>
      <c r="U1412" s="126">
        <f t="shared" ca="1" si="1776"/>
        <v>37.5</v>
      </c>
      <c r="V1412" s="1"/>
      <c r="W1412" s="39" t="str">
        <f ca="1">IF(OR($A1412=0,$A1412="S",$A1412&gt;CFF!$A$9),"",MAX(W$11:OFFSET(W1412,-1,0))+1)</f>
        <v/>
      </c>
      <c r="X1412" s="4" t="str">
        <f t="shared" si="1777"/>
        <v>Rec. Materiais-026</v>
      </c>
      <c r="Y1412" s="39">
        <f t="shared" ca="1" si="1802"/>
        <v>35</v>
      </c>
      <c r="Z1412" s="1"/>
      <c r="AA1412" s="133">
        <f>IF($J1412=$G$2,ROUND(IF(ISNUMBER(S1412),S1412,IF(LEFT(S1412,2)="DI",HLOOKUP(S1412,DADOS!$T$29:$X$30,2,FALSE),0)),4),"")</f>
        <v>0.25</v>
      </c>
      <c r="AB1412" s="2"/>
    </row>
    <row r="1413" spans="1:28">
      <c r="A1413">
        <f>CHOOSE(1+LOG(1+2*(J1413=$C$2)+4*(J1413=$D$2)+8*(J1413=$E$2)+16*(J1413=$F$2)+32*(J1413=$G$2),2),0,1,2,3,4,"S")</f>
        <v>1</v>
      </c>
      <c r="B1413">
        <f ca="1">IF(OR(A1413="S",A1413=0),0,IF(ISERROR(I1413),H1413,SMALL(H1413:I1413,1)))</f>
        <v>17</v>
      </c>
      <c r="C1413">
        <f t="shared" ref="C1413:C1419" ca="1" si="1803">IF($A1413=1,OFFSET(C1413,-1,0)+1,OFFSET(C1413,-1,0))</f>
        <v>16</v>
      </c>
      <c r="D1413">
        <f t="shared" ref="D1413:D1419" ca="1" si="1804">IF($A1413=1,0,IF($A1413=2,OFFSET(D1413,-1,0)+1,OFFSET(D1413,-1,0)))</f>
        <v>0</v>
      </c>
      <c r="E1413">
        <f t="shared" ref="E1413:E1419" ca="1" si="1805">IF(AND($A1413&lt;=2,$A1413&lt;&gt;0),0,IF($A1413=3,OFFSET(E1413,-1,0)+1,OFFSET(E1413,-1,0)))</f>
        <v>0</v>
      </c>
      <c r="F1413">
        <f t="shared" ref="F1413:F1419" ca="1" si="1806">IF(AND($A1413&lt;=3,$A1413&lt;&gt;0),0,IF($A1413=4,OFFSET(F1413,-1,0)+1,OFFSET(F1413,-1,0)))</f>
        <v>0</v>
      </c>
      <c r="G1413">
        <f t="shared" ref="G1413:G1419" ca="1" si="1807">IF(AND($A1413&lt;=4,$A1413&lt;&gt;0),0,IF($A1413="S",OFFSET(G1413,-1,0)+1,OFFSET(G1413,-1,0)))</f>
        <v>0</v>
      </c>
      <c r="H1413">
        <f ca="1">IF(OR($A1413="S",$A1413=0),0,MATCH(0,OFFSET($B1413,1,$A1413,ROW($A$1504)-ROW($A1413)),0))</f>
        <v>91</v>
      </c>
      <c r="I1413">
        <f ca="1">IF(OR($A1413="S",$A1413=0),0,MATCH(OFFSET($B1413,0,$A1413)+1,OFFSET($B1413,1,$A1413,ROW($A$1504)-ROW($A1413)),0))</f>
        <v>17</v>
      </c>
      <c r="J1413" s="132" t="s">
        <v>67</v>
      </c>
      <c r="K1413" s="121" t="str">
        <f t="shared" ref="K1413:K1419" ca="1" si="1808">IF($A1413=0,"-",CONCATENATE(C1413&amp;".",IF(AND($A$5&gt;=2,$A1413&gt;=2),D1413&amp;".",""),IF(AND($A$5&gt;=3,$A1413&gt;=3),E1413&amp;".",""),IF(AND($A$5&gt;=4,$A1413&gt;=4),F1413&amp;".",""),IF($A1413="S",G1413&amp;".","")))</f>
        <v>16.</v>
      </c>
      <c r="L1413" s="137" t="str">
        <f t="shared" ref="L1413:L1419" ca="1" si="1809">IF(NOT(ISERROR($Y1413)),IF($Y1413&lt;&gt;FALSE,INDEX(Banco,$Y1413,4),""),"")</f>
        <v/>
      </c>
      <c r="M1413" s="122"/>
      <c r="N1413" s="139"/>
      <c r="O1413" s="137" t="s">
        <v>341</v>
      </c>
      <c r="P1413" s="138" t="str">
        <f t="shared" ref="P1413:P1419" ca="1" si="1810">IF(NOT(ISERROR($Y1413)),IF($Y1413&lt;&gt;FALSE,INDEX(Banco,$Y1413,6),""),"")</f>
        <v/>
      </c>
      <c r="Q1413" s="134"/>
      <c r="R1413" s="124">
        <f t="shared" ref="R1413:R1419" ca="1" si="1811">IF(NOT(ISERROR($Y1413)),IF($Y1413&lt;&gt;FALSE,INDEX(Banco,$Y1413,7),0),0)</f>
        <v>0</v>
      </c>
      <c r="S1413" s="136" t="s">
        <v>62</v>
      </c>
      <c r="T1413" s="123">
        <f t="shared" ref="T1413:T1419" si="1812">IF($J1413=$G$2,ROUND(ROUND($R1413,2)*IF($R$9="Preço Unitário (R$)",1,1+$AA1413),2),0)</f>
        <v>0</v>
      </c>
      <c r="U1413" s="126">
        <f t="shared" ref="U1413:U1419" ca="1" si="1813">IF($A1413="S",VTOTAL1,IF($A1413=0,0,ROUND(SomaAgrup,2)))</f>
        <v>35390.57</v>
      </c>
      <c r="V1413" s="1"/>
      <c r="W1413" s="39">
        <f ca="1">IF(OR($A1413=0,$A1413="S",$A1413&gt;CFF!$A$9),"",MAX(W$11:OFFSET(W1413,-1,0))+1)</f>
        <v>123</v>
      </c>
      <c r="X1413" s="4" t="b">
        <f t="shared" ref="X1413:X1419" si="1814">IF(AND($J1413=$G$2,$N1413&lt;&gt;"",$M1413&lt;&gt;""),CONCATENATE($M1413,"-",$N1413))</f>
        <v>0</v>
      </c>
      <c r="Y1413" s="39" t="b">
        <f ca="1">IF(X1413&lt;&gt;FALSE,MATCH(X1413,OFFSET(Banco,0,0,,1),0))</f>
        <v>0</v>
      </c>
      <c r="Z1413" s="1"/>
      <c r="AA1413" s="133" t="str">
        <f>IF($J1413=$G$2,ROUND(IF(ISNUMBER(S1413),S1413,IF(LEFT(S1413,2)="DI",HLOOKUP(S1413,DADOS!$T$29:$X$30,2,FALSE),0)),4),"")</f>
        <v/>
      </c>
      <c r="AB1413" s="2"/>
    </row>
    <row r="1414" spans="1:28" ht="25.5">
      <c r="A1414">
        <f>CHOOSE(1+LOG(1+2*(J1414=$C$2)+4*(J1414=$D$2)+8*(J1414=$E$2)+16*(J1414=$F$2)+32*(J1414=$G$2),2),0,1,2,3,4,"S")</f>
        <v>2</v>
      </c>
      <c r="B1414">
        <f ca="1">IF(OR(A1414="S",A1414=0),0,IF(ISERROR(I1414),H1414,SMALL(H1414:I1414,1)))</f>
        <v>4</v>
      </c>
      <c r="C1414">
        <f ca="1">IF($A1414=1,OFFSET(C1414,-1,0)+1,OFFSET(C1414,-1,0))</f>
        <v>16</v>
      </c>
      <c r="D1414">
        <f ca="1">IF($A1414=1,0,IF($A1414=2,OFFSET(D1414,-1,0)+1,OFFSET(D1414,-1,0)))</f>
        <v>1</v>
      </c>
      <c r="E1414">
        <f ca="1">IF(AND($A1414&lt;=2,$A1414&lt;&gt;0),0,IF($A1414=3,OFFSET(E1414,-1,0)+1,OFFSET(E1414,-1,0)))</f>
        <v>0</v>
      </c>
      <c r="F1414">
        <f ca="1">IF(AND($A1414&lt;=3,$A1414&lt;&gt;0),0,IF($A1414=4,OFFSET(F1414,-1,0)+1,OFFSET(F1414,-1,0)))</f>
        <v>0</v>
      </c>
      <c r="G1414">
        <f ca="1">IF(AND($A1414&lt;=4,$A1414&lt;&gt;0),0,IF($A1414="S",OFFSET(G1414,-1,0)+1,OFFSET(G1414,-1,0)))</f>
        <v>0</v>
      </c>
      <c r="H1414">
        <f ca="1">IF(OR($A1414="S",$A1414=0),0,MATCH(0,OFFSET($B1414,1,$A1414,ROW($A$1504)-ROW($A1414)),0))</f>
        <v>16</v>
      </c>
      <c r="I1414">
        <f ca="1">IF(OR($A1414="S",$A1414=0),0,MATCH(OFFSET($B1414,0,$A1414)+1,OFFSET($B1414,1,$A1414,ROW($A$1504)-ROW($A1414)),0))</f>
        <v>4</v>
      </c>
      <c r="J1414" s="132" t="s">
        <v>68</v>
      </c>
      <c r="K1414" s="121" t="str">
        <f ca="1">IF($A1414=0,"-",CONCATENATE(C1414&amp;".",IF(AND($A$5&gt;=2,$A1414&gt;=2),D1414&amp;".",""),IF(AND($A$5&gt;=3,$A1414&gt;=3),E1414&amp;".",""),IF(AND($A$5&gt;=4,$A1414&gt;=4),F1414&amp;".",""),IF($A1414="S",G1414&amp;".","")))</f>
        <v>16.1.</v>
      </c>
      <c r="L1414" s="137" t="str">
        <f ca="1">IF(NOT(ISERROR($Y1414)),IF($Y1414&lt;&gt;FALSE,INDEX(Banco,$Y1414,4),""),"")</f>
        <v/>
      </c>
      <c r="M1414" s="122"/>
      <c r="N1414" s="139"/>
      <c r="O1414" s="137" t="s">
        <v>458</v>
      </c>
      <c r="P1414" s="138" t="str">
        <f ca="1">IF(NOT(ISERROR($Y1414)),IF($Y1414&lt;&gt;FALSE,INDEX(Banco,$Y1414,6),""),"")</f>
        <v/>
      </c>
      <c r="Q1414" s="134"/>
      <c r="R1414" s="124">
        <f ca="1">IF(NOT(ISERROR($Y1414)),IF($Y1414&lt;&gt;FALSE,INDEX(Banco,$Y1414,7),0),0)</f>
        <v>0</v>
      </c>
      <c r="S1414" s="136" t="s">
        <v>62</v>
      </c>
      <c r="T1414" s="123">
        <f>IF($J1414=$G$2,ROUND(ROUND($R1414,2)*IF($R$9="Preço Unitário (R$)",1,1+$AA1414),2),0)</f>
        <v>0</v>
      </c>
      <c r="U1414" s="126">
        <f ca="1">IF($A1414="S",VTOTAL1,IF($A1414=0,0,ROUND(SomaAgrup,2)))</f>
        <v>9582.9500000000007</v>
      </c>
      <c r="V1414" s="1"/>
      <c r="W1414" s="39">
        <f ca="1">IF(OR($A1414=0,$A1414="S",$A1414&gt;CFF!$A$9),"",MAX(W$11:OFFSET(W1414,-1,0))+1)</f>
        <v>124</v>
      </c>
      <c r="X1414" s="4" t="b">
        <f>IF(AND($J1414=$G$2,$N1414&lt;&gt;"",$M1414&lt;&gt;""),CONCATENATE($M1414,"-",$N1414))</f>
        <v>0</v>
      </c>
      <c r="Y1414" s="39" t="b">
        <f ca="1">IF(X1414&lt;&gt;FALSE,MATCH(X1414,OFFSET(Banco,0,0,,1),0))</f>
        <v>0</v>
      </c>
      <c r="Z1414" s="1"/>
      <c r="AA1414" s="133" t="str">
        <f>IF($J1414=$G$2,ROUND(IF(ISNUMBER(S1414),S1414,IF(LEFT(S1414,2)="DI",HLOOKUP(S1414,DADOS!$T$29:$X$30,2,FALSE),0)),4),"")</f>
        <v/>
      </c>
      <c r="AB1414" s="2"/>
    </row>
    <row r="1415" spans="1:28">
      <c r="A1415" t="str">
        <f t="shared" ref="A1415:A1424" si="1815">CHOOSE(1+LOG(1+2*(J1415=$C$2)+4*(J1415=$D$2)+8*(J1415=$E$2)+16*(J1415=$F$2)+32*(J1415=$G$2),2),0,1,2,3,4,"S")</f>
        <v>S</v>
      </c>
      <c r="B1415">
        <f t="shared" ref="B1415:B1424" si="1816">IF(OR(A1415="S",A1415=0),0,IF(ISERROR(I1415),H1415,SMALL(H1415:I1415,1)))</f>
        <v>0</v>
      </c>
      <c r="C1415">
        <f t="shared" ca="1" si="1803"/>
        <v>16</v>
      </c>
      <c r="D1415">
        <f t="shared" ca="1" si="1804"/>
        <v>1</v>
      </c>
      <c r="E1415">
        <f t="shared" ca="1" si="1805"/>
        <v>0</v>
      </c>
      <c r="F1415">
        <f t="shared" ca="1" si="1806"/>
        <v>0</v>
      </c>
      <c r="G1415">
        <f t="shared" ca="1" si="1807"/>
        <v>1</v>
      </c>
      <c r="H1415">
        <f ca="1">IF(OR($A1415="S",$A1415=0),0,MATCH(0,OFFSET($B1415,1,$A1415,ROW($A$1504)-ROW($A1415)),0))</f>
        <v>0</v>
      </c>
      <c r="I1415">
        <f ca="1">IF(OR($A1415="S",$A1415=0),0,MATCH(OFFSET($B1415,0,$A1415)+1,OFFSET($B1415,1,$A1415,ROW($A$1504)-ROW($A1415)),0))</f>
        <v>0</v>
      </c>
      <c r="J1415" s="132" t="s">
        <v>29</v>
      </c>
      <c r="K1415" s="121" t="str">
        <f t="shared" ca="1" si="1808"/>
        <v>16.1.1.</v>
      </c>
      <c r="L1415" s="137" t="str">
        <f t="shared" ca="1" si="1809"/>
        <v>CRESS</v>
      </c>
      <c r="M1415" s="122" t="s">
        <v>78</v>
      </c>
      <c r="N1415" s="139" t="s">
        <v>149</v>
      </c>
      <c r="O1415" s="137" t="str">
        <f ca="1">IF(NOT(ISERROR($Y1415)),IF($Y1415&lt;&gt;FALSE,INDEX(Banco,$Y1415,5),""),"")</f>
        <v>Responsável Técnica</v>
      </c>
      <c r="P1415" s="138" t="str">
        <f t="shared" ca="1" si="1810"/>
        <v>Horas</v>
      </c>
      <c r="Q1415" s="134">
        <v>15</v>
      </c>
      <c r="R1415" s="124">
        <f t="shared" ca="1" si="1811"/>
        <v>150.28</v>
      </c>
      <c r="S1415" s="136" t="s">
        <v>62</v>
      </c>
      <c r="T1415" s="123">
        <f t="shared" ca="1" si="1812"/>
        <v>187.85</v>
      </c>
      <c r="U1415" s="126">
        <f t="shared" ca="1" si="1813"/>
        <v>2817.75</v>
      </c>
      <c r="V1415" s="1"/>
      <c r="W1415" s="39" t="str">
        <f ca="1">IF(OR($A1415=0,$A1415="S",$A1415&gt;CFF!$A$9),"",MAX(W$11:OFFSET(W1415,-1,0))+1)</f>
        <v/>
      </c>
      <c r="X1415" s="4" t="str">
        <f t="shared" si="1814"/>
        <v>Rec. Humanos-001</v>
      </c>
      <c r="Y1415" s="39">
        <f t="shared" ref="Y1415:Y1424" ca="1" si="1817">IF(X1415&lt;&gt;FALSE,MATCH(X1415,OFFSET(Banco,0,0,,1),0))</f>
        <v>3</v>
      </c>
      <c r="Z1415" s="1"/>
      <c r="AA1415" s="133">
        <f>IF($J1415=$G$2,ROUND(IF(ISNUMBER(S1415),S1415,IF(LEFT(S1415,2)="DI",HLOOKUP(S1415,DADOS!$T$29:$X$30,2,FALSE),0)),4),"")</f>
        <v>0.25</v>
      </c>
      <c r="AB1415" s="2"/>
    </row>
    <row r="1416" spans="1:28">
      <c r="A1416" t="str">
        <f t="shared" si="1815"/>
        <v>S</v>
      </c>
      <c r="B1416">
        <f t="shared" si="1816"/>
        <v>0</v>
      </c>
      <c r="C1416">
        <f t="shared" ca="1" si="1803"/>
        <v>16</v>
      </c>
      <c r="D1416">
        <f t="shared" ca="1" si="1804"/>
        <v>1</v>
      </c>
      <c r="E1416">
        <f t="shared" ca="1" si="1805"/>
        <v>0</v>
      </c>
      <c r="F1416">
        <f t="shared" ca="1" si="1806"/>
        <v>0</v>
      </c>
      <c r="G1416">
        <f t="shared" ca="1" si="1807"/>
        <v>2</v>
      </c>
      <c r="H1416">
        <f ca="1">IF(OR($A1416="S",$A1416=0),0,MATCH(0,OFFSET($B1416,1,$A1416,ROW($A$1504)-ROW($A1416)),0))</f>
        <v>0</v>
      </c>
      <c r="I1416">
        <f ca="1">IF(OR($A1416="S",$A1416=0),0,MATCH(OFFSET($B1416,0,$A1416)+1,OFFSET($B1416,1,$A1416,ROW($A$1504)-ROW($A1416)),0))</f>
        <v>0</v>
      </c>
      <c r="J1416" s="132" t="s">
        <v>29</v>
      </c>
      <c r="K1416" s="121" t="str">
        <f t="shared" ca="1" si="1808"/>
        <v>16.1.2.</v>
      </c>
      <c r="L1416" s="137" t="str">
        <f t="shared" ca="1" si="1809"/>
        <v>CRESS</v>
      </c>
      <c r="M1416" s="122" t="s">
        <v>78</v>
      </c>
      <c r="N1416" s="139" t="s">
        <v>152</v>
      </c>
      <c r="O1416" s="137" t="str">
        <f ca="1">IF(NOT(ISERROR($Y1416)),IF($Y1416&lt;&gt;FALSE,INDEX(Banco,$Y1416,5),""),"")</f>
        <v>Assistente Social</v>
      </c>
      <c r="P1416" s="138" t="str">
        <f t="shared" ca="1" si="1810"/>
        <v>Horas</v>
      </c>
      <c r="Q1416" s="134">
        <v>20</v>
      </c>
      <c r="R1416" s="124">
        <f t="shared" ca="1" si="1811"/>
        <v>133.81</v>
      </c>
      <c r="S1416" s="136" t="s">
        <v>62</v>
      </c>
      <c r="T1416" s="123">
        <f t="shared" ca="1" si="1812"/>
        <v>167.26</v>
      </c>
      <c r="U1416" s="126">
        <f t="shared" ca="1" si="1813"/>
        <v>3345.2</v>
      </c>
      <c r="V1416" s="1"/>
      <c r="W1416" s="39" t="str">
        <f ca="1">IF(OR($A1416=0,$A1416="S",$A1416&gt;CFF!$A$9),"",MAX(W$11:OFFSET(W1416,-1,0))+1)</f>
        <v/>
      </c>
      <c r="X1416" s="4" t="str">
        <f t="shared" si="1814"/>
        <v>Rec. Humanos-002</v>
      </c>
      <c r="Y1416" s="39">
        <f t="shared" ca="1" si="1817"/>
        <v>4</v>
      </c>
      <c r="Z1416" s="1"/>
      <c r="AA1416" s="133">
        <f>IF($J1416=$G$2,ROUND(IF(ISNUMBER(S1416),S1416,IF(LEFT(S1416,2)="DI",HLOOKUP(S1416,DADOS!$T$29:$X$30,2,FALSE),0)),4),"")</f>
        <v>0.25</v>
      </c>
      <c r="AB1416" s="2"/>
    </row>
    <row r="1417" spans="1:28">
      <c r="A1417" t="str">
        <f t="shared" si="1815"/>
        <v>S</v>
      </c>
      <c r="B1417">
        <f t="shared" si="1816"/>
        <v>0</v>
      </c>
      <c r="C1417">
        <f t="shared" ca="1" si="1803"/>
        <v>16</v>
      </c>
      <c r="D1417">
        <f t="shared" ca="1" si="1804"/>
        <v>1</v>
      </c>
      <c r="E1417">
        <f t="shared" ca="1" si="1805"/>
        <v>0</v>
      </c>
      <c r="F1417">
        <f t="shared" ca="1" si="1806"/>
        <v>0</v>
      </c>
      <c r="G1417">
        <f t="shared" ca="1" si="1807"/>
        <v>3</v>
      </c>
      <c r="H1417">
        <f ca="1">IF(OR($A1417="S",$A1417=0),0,MATCH(0,OFFSET($B1417,1,$A1417,ROW($A$1504)-ROW($A1417)),0))</f>
        <v>0</v>
      </c>
      <c r="I1417">
        <f ca="1">IF(OR($A1417="S",$A1417=0),0,MATCH(OFFSET($B1417,0,$A1417)+1,OFFSET($B1417,1,$A1417,ROW($A$1504)-ROW($A1417)),0))</f>
        <v>0</v>
      </c>
      <c r="J1417" s="132" t="s">
        <v>29</v>
      </c>
      <c r="K1417" s="121" t="str">
        <f t="shared" ca="1" si="1808"/>
        <v>16.1.3.</v>
      </c>
      <c r="L1417" s="137" t="str">
        <f t="shared" ca="1" si="1809"/>
        <v>Cotação</v>
      </c>
      <c r="M1417" s="122" t="s">
        <v>80</v>
      </c>
      <c r="N1417" s="139" t="s">
        <v>149</v>
      </c>
      <c r="O1417" s="137" t="str">
        <f ca="1">IF(NOT(ISERROR($Y1417)),IF($Y1417&lt;&gt;FALSE,INDEX(Banco,$Y1417,5),""),"")</f>
        <v>Fotocópias</v>
      </c>
      <c r="P1417" s="138" t="str">
        <f t="shared" ca="1" si="1810"/>
        <v>Unidade</v>
      </c>
      <c r="Q1417" s="134">
        <v>9000</v>
      </c>
      <c r="R1417" s="124">
        <f t="shared" ca="1" si="1811"/>
        <v>0.3</v>
      </c>
      <c r="S1417" s="136" t="s">
        <v>62</v>
      </c>
      <c r="T1417" s="123">
        <f t="shared" ca="1" si="1812"/>
        <v>0.38</v>
      </c>
      <c r="U1417" s="126">
        <f t="shared" ca="1" si="1813"/>
        <v>3420</v>
      </c>
      <c r="V1417" s="1"/>
      <c r="W1417" s="39" t="str">
        <f ca="1">IF(OR($A1417=0,$A1417="S",$A1417&gt;CFF!$A$9),"",MAX(W$11:OFFSET(W1417,-1,0))+1)</f>
        <v/>
      </c>
      <c r="X1417" s="4" t="str">
        <f t="shared" si="1814"/>
        <v>Serv. Terc.-001</v>
      </c>
      <c r="Y1417" s="39">
        <f t="shared" ca="1" si="1817"/>
        <v>81</v>
      </c>
      <c r="Z1417" s="1"/>
      <c r="AA1417" s="133">
        <f>IF($J1417=$G$2,ROUND(IF(ISNUMBER(S1417),S1417,IF(LEFT(S1417,2)="DI",HLOOKUP(S1417,DADOS!$T$29:$X$30,2,FALSE),0)),4),"")</f>
        <v>0.25</v>
      </c>
      <c r="AB1417" s="2"/>
    </row>
    <row r="1418" spans="1:28" ht="25.5">
      <c r="A1418">
        <f>CHOOSE(1+LOG(1+2*(J1418=$C$2)+4*(J1418=$D$2)+8*(J1418=$E$2)+16*(J1418=$F$2)+32*(J1418=$G$2),2),0,1,2,3,4,"S")</f>
        <v>2</v>
      </c>
      <c r="B1418">
        <f ca="1">IF(OR(A1418="S",A1418=0),0,IF(ISERROR(I1418),H1418,SMALL(H1418:I1418,1)))</f>
        <v>7</v>
      </c>
      <c r="C1418">
        <f ca="1">IF($A1418=1,OFFSET(C1418,-1,0)+1,OFFSET(C1418,-1,0))</f>
        <v>16</v>
      </c>
      <c r="D1418">
        <f ca="1">IF($A1418=1,0,IF($A1418=2,OFFSET(D1418,-1,0)+1,OFFSET(D1418,-1,0)))</f>
        <v>2</v>
      </c>
      <c r="E1418">
        <f ca="1">IF(AND($A1418&lt;=2,$A1418&lt;&gt;0),0,IF($A1418=3,OFFSET(E1418,-1,0)+1,OFFSET(E1418,-1,0)))</f>
        <v>0</v>
      </c>
      <c r="F1418">
        <f ca="1">IF(AND($A1418&lt;=3,$A1418&lt;&gt;0),0,IF($A1418=4,OFFSET(F1418,-1,0)+1,OFFSET(F1418,-1,0)))</f>
        <v>0</v>
      </c>
      <c r="G1418">
        <f ca="1">IF(AND($A1418&lt;=4,$A1418&lt;&gt;0),0,IF($A1418="S",OFFSET(G1418,-1,0)+1,OFFSET(G1418,-1,0)))</f>
        <v>0</v>
      </c>
      <c r="H1418">
        <f ca="1">IF(OR($A1418="S",$A1418=0),0,MATCH(0,OFFSET($B1418,1,$A1418,ROW($A$1504)-ROW($A1418)),0))</f>
        <v>12</v>
      </c>
      <c r="I1418">
        <f ca="1">IF(OR($A1418="S",$A1418=0),0,MATCH(OFFSET($B1418,0,$A1418)+1,OFFSET($B1418,1,$A1418,ROW($A$1504)-ROW($A1418)),0))</f>
        <v>7</v>
      </c>
      <c r="J1418" s="132" t="s">
        <v>68</v>
      </c>
      <c r="K1418" s="121" t="str">
        <f ca="1">IF($A1418=0,"-",CONCATENATE(C1418&amp;".",IF(AND($A$5&gt;=2,$A1418&gt;=2),D1418&amp;".",""),IF(AND($A$5&gt;=3,$A1418&gt;=3),E1418&amp;".",""),IF(AND($A$5&gt;=4,$A1418&gt;=4),F1418&amp;".",""),IF($A1418="S",G1418&amp;".","")))</f>
        <v>16.2.</v>
      </c>
      <c r="L1418" s="137" t="str">
        <f ca="1">IF(NOT(ISERROR($Y1418)),IF($Y1418&lt;&gt;FALSE,INDEX(Banco,$Y1418,4),""),"")</f>
        <v/>
      </c>
      <c r="M1418" s="122"/>
      <c r="N1418" s="139"/>
      <c r="O1418" s="137" t="s">
        <v>457</v>
      </c>
      <c r="P1418" s="138" t="str">
        <f ca="1">IF(NOT(ISERROR($Y1418)),IF($Y1418&lt;&gt;FALSE,INDEX(Banco,$Y1418,6),""),"")</f>
        <v/>
      </c>
      <c r="Q1418" s="134"/>
      <c r="R1418" s="124">
        <f ca="1">IF(NOT(ISERROR($Y1418)),IF($Y1418&lt;&gt;FALSE,INDEX(Banco,$Y1418,7),0),0)</f>
        <v>0</v>
      </c>
      <c r="S1418" s="136" t="s">
        <v>62</v>
      </c>
      <c r="T1418" s="123">
        <f>IF($J1418=$G$2,ROUND(ROUND($R1418,2)*IF($R$9="Preço Unitário (R$)",1,1+$AA1418),2),0)</f>
        <v>0</v>
      </c>
      <c r="U1418" s="126">
        <f ca="1">IF($A1418="S",VTOTAL1,IF($A1418=0,0,ROUND(SomaAgrup,2)))</f>
        <v>12510.88</v>
      </c>
      <c r="V1418" s="1"/>
      <c r="W1418" s="39">
        <f ca="1">IF(OR($A1418=0,$A1418="S",$A1418&gt;CFF!$A$9),"",MAX(W$11:OFFSET(W1418,-1,0))+1)</f>
        <v>125</v>
      </c>
      <c r="X1418" s="4" t="b">
        <f>IF(AND($J1418=$G$2,$N1418&lt;&gt;"",$M1418&lt;&gt;""),CONCATENATE($M1418,"-",$N1418))</f>
        <v>0</v>
      </c>
      <c r="Y1418" s="39" t="b">
        <f ca="1">IF(X1418&lt;&gt;FALSE,MATCH(X1418,OFFSET(Banco,0,0,,1),0))</f>
        <v>0</v>
      </c>
      <c r="Z1418" s="1"/>
      <c r="AA1418" s="133" t="str">
        <f>IF($J1418=$G$2,ROUND(IF(ISNUMBER(S1418),S1418,IF(LEFT(S1418,2)="DI",HLOOKUP(S1418,DADOS!$T$29:$X$30,2,FALSE),0)),4),"")</f>
        <v/>
      </c>
      <c r="AB1418" s="2"/>
    </row>
    <row r="1419" spans="1:28">
      <c r="A1419" t="str">
        <f t="shared" si="1815"/>
        <v>S</v>
      </c>
      <c r="B1419">
        <f t="shared" si="1816"/>
        <v>0</v>
      </c>
      <c r="C1419">
        <f t="shared" ca="1" si="1803"/>
        <v>16</v>
      </c>
      <c r="D1419">
        <f t="shared" ca="1" si="1804"/>
        <v>2</v>
      </c>
      <c r="E1419">
        <f t="shared" ca="1" si="1805"/>
        <v>0</v>
      </c>
      <c r="F1419">
        <f t="shared" ca="1" si="1806"/>
        <v>0</v>
      </c>
      <c r="G1419">
        <f t="shared" ca="1" si="1807"/>
        <v>1</v>
      </c>
      <c r="H1419">
        <f ca="1">IF(OR($A1419="S",$A1419=0),0,MATCH(0,OFFSET($B1419,1,$A1419,ROW($A$1504)-ROW($A1419)),0))</f>
        <v>0</v>
      </c>
      <c r="I1419">
        <f ca="1">IF(OR($A1419="S",$A1419=0),0,MATCH(OFFSET($B1419,0,$A1419)+1,OFFSET($B1419,1,$A1419,ROW($A$1504)-ROW($A1419)),0))</f>
        <v>0</v>
      </c>
      <c r="J1419" s="132" t="s">
        <v>29</v>
      </c>
      <c r="K1419" s="121" t="str">
        <f t="shared" ca="1" si="1808"/>
        <v>16.2.1.</v>
      </c>
      <c r="L1419" s="137" t="str">
        <f t="shared" ca="1" si="1809"/>
        <v>CRESS</v>
      </c>
      <c r="M1419" s="122" t="s">
        <v>78</v>
      </c>
      <c r="N1419" s="139" t="s">
        <v>149</v>
      </c>
      <c r="O1419" s="137" t="str">
        <f t="shared" ref="O1419:O1424" ca="1" si="1818">IF(NOT(ISERROR($Y1419)),IF($Y1419&lt;&gt;FALSE,INDEX(Banco,$Y1419,5),""),"")</f>
        <v>Responsável Técnica</v>
      </c>
      <c r="P1419" s="138" t="str">
        <f t="shared" ca="1" si="1810"/>
        <v>Horas</v>
      </c>
      <c r="Q1419" s="134">
        <v>20</v>
      </c>
      <c r="R1419" s="124">
        <f t="shared" ca="1" si="1811"/>
        <v>150.28</v>
      </c>
      <c r="S1419" s="136" t="s">
        <v>62</v>
      </c>
      <c r="T1419" s="123">
        <f t="shared" ca="1" si="1812"/>
        <v>187.85</v>
      </c>
      <c r="U1419" s="126">
        <f t="shared" ca="1" si="1813"/>
        <v>3757</v>
      </c>
      <c r="V1419" s="1"/>
      <c r="W1419" s="39" t="str">
        <f ca="1">IF(OR($A1419=0,$A1419="S",$A1419&gt;CFF!$A$9),"",MAX(W$11:OFFSET(W1419,-1,0))+1)</f>
        <v/>
      </c>
      <c r="X1419" s="4" t="str">
        <f t="shared" si="1814"/>
        <v>Rec. Humanos-001</v>
      </c>
      <c r="Y1419" s="39">
        <f t="shared" ca="1" si="1817"/>
        <v>3</v>
      </c>
      <c r="Z1419" s="1"/>
      <c r="AA1419" s="133">
        <f>IF($J1419=$G$2,ROUND(IF(ISNUMBER(S1419),S1419,IF(LEFT(S1419,2)="DI",HLOOKUP(S1419,DADOS!$T$29:$X$30,2,FALSE),0)),4),"")</f>
        <v>0.25</v>
      </c>
      <c r="AB1419" s="2"/>
    </row>
    <row r="1420" spans="1:28">
      <c r="A1420" t="str">
        <f t="shared" si="1815"/>
        <v>S</v>
      </c>
      <c r="B1420">
        <f t="shared" si="1816"/>
        <v>0</v>
      </c>
      <c r="C1420">
        <f t="shared" ref="C1420:C1430" ca="1" si="1819">IF($A1420=1,OFFSET(C1420,-1,0)+1,OFFSET(C1420,-1,0))</f>
        <v>16</v>
      </c>
      <c r="D1420">
        <f t="shared" ref="D1420:D1430" ca="1" si="1820">IF($A1420=1,0,IF($A1420=2,OFFSET(D1420,-1,0)+1,OFFSET(D1420,-1,0)))</f>
        <v>2</v>
      </c>
      <c r="E1420">
        <f t="shared" ref="E1420:E1430" ca="1" si="1821">IF(AND($A1420&lt;=2,$A1420&lt;&gt;0),0,IF($A1420=3,OFFSET(E1420,-1,0)+1,OFFSET(E1420,-1,0)))</f>
        <v>0</v>
      </c>
      <c r="F1420">
        <f t="shared" ref="F1420:F1430" ca="1" si="1822">IF(AND($A1420&lt;=3,$A1420&lt;&gt;0),0,IF($A1420=4,OFFSET(F1420,-1,0)+1,OFFSET(F1420,-1,0)))</f>
        <v>0</v>
      </c>
      <c r="G1420">
        <f t="shared" ref="G1420:G1430" ca="1" si="1823">IF(AND($A1420&lt;=4,$A1420&lt;&gt;0),0,IF($A1420="S",OFFSET(G1420,-1,0)+1,OFFSET(G1420,-1,0)))</f>
        <v>2</v>
      </c>
      <c r="H1420">
        <f ca="1">IF(OR($A1420="S",$A1420=0),0,MATCH(0,OFFSET($B1420,1,$A1420,ROW($A$1504)-ROW($A1420)),0))</f>
        <v>0</v>
      </c>
      <c r="I1420">
        <f ca="1">IF(OR($A1420="S",$A1420=0),0,MATCH(OFFSET($B1420,0,$A1420)+1,OFFSET($B1420,1,$A1420,ROW($A$1504)-ROW($A1420)),0))</f>
        <v>0</v>
      </c>
      <c r="J1420" s="132" t="s">
        <v>29</v>
      </c>
      <c r="K1420" s="121" t="str">
        <f t="shared" ref="K1420:K1430" ca="1" si="1824">IF($A1420=0,"-",CONCATENATE(C1420&amp;".",IF(AND($A$5&gt;=2,$A1420&gt;=2),D1420&amp;".",""),IF(AND($A$5&gt;=3,$A1420&gt;=3),E1420&amp;".",""),IF(AND($A$5&gt;=4,$A1420&gt;=4),F1420&amp;".",""),IF($A1420="S",G1420&amp;".","")))</f>
        <v>16.2.2.</v>
      </c>
      <c r="L1420" s="137" t="str">
        <f t="shared" ref="L1420:L1430" ca="1" si="1825">IF(NOT(ISERROR($Y1420)),IF($Y1420&lt;&gt;FALSE,INDEX(Banco,$Y1420,4),""),"")</f>
        <v>CRESS</v>
      </c>
      <c r="M1420" s="122" t="s">
        <v>78</v>
      </c>
      <c r="N1420" s="139" t="s">
        <v>152</v>
      </c>
      <c r="O1420" s="137" t="str">
        <f t="shared" ca="1" si="1818"/>
        <v>Assistente Social</v>
      </c>
      <c r="P1420" s="138" t="str">
        <f t="shared" ref="P1420:P1430" ca="1" si="1826">IF(NOT(ISERROR($Y1420)),IF($Y1420&lt;&gt;FALSE,INDEX(Banco,$Y1420,6),""),"")</f>
        <v>Horas</v>
      </c>
      <c r="Q1420" s="134">
        <v>30</v>
      </c>
      <c r="R1420" s="124">
        <f t="shared" ref="R1420:R1430" ca="1" si="1827">IF(NOT(ISERROR($Y1420)),IF($Y1420&lt;&gt;FALSE,INDEX(Banco,$Y1420,7),0),0)</f>
        <v>133.81</v>
      </c>
      <c r="S1420" s="136" t="s">
        <v>62</v>
      </c>
      <c r="T1420" s="123">
        <f t="shared" ref="T1420:T1430" ca="1" si="1828">IF($J1420=$G$2,ROUND(ROUND($R1420,2)*IF($R$9="Preço Unitário (R$)",1,1+$AA1420),2),0)</f>
        <v>167.26</v>
      </c>
      <c r="U1420" s="126">
        <f t="shared" ref="U1420:U1430" ca="1" si="1829">IF($A1420="S",VTOTAL1,IF($A1420=0,0,ROUND(SomaAgrup,2)))</f>
        <v>5017.8</v>
      </c>
      <c r="V1420" s="1"/>
      <c r="W1420" s="39" t="str">
        <f ca="1">IF(OR($A1420=0,$A1420="S",$A1420&gt;CFF!$A$9),"",MAX(W$11:OFFSET(W1420,-1,0))+1)</f>
        <v/>
      </c>
      <c r="X1420" s="4" t="str">
        <f t="shared" ref="X1420:X1430" si="1830">IF(AND($J1420=$G$2,$N1420&lt;&gt;"",$M1420&lt;&gt;""),CONCATENATE($M1420,"-",$N1420))</f>
        <v>Rec. Humanos-002</v>
      </c>
      <c r="Y1420" s="39">
        <f t="shared" ca="1" si="1817"/>
        <v>4</v>
      </c>
      <c r="Z1420" s="1"/>
      <c r="AA1420" s="133">
        <f>IF($J1420=$G$2,ROUND(IF(ISNUMBER(S1420),S1420,IF(LEFT(S1420,2)="DI",HLOOKUP(S1420,DADOS!$T$29:$X$30,2,FALSE),0)),4),"")</f>
        <v>0.25</v>
      </c>
      <c r="AB1420" s="2"/>
    </row>
    <row r="1421" spans="1:28">
      <c r="A1421" t="str">
        <f t="shared" si="1815"/>
        <v>S</v>
      </c>
      <c r="B1421">
        <f t="shared" si="1816"/>
        <v>0</v>
      </c>
      <c r="C1421">
        <f t="shared" ca="1" si="1819"/>
        <v>16</v>
      </c>
      <c r="D1421">
        <f t="shared" ca="1" si="1820"/>
        <v>2</v>
      </c>
      <c r="E1421">
        <f t="shared" ca="1" si="1821"/>
        <v>0</v>
      </c>
      <c r="F1421">
        <f t="shared" ca="1" si="1822"/>
        <v>0</v>
      </c>
      <c r="G1421">
        <f t="shared" ca="1" si="1823"/>
        <v>3</v>
      </c>
      <c r="H1421">
        <f ca="1">IF(OR($A1421="S",$A1421=0),0,MATCH(0,OFFSET($B1421,1,$A1421,ROW($A$1504)-ROW($A1421)),0))</f>
        <v>0</v>
      </c>
      <c r="I1421">
        <f ca="1">IF(OR($A1421="S",$A1421=0),0,MATCH(OFFSET($B1421,0,$A1421)+1,OFFSET($B1421,1,$A1421,ROW($A$1504)-ROW($A1421)),0))</f>
        <v>0</v>
      </c>
      <c r="J1421" s="132" t="s">
        <v>29</v>
      </c>
      <c r="K1421" s="121" t="str">
        <f t="shared" ca="1" si="1824"/>
        <v>16.2.3.</v>
      </c>
      <c r="L1421" s="137" t="str">
        <f t="shared" ca="1" si="1825"/>
        <v>Cotação</v>
      </c>
      <c r="M1421" s="122" t="s">
        <v>78</v>
      </c>
      <c r="N1421" s="139" t="s">
        <v>151</v>
      </c>
      <c r="O1421" s="137" t="str">
        <f t="shared" ca="1" si="1818"/>
        <v xml:space="preserve">Administrador (Técnico de Apoio) </v>
      </c>
      <c r="P1421" s="138" t="str">
        <f t="shared" ca="1" si="1826"/>
        <v>Horas</v>
      </c>
      <c r="Q1421" s="134">
        <v>18</v>
      </c>
      <c r="R1421" s="124">
        <f t="shared" ca="1" si="1827"/>
        <v>103.65</v>
      </c>
      <c r="S1421" s="136" t="s">
        <v>62</v>
      </c>
      <c r="T1421" s="123">
        <f t="shared" ca="1" si="1828"/>
        <v>129.56</v>
      </c>
      <c r="U1421" s="126">
        <f t="shared" ca="1" si="1829"/>
        <v>2332.08</v>
      </c>
      <c r="V1421" s="1"/>
      <c r="W1421" s="39" t="str">
        <f ca="1">IF(OR($A1421=0,$A1421="S",$A1421&gt;CFF!$A$9),"",MAX(W$11:OFFSET(W1421,-1,0))+1)</f>
        <v/>
      </c>
      <c r="X1421" s="4" t="str">
        <f t="shared" si="1830"/>
        <v>Rec. Humanos-003</v>
      </c>
      <c r="Y1421" s="39">
        <f t="shared" ca="1" si="1817"/>
        <v>5</v>
      </c>
      <c r="Z1421" s="1"/>
      <c r="AA1421" s="133">
        <f>IF($J1421=$G$2,ROUND(IF(ISNUMBER(S1421),S1421,IF(LEFT(S1421,2)="DI",HLOOKUP(S1421,DADOS!$T$29:$X$30,2,FALSE),0)),4),"")</f>
        <v>0.25</v>
      </c>
      <c r="AB1421" s="2"/>
    </row>
    <row r="1422" spans="1:28">
      <c r="A1422" t="str">
        <f t="shared" si="1815"/>
        <v>S</v>
      </c>
      <c r="B1422">
        <f t="shared" si="1816"/>
        <v>0</v>
      </c>
      <c r="C1422">
        <f t="shared" ca="1" si="1819"/>
        <v>16</v>
      </c>
      <c r="D1422">
        <f t="shared" ca="1" si="1820"/>
        <v>2</v>
      </c>
      <c r="E1422">
        <f t="shared" ca="1" si="1821"/>
        <v>0</v>
      </c>
      <c r="F1422">
        <f t="shared" ca="1" si="1822"/>
        <v>0</v>
      </c>
      <c r="G1422">
        <f t="shared" ca="1" si="1823"/>
        <v>4</v>
      </c>
      <c r="H1422">
        <f ca="1">IF(OR($A1422="S",$A1422=0),0,MATCH(0,OFFSET($B1422,1,$A1422,ROW($A$1504)-ROW($A1422)),0))</f>
        <v>0</v>
      </c>
      <c r="I1422">
        <f ca="1">IF(OR($A1422="S",$A1422=0),0,MATCH(OFFSET($B1422,0,$A1422)+1,OFFSET($B1422,1,$A1422,ROW($A$1504)-ROW($A1422)),0))</f>
        <v>0</v>
      </c>
      <c r="J1422" s="132" t="s">
        <v>29</v>
      </c>
      <c r="K1422" s="121" t="str">
        <f t="shared" ca="1" si="1824"/>
        <v>16.2.4.</v>
      </c>
      <c r="L1422" s="137" t="str">
        <f t="shared" ca="1" si="1825"/>
        <v>SINE</v>
      </c>
      <c r="M1422" s="122" t="s">
        <v>78</v>
      </c>
      <c r="N1422" s="139" t="s">
        <v>153</v>
      </c>
      <c r="O1422" s="137" t="str">
        <f t="shared" ca="1" si="1818"/>
        <v>Estagiários</v>
      </c>
      <c r="P1422" s="138" t="str">
        <f t="shared" ca="1" si="1826"/>
        <v>Horas</v>
      </c>
      <c r="Q1422" s="134">
        <v>100</v>
      </c>
      <c r="R1422" s="124">
        <f t="shared" ca="1" si="1827"/>
        <v>9.7899999999999991</v>
      </c>
      <c r="S1422" s="136" t="s">
        <v>62</v>
      </c>
      <c r="T1422" s="123">
        <f t="shared" ca="1" si="1828"/>
        <v>12.24</v>
      </c>
      <c r="U1422" s="126">
        <f t="shared" ca="1" si="1829"/>
        <v>1224</v>
      </c>
      <c r="V1422" s="1"/>
      <c r="W1422" s="39" t="str">
        <f ca="1">IF(OR($A1422=0,$A1422="S",$A1422&gt;CFF!$A$9),"",MAX(W$11:OFFSET(W1422,-1,0))+1)</f>
        <v/>
      </c>
      <c r="X1422" s="4" t="str">
        <f t="shared" si="1830"/>
        <v>Rec. Humanos-004</v>
      </c>
      <c r="Y1422" s="39">
        <f t="shared" ca="1" si="1817"/>
        <v>6</v>
      </c>
      <c r="Z1422" s="1"/>
      <c r="AA1422" s="133">
        <f>IF($J1422=$G$2,ROUND(IF(ISNUMBER(S1422),S1422,IF(LEFT(S1422,2)="DI",HLOOKUP(S1422,DADOS!$T$29:$X$30,2,FALSE),0)),4),"")</f>
        <v>0.25</v>
      </c>
      <c r="AB1422" s="2"/>
    </row>
    <row r="1423" spans="1:28">
      <c r="A1423" t="str">
        <f t="shared" si="1815"/>
        <v>S</v>
      </c>
      <c r="B1423">
        <f t="shared" si="1816"/>
        <v>0</v>
      </c>
      <c r="C1423">
        <f t="shared" ca="1" si="1819"/>
        <v>16</v>
      </c>
      <c r="D1423">
        <f t="shared" ca="1" si="1820"/>
        <v>2</v>
      </c>
      <c r="E1423">
        <f t="shared" ca="1" si="1821"/>
        <v>0</v>
      </c>
      <c r="F1423">
        <f t="shared" ca="1" si="1822"/>
        <v>0</v>
      </c>
      <c r="G1423">
        <f t="shared" ca="1" si="1823"/>
        <v>5</v>
      </c>
      <c r="H1423">
        <f ca="1">IF(OR($A1423="S",$A1423=0),0,MATCH(0,OFFSET($B1423,1,$A1423,ROW($A$1504)-ROW($A1423)),0))</f>
        <v>0</v>
      </c>
      <c r="I1423">
        <f ca="1">IF(OR($A1423="S",$A1423=0),0,MATCH(OFFSET($B1423,0,$A1423)+1,OFFSET($B1423,1,$A1423,ROW($A$1504)-ROW($A1423)),0))</f>
        <v>0</v>
      </c>
      <c r="J1423" s="132" t="s">
        <v>29</v>
      </c>
      <c r="K1423" s="121" t="str">
        <f t="shared" ca="1" si="1824"/>
        <v>16.2.5.</v>
      </c>
      <c r="L1423" s="137" t="str">
        <f t="shared" ca="1" si="1825"/>
        <v>Cotação</v>
      </c>
      <c r="M1423" s="122" t="s">
        <v>79</v>
      </c>
      <c r="N1423" s="139" t="s">
        <v>274</v>
      </c>
      <c r="O1423" s="137" t="str">
        <f t="shared" ca="1" si="1818"/>
        <v>Prancheta</v>
      </c>
      <c r="P1423" s="138" t="str">
        <f t="shared" ca="1" si="1826"/>
        <v>Unidade</v>
      </c>
      <c r="Q1423" s="134">
        <v>16</v>
      </c>
      <c r="R1423" s="124">
        <f t="shared" ca="1" si="1827"/>
        <v>6</v>
      </c>
      <c r="S1423" s="136" t="s">
        <v>62</v>
      </c>
      <c r="T1423" s="123">
        <f t="shared" ca="1" si="1828"/>
        <v>7.5</v>
      </c>
      <c r="U1423" s="126">
        <f t="shared" ca="1" si="1829"/>
        <v>120</v>
      </c>
      <c r="V1423" s="1"/>
      <c r="W1423" s="39" t="str">
        <f ca="1">IF(OR($A1423=0,$A1423="S",$A1423&gt;CFF!$A$9),"",MAX(W$11:OFFSET(W1423,-1,0))+1)</f>
        <v/>
      </c>
      <c r="X1423" s="4" t="str">
        <f t="shared" si="1830"/>
        <v>Rec. Materiais-028</v>
      </c>
      <c r="Y1423" s="39">
        <f t="shared" ca="1" si="1817"/>
        <v>37</v>
      </c>
      <c r="Z1423" s="1"/>
      <c r="AA1423" s="133">
        <f>IF($J1423=$G$2,ROUND(IF(ISNUMBER(S1423),S1423,IF(LEFT(S1423,2)="DI",HLOOKUP(S1423,DADOS!$T$29:$X$30,2,FALSE),0)),4),"")</f>
        <v>0.25</v>
      </c>
      <c r="AB1423" s="2"/>
    </row>
    <row r="1424" spans="1:28">
      <c r="A1424" t="str">
        <f t="shared" si="1815"/>
        <v>S</v>
      </c>
      <c r="B1424">
        <f t="shared" si="1816"/>
        <v>0</v>
      </c>
      <c r="C1424">
        <f t="shared" ca="1" si="1819"/>
        <v>16</v>
      </c>
      <c r="D1424">
        <f t="shared" ca="1" si="1820"/>
        <v>2</v>
      </c>
      <c r="E1424">
        <f t="shared" ca="1" si="1821"/>
        <v>0</v>
      </c>
      <c r="F1424">
        <f t="shared" ca="1" si="1822"/>
        <v>0</v>
      </c>
      <c r="G1424">
        <f t="shared" ca="1" si="1823"/>
        <v>6</v>
      </c>
      <c r="H1424">
        <f ca="1">IF(OR($A1424="S",$A1424=0),0,MATCH(0,OFFSET($B1424,1,$A1424,ROW($A$1504)-ROW($A1424)),0))</f>
        <v>0</v>
      </c>
      <c r="I1424">
        <f ca="1">IF(OR($A1424="S",$A1424=0),0,MATCH(OFFSET($B1424,0,$A1424)+1,OFFSET($B1424,1,$A1424,ROW($A$1504)-ROW($A1424)),0))</f>
        <v>0</v>
      </c>
      <c r="J1424" s="132" t="s">
        <v>29</v>
      </c>
      <c r="K1424" s="121" t="str">
        <f t="shared" ca="1" si="1824"/>
        <v>16.2.6.</v>
      </c>
      <c r="L1424" s="137" t="str">
        <f t="shared" ca="1" si="1825"/>
        <v>Cotação</v>
      </c>
      <c r="M1424" s="122" t="s">
        <v>79</v>
      </c>
      <c r="N1424" s="139" t="s">
        <v>200</v>
      </c>
      <c r="O1424" s="137" t="str">
        <f t="shared" ca="1" si="1818"/>
        <v>Crachá</v>
      </c>
      <c r="P1424" s="138" t="str">
        <f t="shared" ca="1" si="1826"/>
        <v>Unidade</v>
      </c>
      <c r="Q1424" s="134">
        <v>16</v>
      </c>
      <c r="R1424" s="124">
        <f t="shared" ca="1" si="1827"/>
        <v>3</v>
      </c>
      <c r="S1424" s="136" t="s">
        <v>62</v>
      </c>
      <c r="T1424" s="123">
        <f t="shared" ca="1" si="1828"/>
        <v>3.75</v>
      </c>
      <c r="U1424" s="126">
        <f t="shared" ca="1" si="1829"/>
        <v>60</v>
      </c>
      <c r="V1424" s="1"/>
      <c r="W1424" s="39" t="str">
        <f ca="1">IF(OR($A1424=0,$A1424="S",$A1424&gt;CFF!$A$9),"",MAX(W$11:OFFSET(W1424,-1,0))+1)</f>
        <v/>
      </c>
      <c r="X1424" s="4" t="str">
        <f t="shared" si="1830"/>
        <v>Rec. Materiais-029</v>
      </c>
      <c r="Y1424" s="39">
        <f t="shared" ca="1" si="1817"/>
        <v>38</v>
      </c>
      <c r="Z1424" s="1"/>
      <c r="AA1424" s="133">
        <f>IF($J1424=$G$2,ROUND(IF(ISNUMBER(S1424),S1424,IF(LEFT(S1424,2)="DI",HLOOKUP(S1424,DADOS!$T$29:$X$30,2,FALSE),0)),4),"")</f>
        <v>0.25</v>
      </c>
      <c r="AB1424" s="2"/>
    </row>
    <row r="1425" spans="1:28" ht="25.5">
      <c r="A1425">
        <f>CHOOSE(1+LOG(1+2*(J1425=$C$2)+4*(J1425=$D$2)+8*(J1425=$E$2)+16*(J1425=$F$2)+32*(J1425=$G$2),2),0,1,2,3,4,"S")</f>
        <v>2</v>
      </c>
      <c r="B1425">
        <f ca="1">IF(OR(A1425="S",A1425=0),0,IF(ISERROR(I1425),H1425,SMALL(H1425:I1425,1)))</f>
        <v>5</v>
      </c>
      <c r="C1425">
        <f ca="1">IF($A1425=1,OFFSET(C1425,-1,0)+1,OFFSET(C1425,-1,0))</f>
        <v>16</v>
      </c>
      <c r="D1425">
        <f ca="1">IF($A1425=1,0,IF($A1425=2,OFFSET(D1425,-1,0)+1,OFFSET(D1425,-1,0)))</f>
        <v>3</v>
      </c>
      <c r="E1425">
        <f ca="1">IF(AND($A1425&lt;=2,$A1425&lt;&gt;0),0,IF($A1425=3,OFFSET(E1425,-1,0)+1,OFFSET(E1425,-1,0)))</f>
        <v>0</v>
      </c>
      <c r="F1425">
        <f ca="1">IF(AND($A1425&lt;=3,$A1425&lt;&gt;0),0,IF($A1425=4,OFFSET(F1425,-1,0)+1,OFFSET(F1425,-1,0)))</f>
        <v>0</v>
      </c>
      <c r="G1425">
        <f ca="1">IF(AND($A1425&lt;=4,$A1425&lt;&gt;0),0,IF($A1425="S",OFFSET(G1425,-1,0)+1,OFFSET(G1425,-1,0)))</f>
        <v>0</v>
      </c>
      <c r="H1425">
        <f ca="1">IF(OR($A1425="S",$A1425=0),0,MATCH(0,OFFSET($B1425,1,$A1425,ROW($A$1504)-ROW($A1425)),0))</f>
        <v>5</v>
      </c>
      <c r="I1425">
        <f ca="1">IF(OR($A1425="S",$A1425=0),0,MATCH(OFFSET($B1425,0,$A1425)+1,OFFSET($B1425,1,$A1425,ROW($A$1504)-ROW($A1425)),0))</f>
        <v>65</v>
      </c>
      <c r="J1425" s="132" t="s">
        <v>68</v>
      </c>
      <c r="K1425" s="121" t="str">
        <f ca="1">IF($A1425=0,"-",CONCATENATE(C1425&amp;".",IF(AND($A$5&gt;=2,$A1425&gt;=2),D1425&amp;".",""),IF(AND($A$5&gt;=3,$A1425&gt;=3),E1425&amp;".",""),IF(AND($A$5&gt;=4,$A1425&gt;=4),F1425&amp;".",""),IF($A1425="S",G1425&amp;".","")))</f>
        <v>16.3.</v>
      </c>
      <c r="L1425" s="137" t="str">
        <f ca="1">IF(NOT(ISERROR($Y1425)),IF($Y1425&lt;&gt;FALSE,INDEX(Banco,$Y1425,4),""),"")</f>
        <v/>
      </c>
      <c r="M1425" s="122"/>
      <c r="N1425" s="139"/>
      <c r="O1425" s="137" t="s">
        <v>459</v>
      </c>
      <c r="P1425" s="138" t="str">
        <f ca="1">IF(NOT(ISERROR($Y1425)),IF($Y1425&lt;&gt;FALSE,INDEX(Banco,$Y1425,6),""),"")</f>
        <v/>
      </c>
      <c r="Q1425" s="134"/>
      <c r="R1425" s="124">
        <f ca="1">IF(NOT(ISERROR($Y1425)),IF($Y1425&lt;&gt;FALSE,INDEX(Banco,$Y1425,7),0),0)</f>
        <v>0</v>
      </c>
      <c r="S1425" s="136" t="s">
        <v>62</v>
      </c>
      <c r="T1425" s="123">
        <f>IF($J1425=$G$2,ROUND(ROUND($R1425,2)*IF($R$9="Preço Unitário (R$)",1,1+$AA1425),2),0)</f>
        <v>0</v>
      </c>
      <c r="U1425" s="126">
        <f ca="1">IF($A1425="S",VTOTAL1,IF($A1425=0,0,ROUND(SomaAgrup,2)))</f>
        <v>13296.74</v>
      </c>
      <c r="V1425" s="1"/>
      <c r="W1425" s="39">
        <f ca="1">IF(OR($A1425=0,$A1425="S",$A1425&gt;CFF!$A$9),"",MAX(W$11:OFFSET(W1425,-1,0))+1)</f>
        <v>126</v>
      </c>
      <c r="X1425" s="4" t="b">
        <f>IF(AND($J1425=$G$2,$N1425&lt;&gt;"",$M1425&lt;&gt;""),CONCATENATE($M1425,"-",$N1425))</f>
        <v>0</v>
      </c>
      <c r="Y1425" s="39" t="b">
        <f ca="1">IF(X1425&lt;&gt;FALSE,MATCH(X1425,OFFSET(Banco,0,0,,1),0))</f>
        <v>0</v>
      </c>
      <c r="Z1425" s="1"/>
      <c r="AA1425" s="133" t="str">
        <f>IF($J1425=$G$2,ROUND(IF(ISNUMBER(S1425),S1425,IF(LEFT(S1425,2)="DI",HLOOKUP(S1425,DADOS!$T$29:$X$30,2,FALSE),0)),4),"")</f>
        <v/>
      </c>
      <c r="AB1425" s="2"/>
    </row>
    <row r="1426" spans="1:28">
      <c r="A1426" t="str">
        <f t="shared" ref="A1426:A1429" si="1831">CHOOSE(1+LOG(1+2*(J1426=$C$2)+4*(J1426=$D$2)+8*(J1426=$E$2)+16*(J1426=$F$2)+32*(J1426=$G$2),2),0,1,2,3,4,"S")</f>
        <v>S</v>
      </c>
      <c r="B1426">
        <f t="shared" ref="B1426:B1429" si="1832">IF(OR(A1426="S",A1426=0),0,IF(ISERROR(I1426),H1426,SMALL(H1426:I1426,1)))</f>
        <v>0</v>
      </c>
      <c r="C1426">
        <f t="shared" ca="1" si="1819"/>
        <v>16</v>
      </c>
      <c r="D1426">
        <f t="shared" ca="1" si="1820"/>
        <v>3</v>
      </c>
      <c r="E1426">
        <f t="shared" ca="1" si="1821"/>
        <v>0</v>
      </c>
      <c r="F1426">
        <f t="shared" ca="1" si="1822"/>
        <v>0</v>
      </c>
      <c r="G1426">
        <f t="shared" ca="1" si="1823"/>
        <v>1</v>
      </c>
      <c r="H1426">
        <f ca="1">IF(OR($A1426="S",$A1426=0),0,MATCH(0,OFFSET($B1426,1,$A1426,ROW($A$1504)-ROW($A1426)),0))</f>
        <v>0</v>
      </c>
      <c r="I1426">
        <f ca="1">IF(OR($A1426="S",$A1426=0),0,MATCH(OFFSET($B1426,0,$A1426)+1,OFFSET($B1426,1,$A1426,ROW($A$1504)-ROW($A1426)),0))</f>
        <v>0</v>
      </c>
      <c r="J1426" s="132" t="s">
        <v>29</v>
      </c>
      <c r="K1426" s="121" t="str">
        <f t="shared" ca="1" si="1824"/>
        <v>16.3.1.</v>
      </c>
      <c r="L1426" s="137" t="str">
        <f t="shared" ca="1" si="1825"/>
        <v>CRESS</v>
      </c>
      <c r="M1426" s="122" t="s">
        <v>78</v>
      </c>
      <c r="N1426" s="139" t="s">
        <v>149</v>
      </c>
      <c r="O1426" s="137" t="str">
        <f ca="1">IF(NOT(ISERROR($Y1426)),IF($Y1426&lt;&gt;FALSE,INDEX(Banco,$Y1426,5),""),"")</f>
        <v>Responsável Técnica</v>
      </c>
      <c r="P1426" s="138" t="str">
        <f t="shared" ca="1" si="1826"/>
        <v>Horas</v>
      </c>
      <c r="Q1426" s="134">
        <v>20</v>
      </c>
      <c r="R1426" s="124">
        <f t="shared" ca="1" si="1827"/>
        <v>150.28</v>
      </c>
      <c r="S1426" s="136" t="s">
        <v>62</v>
      </c>
      <c r="T1426" s="123">
        <f t="shared" ca="1" si="1828"/>
        <v>187.85</v>
      </c>
      <c r="U1426" s="126">
        <f t="shared" ca="1" si="1829"/>
        <v>3757</v>
      </c>
      <c r="V1426" s="1"/>
      <c r="W1426" s="39" t="str">
        <f ca="1">IF(OR($A1426=0,$A1426="S",$A1426&gt;CFF!$A$9),"",MAX(W$11:OFFSET(W1426,-1,0))+1)</f>
        <v/>
      </c>
      <c r="X1426" s="4" t="str">
        <f t="shared" si="1830"/>
        <v>Rec. Humanos-001</v>
      </c>
      <c r="Y1426" s="39">
        <f t="shared" ref="Y1426:Y1429" ca="1" si="1833">IF(X1426&lt;&gt;FALSE,MATCH(X1426,OFFSET(Banco,0,0,,1),0))</f>
        <v>3</v>
      </c>
      <c r="Z1426" s="1"/>
      <c r="AA1426" s="133">
        <f>IF($J1426=$G$2,ROUND(IF(ISNUMBER(S1426),S1426,IF(LEFT(S1426,2)="DI",HLOOKUP(S1426,DADOS!$T$29:$X$30,2,FALSE),0)),4),"")</f>
        <v>0.25</v>
      </c>
      <c r="AB1426" s="2"/>
    </row>
    <row r="1427" spans="1:28">
      <c r="A1427" t="str">
        <f t="shared" si="1831"/>
        <v>S</v>
      </c>
      <c r="B1427">
        <f t="shared" si="1832"/>
        <v>0</v>
      </c>
      <c r="C1427">
        <f t="shared" ca="1" si="1819"/>
        <v>16</v>
      </c>
      <c r="D1427">
        <f t="shared" ca="1" si="1820"/>
        <v>3</v>
      </c>
      <c r="E1427">
        <f t="shared" ca="1" si="1821"/>
        <v>0</v>
      </c>
      <c r="F1427">
        <f t="shared" ca="1" si="1822"/>
        <v>0</v>
      </c>
      <c r="G1427">
        <f t="shared" ca="1" si="1823"/>
        <v>2</v>
      </c>
      <c r="H1427">
        <f ca="1">IF(OR($A1427="S",$A1427=0),0,MATCH(0,OFFSET($B1427,1,$A1427,ROW($A$1504)-ROW($A1427)),0))</f>
        <v>0</v>
      </c>
      <c r="I1427">
        <f ca="1">IF(OR($A1427="S",$A1427=0),0,MATCH(OFFSET($B1427,0,$A1427)+1,OFFSET($B1427,1,$A1427,ROW($A$1504)-ROW($A1427)),0))</f>
        <v>0</v>
      </c>
      <c r="J1427" s="132" t="s">
        <v>29</v>
      </c>
      <c r="K1427" s="121" t="str">
        <f t="shared" ca="1" si="1824"/>
        <v>16.3.2.</v>
      </c>
      <c r="L1427" s="137" t="str">
        <f t="shared" ca="1" si="1825"/>
        <v>CRESS</v>
      </c>
      <c r="M1427" s="122" t="s">
        <v>78</v>
      </c>
      <c r="N1427" s="139" t="s">
        <v>152</v>
      </c>
      <c r="O1427" s="137" t="str">
        <f ca="1">IF(NOT(ISERROR($Y1427)),IF($Y1427&lt;&gt;FALSE,INDEX(Banco,$Y1427,5),""),"")</f>
        <v>Assistente Social</v>
      </c>
      <c r="P1427" s="138" t="str">
        <f t="shared" ca="1" si="1826"/>
        <v>Horas</v>
      </c>
      <c r="Q1427" s="134">
        <v>35</v>
      </c>
      <c r="R1427" s="124">
        <f t="shared" ca="1" si="1827"/>
        <v>133.81</v>
      </c>
      <c r="S1427" s="136" t="s">
        <v>62</v>
      </c>
      <c r="T1427" s="123">
        <f t="shared" ca="1" si="1828"/>
        <v>167.26</v>
      </c>
      <c r="U1427" s="126">
        <f t="shared" ca="1" si="1829"/>
        <v>5854.1</v>
      </c>
      <c r="V1427" s="1"/>
      <c r="W1427" s="39" t="str">
        <f ca="1">IF(OR($A1427=0,$A1427="S",$A1427&gt;CFF!$A$9),"",MAX(W$11:OFFSET(W1427,-1,0))+1)</f>
        <v/>
      </c>
      <c r="X1427" s="4" t="str">
        <f t="shared" si="1830"/>
        <v>Rec. Humanos-002</v>
      </c>
      <c r="Y1427" s="39">
        <f t="shared" ca="1" si="1833"/>
        <v>4</v>
      </c>
      <c r="Z1427" s="1"/>
      <c r="AA1427" s="133">
        <f>IF($J1427=$G$2,ROUND(IF(ISNUMBER(S1427),S1427,IF(LEFT(S1427,2)="DI",HLOOKUP(S1427,DADOS!$T$29:$X$30,2,FALSE),0)),4),"")</f>
        <v>0.25</v>
      </c>
      <c r="AB1427" s="2"/>
    </row>
    <row r="1428" spans="1:28">
      <c r="A1428" t="str">
        <f t="shared" si="1831"/>
        <v>S</v>
      </c>
      <c r="B1428">
        <f t="shared" si="1832"/>
        <v>0</v>
      </c>
      <c r="C1428">
        <f t="shared" ca="1" si="1819"/>
        <v>16</v>
      </c>
      <c r="D1428">
        <f t="shared" ca="1" si="1820"/>
        <v>3</v>
      </c>
      <c r="E1428">
        <f t="shared" ca="1" si="1821"/>
        <v>0</v>
      </c>
      <c r="F1428">
        <f t="shared" ca="1" si="1822"/>
        <v>0</v>
      </c>
      <c r="G1428">
        <f t="shared" ca="1" si="1823"/>
        <v>3</v>
      </c>
      <c r="H1428">
        <f ca="1">IF(OR($A1428="S",$A1428=0),0,MATCH(0,OFFSET($B1428,1,$A1428,ROW($A$1504)-ROW($A1428)),0))</f>
        <v>0</v>
      </c>
      <c r="I1428">
        <f ca="1">IF(OR($A1428="S",$A1428=0),0,MATCH(OFFSET($B1428,0,$A1428)+1,OFFSET($B1428,1,$A1428,ROW($A$1504)-ROW($A1428)),0))</f>
        <v>0</v>
      </c>
      <c r="J1428" s="132" t="s">
        <v>29</v>
      </c>
      <c r="K1428" s="121" t="str">
        <f t="shared" ca="1" si="1824"/>
        <v>16.3.3.</v>
      </c>
      <c r="L1428" s="137" t="str">
        <f t="shared" ca="1" si="1825"/>
        <v>Cotação</v>
      </c>
      <c r="M1428" s="122" t="s">
        <v>78</v>
      </c>
      <c r="N1428" s="139" t="s">
        <v>151</v>
      </c>
      <c r="O1428" s="137" t="str">
        <f ca="1">IF(NOT(ISERROR($Y1428)),IF($Y1428&lt;&gt;FALSE,INDEX(Banco,$Y1428,5),""),"")</f>
        <v xml:space="preserve">Administrador (Técnico de Apoio) </v>
      </c>
      <c r="P1428" s="138" t="str">
        <f t="shared" ca="1" si="1826"/>
        <v>Horas</v>
      </c>
      <c r="Q1428" s="134">
        <v>19</v>
      </c>
      <c r="R1428" s="124">
        <f t="shared" ca="1" si="1827"/>
        <v>103.65</v>
      </c>
      <c r="S1428" s="136" t="s">
        <v>62</v>
      </c>
      <c r="T1428" s="123">
        <f t="shared" ca="1" si="1828"/>
        <v>129.56</v>
      </c>
      <c r="U1428" s="126">
        <f t="shared" ca="1" si="1829"/>
        <v>2461.64</v>
      </c>
      <c r="V1428" s="1"/>
      <c r="W1428" s="39" t="str">
        <f ca="1">IF(OR($A1428=0,$A1428="S",$A1428&gt;CFF!$A$9),"",MAX(W$11:OFFSET(W1428,-1,0))+1)</f>
        <v/>
      </c>
      <c r="X1428" s="4" t="str">
        <f t="shared" si="1830"/>
        <v>Rec. Humanos-003</v>
      </c>
      <c r="Y1428" s="39">
        <f t="shared" ca="1" si="1833"/>
        <v>5</v>
      </c>
      <c r="Z1428" s="1"/>
      <c r="AA1428" s="133">
        <f>IF($J1428=$G$2,ROUND(IF(ISNUMBER(S1428),S1428,IF(LEFT(S1428,2)="DI",HLOOKUP(S1428,DADOS!$T$29:$X$30,2,FALSE),0)),4),"")</f>
        <v>0.25</v>
      </c>
      <c r="AB1428" s="2"/>
    </row>
    <row r="1429" spans="1:28">
      <c r="A1429" t="str">
        <f t="shared" si="1831"/>
        <v>S</v>
      </c>
      <c r="B1429">
        <f t="shared" si="1832"/>
        <v>0</v>
      </c>
      <c r="C1429">
        <f t="shared" ca="1" si="1819"/>
        <v>16</v>
      </c>
      <c r="D1429">
        <f t="shared" ca="1" si="1820"/>
        <v>3</v>
      </c>
      <c r="E1429">
        <f t="shared" ca="1" si="1821"/>
        <v>0</v>
      </c>
      <c r="F1429">
        <f t="shared" ca="1" si="1822"/>
        <v>0</v>
      </c>
      <c r="G1429">
        <f t="shared" ca="1" si="1823"/>
        <v>4</v>
      </c>
      <c r="H1429">
        <f ca="1">IF(OR($A1429="S",$A1429=0),0,MATCH(0,OFFSET($B1429,1,$A1429,ROW($A$1504)-ROW($A1429)),0))</f>
        <v>0</v>
      </c>
      <c r="I1429">
        <f ca="1">IF(OR($A1429="S",$A1429=0),0,MATCH(OFFSET($B1429,0,$A1429)+1,OFFSET($B1429,1,$A1429,ROW($A$1504)-ROW($A1429)),0))</f>
        <v>0</v>
      </c>
      <c r="J1429" s="132" t="s">
        <v>29</v>
      </c>
      <c r="K1429" s="121" t="str">
        <f t="shared" ca="1" si="1824"/>
        <v>16.3.4.</v>
      </c>
      <c r="L1429" s="137" t="str">
        <f t="shared" ca="1" si="1825"/>
        <v>SINE</v>
      </c>
      <c r="M1429" s="122" t="s">
        <v>78</v>
      </c>
      <c r="N1429" s="139" t="s">
        <v>153</v>
      </c>
      <c r="O1429" s="137" t="str">
        <f ca="1">IF(NOT(ISERROR($Y1429)),IF($Y1429&lt;&gt;FALSE,INDEX(Banco,$Y1429,5),""),"")</f>
        <v>Estagiários</v>
      </c>
      <c r="P1429" s="138" t="str">
        <f t="shared" ca="1" si="1826"/>
        <v>Horas</v>
      </c>
      <c r="Q1429" s="134">
        <v>100</v>
      </c>
      <c r="R1429" s="124">
        <f t="shared" ca="1" si="1827"/>
        <v>9.7899999999999991</v>
      </c>
      <c r="S1429" s="136" t="s">
        <v>62</v>
      </c>
      <c r="T1429" s="123">
        <f t="shared" ca="1" si="1828"/>
        <v>12.24</v>
      </c>
      <c r="U1429" s="126">
        <f t="shared" ca="1" si="1829"/>
        <v>1224</v>
      </c>
      <c r="V1429" s="1"/>
      <c r="W1429" s="39" t="str">
        <f ca="1">IF(OR($A1429=0,$A1429="S",$A1429&gt;CFF!$A$9),"",MAX(W$11:OFFSET(W1429,-1,0))+1)</f>
        <v/>
      </c>
      <c r="X1429" s="4" t="str">
        <f t="shared" si="1830"/>
        <v>Rec. Humanos-004</v>
      </c>
      <c r="Y1429" s="39">
        <f t="shared" ca="1" si="1833"/>
        <v>6</v>
      </c>
      <c r="Z1429" s="1"/>
      <c r="AA1429" s="133">
        <f>IF($J1429=$G$2,ROUND(IF(ISNUMBER(S1429),S1429,IF(LEFT(S1429,2)="DI",HLOOKUP(S1429,DADOS!$T$29:$X$30,2,FALSE),0)),4),"")</f>
        <v>0.25</v>
      </c>
      <c r="AB1429" s="2"/>
    </row>
    <row r="1430" spans="1:28">
      <c r="A1430">
        <f>CHOOSE(1+LOG(1+2*(J1430=$C$2)+4*(J1430=$D$2)+8*(J1430=$E$2)+16*(J1430=$F$2)+32*(J1430=$G$2),2),0,1,2,3,4,"S")</f>
        <v>1</v>
      </c>
      <c r="B1430">
        <f ca="1">IF(OR(A1430="S",A1430=0),0,IF(ISERROR(I1430),H1430,SMALL(H1430:I1430,1)))</f>
        <v>11</v>
      </c>
      <c r="C1430">
        <f t="shared" ca="1" si="1819"/>
        <v>17</v>
      </c>
      <c r="D1430">
        <f t="shared" ca="1" si="1820"/>
        <v>0</v>
      </c>
      <c r="E1430">
        <f t="shared" ca="1" si="1821"/>
        <v>0</v>
      </c>
      <c r="F1430">
        <f t="shared" ca="1" si="1822"/>
        <v>0</v>
      </c>
      <c r="G1430">
        <f t="shared" ca="1" si="1823"/>
        <v>0</v>
      </c>
      <c r="H1430">
        <f ca="1">IF(OR($A1430="S",$A1430=0),0,MATCH(0,OFFSET($B1430,1,$A1430,ROW($A$1504)-ROW($A1430)),0))</f>
        <v>74</v>
      </c>
      <c r="I1430">
        <f ca="1">IF(OR($A1430="S",$A1430=0),0,MATCH(OFFSET($B1430,0,$A1430)+1,OFFSET($B1430,1,$A1430,ROW($A$1504)-ROW($A1430)),0))</f>
        <v>11</v>
      </c>
      <c r="J1430" s="132" t="s">
        <v>67</v>
      </c>
      <c r="K1430" s="121" t="str">
        <f t="shared" ca="1" si="1824"/>
        <v>17.</v>
      </c>
      <c r="L1430" s="137" t="str">
        <f t="shared" ca="1" si="1825"/>
        <v/>
      </c>
      <c r="M1430" s="122"/>
      <c r="N1430" s="139"/>
      <c r="O1430" s="137" t="s">
        <v>342</v>
      </c>
      <c r="P1430" s="138" t="str">
        <f t="shared" ca="1" si="1826"/>
        <v/>
      </c>
      <c r="Q1430" s="134"/>
      <c r="R1430" s="124">
        <f t="shared" ca="1" si="1827"/>
        <v>0</v>
      </c>
      <c r="S1430" s="136" t="s">
        <v>62</v>
      </c>
      <c r="T1430" s="123">
        <f t="shared" si="1828"/>
        <v>0</v>
      </c>
      <c r="U1430" s="126">
        <f t="shared" ca="1" si="1829"/>
        <v>20871.48</v>
      </c>
      <c r="V1430" s="1"/>
      <c r="W1430" s="39">
        <f ca="1">IF(OR($A1430=0,$A1430="S",$A1430&gt;CFF!$A$9),"",MAX(W$11:OFFSET(W1430,-1,0))+1)</f>
        <v>127</v>
      </c>
      <c r="X1430" s="4" t="b">
        <f t="shared" si="1830"/>
        <v>0</v>
      </c>
      <c r="Y1430" s="39" t="b">
        <f ca="1">IF(X1430&lt;&gt;FALSE,MATCH(X1430,OFFSET(Banco,0,0,,1),0))</f>
        <v>0</v>
      </c>
      <c r="Z1430" s="1"/>
      <c r="AA1430" s="133" t="str">
        <f>IF($J1430=$G$2,ROUND(IF(ISNUMBER(S1430),S1430,IF(LEFT(S1430,2)="DI",HLOOKUP(S1430,DADOS!$T$29:$X$30,2,FALSE),0)),4),"")</f>
        <v/>
      </c>
      <c r="AB1430" s="2"/>
    </row>
    <row r="1431" spans="1:28" ht="25.5">
      <c r="A1431">
        <f>CHOOSE(1+LOG(1+2*(J1431=$C$2)+4*(J1431=$D$2)+8*(J1431=$E$2)+16*(J1431=$F$2)+32*(J1431=$G$2),2),0,1,2,3,4,"S")</f>
        <v>2</v>
      </c>
      <c r="B1431">
        <f ca="1">IF(OR(A1431="S",A1431=0),0,IF(ISERROR(I1431),H1431,SMALL(H1431:I1431,1)))</f>
        <v>5</v>
      </c>
      <c r="C1431">
        <f ca="1">IF($A1431=1,OFFSET(C1431,-1,0)+1,OFFSET(C1431,-1,0))</f>
        <v>17</v>
      </c>
      <c r="D1431">
        <f ca="1">IF($A1431=1,0,IF($A1431=2,OFFSET(D1431,-1,0)+1,OFFSET(D1431,-1,0)))</f>
        <v>1</v>
      </c>
      <c r="E1431">
        <f ca="1">IF(AND($A1431&lt;=2,$A1431&lt;&gt;0),0,IF($A1431=3,OFFSET(E1431,-1,0)+1,OFFSET(E1431,-1,0)))</f>
        <v>0</v>
      </c>
      <c r="F1431">
        <f ca="1">IF(AND($A1431&lt;=3,$A1431&lt;&gt;0),0,IF($A1431=4,OFFSET(F1431,-1,0)+1,OFFSET(F1431,-1,0)))</f>
        <v>0</v>
      </c>
      <c r="G1431">
        <f ca="1">IF(AND($A1431&lt;=4,$A1431&lt;&gt;0),0,IF($A1431="S",OFFSET(G1431,-1,0)+1,OFFSET(G1431,-1,0)))</f>
        <v>0</v>
      </c>
      <c r="H1431">
        <f ca="1">IF(OR($A1431="S",$A1431=0),0,MATCH(0,OFFSET($B1431,1,$A1431,ROW($A$1504)-ROW($A1431)),0))</f>
        <v>10</v>
      </c>
      <c r="I1431">
        <f ca="1">IF(OR($A1431="S",$A1431=0),0,MATCH(OFFSET($B1431,0,$A1431)+1,OFFSET($B1431,1,$A1431,ROW($A$1504)-ROW($A1431)),0))</f>
        <v>5</v>
      </c>
      <c r="J1431" s="132" t="s">
        <v>68</v>
      </c>
      <c r="K1431" s="121" t="str">
        <f ca="1">IF($A1431=0,"-",CONCATENATE(C1431&amp;".",IF(AND($A$5&gt;=2,$A1431&gt;=2),D1431&amp;".",""),IF(AND($A$5&gt;=3,$A1431&gt;=3),E1431&amp;".",""),IF(AND($A$5&gt;=4,$A1431&gt;=4),F1431&amp;".",""),IF($A1431="S",G1431&amp;".","")))</f>
        <v>17.1.</v>
      </c>
      <c r="L1431" s="137" t="str">
        <f ca="1">IF(NOT(ISERROR($Y1431)),IF($Y1431&lt;&gt;FALSE,INDEX(Banco,$Y1431,4),""),"")</f>
        <v/>
      </c>
      <c r="M1431" s="122"/>
      <c r="N1431" s="139"/>
      <c r="O1431" s="137" t="s">
        <v>460</v>
      </c>
      <c r="P1431" s="138" t="str">
        <f ca="1">IF(NOT(ISERROR($Y1431)),IF($Y1431&lt;&gt;FALSE,INDEX(Banco,$Y1431,6),""),"")</f>
        <v/>
      </c>
      <c r="Q1431" s="134"/>
      <c r="R1431" s="124">
        <f ca="1">IF(NOT(ISERROR($Y1431)),IF($Y1431&lt;&gt;FALSE,INDEX(Banco,$Y1431,7),0),0)</f>
        <v>0</v>
      </c>
      <c r="S1431" s="136" t="s">
        <v>62</v>
      </c>
      <c r="T1431" s="123">
        <f>IF($J1431=$G$2,ROUND(ROUND($R1431,2)*IF($R$9="Preço Unitário (R$)",1,1+$AA1431),2),0)</f>
        <v>0</v>
      </c>
      <c r="U1431" s="126">
        <f ca="1">IF($A1431="S",VTOTAL1,IF($A1431=0,0,ROUND(SomaAgrup,2)))</f>
        <v>10575.92</v>
      </c>
      <c r="V1431" s="1"/>
      <c r="W1431" s="39">
        <f ca="1">IF(OR($A1431=0,$A1431="S",$A1431&gt;CFF!$A$9),"",MAX(W$11:OFFSET(W1431,-1,0))+1)</f>
        <v>128</v>
      </c>
      <c r="X1431" s="4" t="b">
        <f>IF(AND($J1431=$G$2,$N1431&lt;&gt;"",$M1431&lt;&gt;""),CONCATENATE($M1431,"-",$N1431))</f>
        <v>0</v>
      </c>
      <c r="Y1431" s="39" t="b">
        <f ca="1">IF(X1431&lt;&gt;FALSE,MATCH(X1431,OFFSET(Banco,0,0,,1),0))</f>
        <v>0</v>
      </c>
      <c r="Z1431" s="1"/>
      <c r="AA1431" s="133" t="str">
        <f>IF($J1431=$G$2,ROUND(IF(ISNUMBER(S1431),S1431,IF(LEFT(S1431,2)="DI",HLOOKUP(S1431,DADOS!$T$29:$X$30,2,FALSE),0)),4),"")</f>
        <v/>
      </c>
      <c r="AB1431" s="2"/>
    </row>
    <row r="1432" spans="1:28">
      <c r="A1432" t="str">
        <f t="shared" ref="A1432:A1435" si="1834">CHOOSE(1+LOG(1+2*(J1432=$C$2)+4*(J1432=$D$2)+8*(J1432=$E$2)+16*(J1432=$F$2)+32*(J1432=$G$2),2),0,1,2,3,4,"S")</f>
        <v>S</v>
      </c>
      <c r="B1432">
        <f t="shared" ref="B1432:B1435" si="1835">IF(OR(A1432="S",A1432=0),0,IF(ISERROR(I1432),H1432,SMALL(H1432:I1432,1)))</f>
        <v>0</v>
      </c>
      <c r="C1432">
        <f t="shared" ref="C1432:C1435" ca="1" si="1836">IF($A1432=1,OFFSET(C1432,-1,0)+1,OFFSET(C1432,-1,0))</f>
        <v>17</v>
      </c>
      <c r="D1432">
        <f t="shared" ref="D1432:D1435" ca="1" si="1837">IF($A1432=1,0,IF($A1432=2,OFFSET(D1432,-1,0)+1,OFFSET(D1432,-1,0)))</f>
        <v>1</v>
      </c>
      <c r="E1432">
        <f t="shared" ref="E1432:E1435" ca="1" si="1838">IF(AND($A1432&lt;=2,$A1432&lt;&gt;0),0,IF($A1432=3,OFFSET(E1432,-1,0)+1,OFFSET(E1432,-1,0)))</f>
        <v>0</v>
      </c>
      <c r="F1432">
        <f t="shared" ref="F1432:F1435" ca="1" si="1839">IF(AND($A1432&lt;=3,$A1432&lt;&gt;0),0,IF($A1432=4,OFFSET(F1432,-1,0)+1,OFFSET(F1432,-1,0)))</f>
        <v>0</v>
      </c>
      <c r="G1432">
        <f t="shared" ref="G1432:G1435" ca="1" si="1840">IF(AND($A1432&lt;=4,$A1432&lt;&gt;0),0,IF($A1432="S",OFFSET(G1432,-1,0)+1,OFFSET(G1432,-1,0)))</f>
        <v>1</v>
      </c>
      <c r="H1432">
        <f ca="1">IF(OR($A1432="S",$A1432=0),0,MATCH(0,OFFSET($B1432,1,$A1432,ROW($A$1504)-ROW($A1432)),0))</f>
        <v>0</v>
      </c>
      <c r="I1432">
        <f ca="1">IF(OR($A1432="S",$A1432=0),0,MATCH(OFFSET($B1432,0,$A1432)+1,OFFSET($B1432,1,$A1432,ROW($A$1504)-ROW($A1432)),0))</f>
        <v>0</v>
      </c>
      <c r="J1432" s="132" t="s">
        <v>29</v>
      </c>
      <c r="K1432" s="121" t="str">
        <f t="shared" ref="K1432:K1435" ca="1" si="1841">IF($A1432=0,"-",CONCATENATE(C1432&amp;".",IF(AND($A$5&gt;=2,$A1432&gt;=2),D1432&amp;".",""),IF(AND($A$5&gt;=3,$A1432&gt;=3),E1432&amp;".",""),IF(AND($A$5&gt;=4,$A1432&gt;=4),F1432&amp;".",""),IF($A1432="S",G1432&amp;".","")))</f>
        <v>17.1.1.</v>
      </c>
      <c r="L1432" s="137" t="str">
        <f t="shared" ref="L1432:L1435" ca="1" si="1842">IF(NOT(ISERROR($Y1432)),IF($Y1432&lt;&gt;FALSE,INDEX(Banco,$Y1432,4),""),"")</f>
        <v>CRESS</v>
      </c>
      <c r="M1432" s="122" t="s">
        <v>78</v>
      </c>
      <c r="N1432" s="139" t="s">
        <v>149</v>
      </c>
      <c r="O1432" s="137" t="str">
        <f ca="1">IF(NOT(ISERROR($Y1432)),IF($Y1432&lt;&gt;FALSE,INDEX(Banco,$Y1432,5),""),"")</f>
        <v>Responsável Técnica</v>
      </c>
      <c r="P1432" s="138" t="str">
        <f t="shared" ref="P1432:P1435" ca="1" si="1843">IF(NOT(ISERROR($Y1432)),IF($Y1432&lt;&gt;FALSE,INDEX(Banco,$Y1432,6),""),"")</f>
        <v>Horas</v>
      </c>
      <c r="Q1432" s="134">
        <v>16</v>
      </c>
      <c r="R1432" s="124">
        <f t="shared" ref="R1432:R1435" ca="1" si="1844">IF(NOT(ISERROR($Y1432)),IF($Y1432&lt;&gt;FALSE,INDEX(Banco,$Y1432,7),0),0)</f>
        <v>150.28</v>
      </c>
      <c r="S1432" s="136" t="s">
        <v>62</v>
      </c>
      <c r="T1432" s="123">
        <f t="shared" ref="T1432:T1435" ca="1" si="1845">IF($J1432=$G$2,ROUND(ROUND($R1432,2)*IF($R$9="Preço Unitário (R$)",1,1+$AA1432),2),0)</f>
        <v>187.85</v>
      </c>
      <c r="U1432" s="126">
        <f t="shared" ref="U1432:U1435" ca="1" si="1846">IF($A1432="S",VTOTAL1,IF($A1432=0,0,ROUND(SomaAgrup,2)))</f>
        <v>3005.6</v>
      </c>
      <c r="V1432" s="1"/>
      <c r="W1432" s="39" t="str">
        <f ca="1">IF(OR($A1432=0,$A1432="S",$A1432&gt;CFF!$A$9),"",MAX(W$11:OFFSET(W1432,-1,0))+1)</f>
        <v/>
      </c>
      <c r="X1432" s="4" t="str">
        <f t="shared" ref="X1432:X1435" si="1847">IF(AND($J1432=$G$2,$N1432&lt;&gt;"",$M1432&lt;&gt;""),CONCATENATE($M1432,"-",$N1432))</f>
        <v>Rec. Humanos-001</v>
      </c>
      <c r="Y1432" s="39">
        <f t="shared" ref="Y1432:Y1435" ca="1" si="1848">IF(X1432&lt;&gt;FALSE,MATCH(X1432,OFFSET(Banco,0,0,,1),0))</f>
        <v>3</v>
      </c>
      <c r="Z1432" s="1"/>
      <c r="AA1432" s="133">
        <f>IF($J1432=$G$2,ROUND(IF(ISNUMBER(S1432),S1432,IF(LEFT(S1432,2)="DI",HLOOKUP(S1432,DADOS!$T$29:$X$30,2,FALSE),0)),4),"")</f>
        <v>0.25</v>
      </c>
      <c r="AB1432" s="2"/>
    </row>
    <row r="1433" spans="1:28">
      <c r="A1433" t="str">
        <f t="shared" si="1834"/>
        <v>S</v>
      </c>
      <c r="B1433">
        <f t="shared" si="1835"/>
        <v>0</v>
      </c>
      <c r="C1433">
        <f t="shared" ca="1" si="1836"/>
        <v>17</v>
      </c>
      <c r="D1433">
        <f t="shared" ca="1" si="1837"/>
        <v>1</v>
      </c>
      <c r="E1433">
        <f t="shared" ca="1" si="1838"/>
        <v>0</v>
      </c>
      <c r="F1433">
        <f t="shared" ca="1" si="1839"/>
        <v>0</v>
      </c>
      <c r="G1433">
        <f t="shared" ca="1" si="1840"/>
        <v>2</v>
      </c>
      <c r="H1433">
        <f ca="1">IF(OR($A1433="S",$A1433=0),0,MATCH(0,OFFSET($B1433,1,$A1433,ROW($A$1504)-ROW($A1433)),0))</f>
        <v>0</v>
      </c>
      <c r="I1433">
        <f ca="1">IF(OR($A1433="S",$A1433=0),0,MATCH(OFFSET($B1433,0,$A1433)+1,OFFSET($B1433,1,$A1433,ROW($A$1504)-ROW($A1433)),0))</f>
        <v>0</v>
      </c>
      <c r="J1433" s="132" t="s">
        <v>29</v>
      </c>
      <c r="K1433" s="121" t="str">
        <f t="shared" ca="1" si="1841"/>
        <v>17.1.2.</v>
      </c>
      <c r="L1433" s="137" t="str">
        <f t="shared" ca="1" si="1842"/>
        <v>CRESS</v>
      </c>
      <c r="M1433" s="122" t="s">
        <v>78</v>
      </c>
      <c r="N1433" s="139" t="s">
        <v>152</v>
      </c>
      <c r="O1433" s="137" t="str">
        <f ca="1">IF(NOT(ISERROR($Y1433)),IF($Y1433&lt;&gt;FALSE,INDEX(Banco,$Y1433,5),""),"")</f>
        <v>Assistente Social</v>
      </c>
      <c r="P1433" s="138" t="str">
        <f t="shared" ca="1" si="1843"/>
        <v>Horas</v>
      </c>
      <c r="Q1433" s="134">
        <v>24</v>
      </c>
      <c r="R1433" s="124">
        <f t="shared" ca="1" si="1844"/>
        <v>133.81</v>
      </c>
      <c r="S1433" s="136" t="s">
        <v>62</v>
      </c>
      <c r="T1433" s="123">
        <f t="shared" ca="1" si="1845"/>
        <v>167.26</v>
      </c>
      <c r="U1433" s="126">
        <f t="shared" ca="1" si="1846"/>
        <v>4014.24</v>
      </c>
      <c r="V1433" s="1"/>
      <c r="W1433" s="39" t="str">
        <f ca="1">IF(OR($A1433=0,$A1433="S",$A1433&gt;CFF!$A$9),"",MAX(W$11:OFFSET(W1433,-1,0))+1)</f>
        <v/>
      </c>
      <c r="X1433" s="4" t="str">
        <f t="shared" si="1847"/>
        <v>Rec. Humanos-002</v>
      </c>
      <c r="Y1433" s="39">
        <f t="shared" ca="1" si="1848"/>
        <v>4</v>
      </c>
      <c r="Z1433" s="1"/>
      <c r="AA1433" s="133">
        <f>IF($J1433=$G$2,ROUND(IF(ISNUMBER(S1433),S1433,IF(LEFT(S1433,2)="DI",HLOOKUP(S1433,DADOS!$T$29:$X$30,2,FALSE),0)),4),"")</f>
        <v>0.25</v>
      </c>
      <c r="AB1433" s="2"/>
    </row>
    <row r="1434" spans="1:28">
      <c r="A1434" t="str">
        <f t="shared" si="1834"/>
        <v>S</v>
      </c>
      <c r="B1434">
        <f t="shared" si="1835"/>
        <v>0</v>
      </c>
      <c r="C1434">
        <f t="shared" ca="1" si="1836"/>
        <v>17</v>
      </c>
      <c r="D1434">
        <f t="shared" ca="1" si="1837"/>
        <v>1</v>
      </c>
      <c r="E1434">
        <f t="shared" ca="1" si="1838"/>
        <v>0</v>
      </c>
      <c r="F1434">
        <f t="shared" ca="1" si="1839"/>
        <v>0</v>
      </c>
      <c r="G1434">
        <f t="shared" ca="1" si="1840"/>
        <v>3</v>
      </c>
      <c r="H1434">
        <f ca="1">IF(OR($A1434="S",$A1434=0),0,MATCH(0,OFFSET($B1434,1,$A1434,ROW($A$1504)-ROW($A1434)),0))</f>
        <v>0</v>
      </c>
      <c r="I1434">
        <f ca="1">IF(OR($A1434="S",$A1434=0),0,MATCH(OFFSET($B1434,0,$A1434)+1,OFFSET($B1434,1,$A1434,ROW($A$1504)-ROW($A1434)),0))</f>
        <v>0</v>
      </c>
      <c r="J1434" s="132" t="s">
        <v>29</v>
      </c>
      <c r="K1434" s="121" t="str">
        <f t="shared" ca="1" si="1841"/>
        <v>17.1.3.</v>
      </c>
      <c r="L1434" s="137" t="str">
        <f t="shared" ca="1" si="1842"/>
        <v>Cotação</v>
      </c>
      <c r="M1434" s="122" t="s">
        <v>78</v>
      </c>
      <c r="N1434" s="139" t="s">
        <v>151</v>
      </c>
      <c r="O1434" s="137" t="str">
        <f ca="1">IF(NOT(ISERROR($Y1434)),IF($Y1434&lt;&gt;FALSE,INDEX(Banco,$Y1434,5),""),"")</f>
        <v xml:space="preserve">Administrador (Técnico de Apoio) </v>
      </c>
      <c r="P1434" s="138" t="str">
        <f t="shared" ca="1" si="1843"/>
        <v>Horas</v>
      </c>
      <c r="Q1434" s="134">
        <v>18</v>
      </c>
      <c r="R1434" s="124">
        <f t="shared" ca="1" si="1844"/>
        <v>103.65</v>
      </c>
      <c r="S1434" s="136" t="s">
        <v>62</v>
      </c>
      <c r="T1434" s="123">
        <f t="shared" ca="1" si="1845"/>
        <v>129.56</v>
      </c>
      <c r="U1434" s="126">
        <f t="shared" ca="1" si="1846"/>
        <v>2332.08</v>
      </c>
      <c r="V1434" s="1"/>
      <c r="W1434" s="39" t="str">
        <f ca="1">IF(OR($A1434=0,$A1434="S",$A1434&gt;CFF!$A$9),"",MAX(W$11:OFFSET(W1434,-1,0))+1)</f>
        <v/>
      </c>
      <c r="X1434" s="4" t="str">
        <f t="shared" si="1847"/>
        <v>Rec. Humanos-003</v>
      </c>
      <c r="Y1434" s="39">
        <f t="shared" ca="1" si="1848"/>
        <v>5</v>
      </c>
      <c r="Z1434" s="1"/>
      <c r="AA1434" s="133">
        <f>IF($J1434=$G$2,ROUND(IF(ISNUMBER(S1434),S1434,IF(LEFT(S1434,2)="DI",HLOOKUP(S1434,DADOS!$T$29:$X$30,2,FALSE),0)),4),"")</f>
        <v>0.25</v>
      </c>
      <c r="AB1434" s="2"/>
    </row>
    <row r="1435" spans="1:28">
      <c r="A1435" t="str">
        <f t="shared" si="1834"/>
        <v>S</v>
      </c>
      <c r="B1435">
        <f t="shared" si="1835"/>
        <v>0</v>
      </c>
      <c r="C1435">
        <f t="shared" ca="1" si="1836"/>
        <v>17</v>
      </c>
      <c r="D1435">
        <f t="shared" ca="1" si="1837"/>
        <v>1</v>
      </c>
      <c r="E1435">
        <f t="shared" ca="1" si="1838"/>
        <v>0</v>
      </c>
      <c r="F1435">
        <f t="shared" ca="1" si="1839"/>
        <v>0</v>
      </c>
      <c r="G1435">
        <f t="shared" ca="1" si="1840"/>
        <v>4</v>
      </c>
      <c r="H1435">
        <f ca="1">IF(OR($A1435="S",$A1435=0),0,MATCH(0,OFFSET($B1435,1,$A1435,ROW($A$1504)-ROW($A1435)),0))</f>
        <v>0</v>
      </c>
      <c r="I1435">
        <f ca="1">IF(OR($A1435="S",$A1435=0),0,MATCH(OFFSET($B1435,0,$A1435)+1,OFFSET($B1435,1,$A1435,ROW($A$1504)-ROW($A1435)),0))</f>
        <v>0</v>
      </c>
      <c r="J1435" s="132" t="s">
        <v>29</v>
      </c>
      <c r="K1435" s="121" t="str">
        <f t="shared" ca="1" si="1841"/>
        <v>17.1.4.</v>
      </c>
      <c r="L1435" s="137" t="str">
        <f t="shared" ca="1" si="1842"/>
        <v>SINE</v>
      </c>
      <c r="M1435" s="122" t="s">
        <v>78</v>
      </c>
      <c r="N1435" s="139" t="s">
        <v>153</v>
      </c>
      <c r="O1435" s="137" t="str">
        <f ca="1">IF(NOT(ISERROR($Y1435)),IF($Y1435&lt;&gt;FALSE,INDEX(Banco,$Y1435,5),""),"")</f>
        <v>Estagiários</v>
      </c>
      <c r="P1435" s="138" t="str">
        <f t="shared" ca="1" si="1843"/>
        <v>Horas</v>
      </c>
      <c r="Q1435" s="134">
        <v>100</v>
      </c>
      <c r="R1435" s="124">
        <f t="shared" ca="1" si="1844"/>
        <v>9.7899999999999991</v>
      </c>
      <c r="S1435" s="136" t="s">
        <v>62</v>
      </c>
      <c r="T1435" s="123">
        <f t="shared" ca="1" si="1845"/>
        <v>12.24</v>
      </c>
      <c r="U1435" s="126">
        <f t="shared" ca="1" si="1846"/>
        <v>1224</v>
      </c>
      <c r="V1435" s="1"/>
      <c r="W1435" s="39" t="str">
        <f ca="1">IF(OR($A1435=0,$A1435="S",$A1435&gt;CFF!$A$9),"",MAX(W$11:OFFSET(W1435,-1,0))+1)</f>
        <v/>
      </c>
      <c r="X1435" s="4" t="str">
        <f t="shared" si="1847"/>
        <v>Rec. Humanos-004</v>
      </c>
      <c r="Y1435" s="39">
        <f t="shared" ca="1" si="1848"/>
        <v>6</v>
      </c>
      <c r="Z1435" s="1"/>
      <c r="AA1435" s="133">
        <f>IF($J1435=$G$2,ROUND(IF(ISNUMBER(S1435),S1435,IF(LEFT(S1435,2)="DI",HLOOKUP(S1435,DADOS!$T$29:$X$30,2,FALSE),0)),4),"")</f>
        <v>0.25</v>
      </c>
      <c r="AB1435" s="2"/>
    </row>
    <row r="1436" spans="1:28" ht="25.5">
      <c r="A1436">
        <f>CHOOSE(1+LOG(1+2*(J1436=$C$2)+4*(J1436=$D$2)+8*(J1436=$E$2)+16*(J1436=$F$2)+32*(J1436=$G$2),2),0,1,2,3,4,"S")</f>
        <v>2</v>
      </c>
      <c r="B1436">
        <f ca="1">IF(OR(A1436="S",A1436=0),0,IF(ISERROR(I1436),H1436,SMALL(H1436:I1436,1)))</f>
        <v>5</v>
      </c>
      <c r="C1436">
        <f ca="1">IF($A1436=1,OFFSET(C1436,-1,0)+1,OFFSET(C1436,-1,0))</f>
        <v>17</v>
      </c>
      <c r="D1436">
        <f ca="1">IF($A1436=1,0,IF($A1436=2,OFFSET(D1436,-1,0)+1,OFFSET(D1436,-1,0)))</f>
        <v>2</v>
      </c>
      <c r="E1436">
        <f ca="1">IF(AND($A1436&lt;=2,$A1436&lt;&gt;0),0,IF($A1436=3,OFFSET(E1436,-1,0)+1,OFFSET(E1436,-1,0)))</f>
        <v>0</v>
      </c>
      <c r="F1436">
        <f ca="1">IF(AND($A1436&lt;=3,$A1436&lt;&gt;0),0,IF($A1436=4,OFFSET(F1436,-1,0)+1,OFFSET(F1436,-1,0)))</f>
        <v>0</v>
      </c>
      <c r="G1436">
        <f ca="1">IF(AND($A1436&lt;=4,$A1436&lt;&gt;0),0,IF($A1436="S",OFFSET(G1436,-1,0)+1,OFFSET(G1436,-1,0)))</f>
        <v>0</v>
      </c>
      <c r="H1436">
        <f ca="1">IF(OR($A1436="S",$A1436=0),0,MATCH(0,OFFSET($B1436,1,$A1436,ROW($A$1504)-ROW($A1436)),0))</f>
        <v>5</v>
      </c>
      <c r="I1436">
        <f ca="1">IF(OR($A1436="S",$A1436=0),0,MATCH(OFFSET($B1436,0,$A1436)+1,OFFSET($B1436,1,$A1436,ROW($A$1504)-ROW($A1436)),0))</f>
        <v>36</v>
      </c>
      <c r="J1436" s="132" t="s">
        <v>68</v>
      </c>
      <c r="K1436" s="121" t="str">
        <f ca="1">IF($A1436=0,"-",CONCATENATE(C1436&amp;".",IF(AND($A$5&gt;=2,$A1436&gt;=2),D1436&amp;".",""),IF(AND($A$5&gt;=3,$A1436&gt;=3),E1436&amp;".",""),IF(AND($A$5&gt;=4,$A1436&gt;=4),F1436&amp;".",""),IF($A1436="S",G1436&amp;".","")))</f>
        <v>17.2.</v>
      </c>
      <c r="L1436" s="137" t="str">
        <f ca="1">IF(NOT(ISERROR($Y1436)),IF($Y1436&lt;&gt;FALSE,INDEX(Banco,$Y1436,4),""),"")</f>
        <v/>
      </c>
      <c r="M1436" s="122"/>
      <c r="N1436" s="139"/>
      <c r="O1436" s="137" t="s">
        <v>461</v>
      </c>
      <c r="P1436" s="138" t="str">
        <f ca="1">IF(NOT(ISERROR($Y1436)),IF($Y1436&lt;&gt;FALSE,INDEX(Banco,$Y1436,6),""),"")</f>
        <v/>
      </c>
      <c r="Q1436" s="134"/>
      <c r="R1436" s="124">
        <f ca="1">IF(NOT(ISERROR($Y1436)),IF($Y1436&lt;&gt;FALSE,INDEX(Banco,$Y1436,7),0),0)</f>
        <v>0</v>
      </c>
      <c r="S1436" s="136" t="s">
        <v>62</v>
      </c>
      <c r="T1436" s="123">
        <f>IF($J1436=$G$2,ROUND(ROUND($R1436,2)*IF($R$9="Preço Unitário (R$)",1,1+$AA1436),2),0)</f>
        <v>0</v>
      </c>
      <c r="U1436" s="126">
        <f ca="1">IF($A1436="S",VTOTAL1,IF($A1436=0,0,ROUND(SomaAgrup,2)))</f>
        <v>10295.56</v>
      </c>
      <c r="V1436" s="1"/>
      <c r="W1436" s="39">
        <f ca="1">IF(OR($A1436=0,$A1436="S",$A1436&gt;CFF!$A$9),"",MAX(W$11:OFFSET(W1436,-1,0))+1)</f>
        <v>129</v>
      </c>
      <c r="X1436" s="4" t="b">
        <f>IF(AND($J1436=$G$2,$N1436&lt;&gt;"",$M1436&lt;&gt;""),CONCATENATE($M1436,"-",$N1436))</f>
        <v>0</v>
      </c>
      <c r="Y1436" s="39" t="b">
        <f ca="1">IF(X1436&lt;&gt;FALSE,MATCH(X1436,OFFSET(Banco,0,0,,1),0))</f>
        <v>0</v>
      </c>
      <c r="Z1436" s="1"/>
      <c r="AA1436" s="133" t="str">
        <f>IF($J1436=$G$2,ROUND(IF(ISNUMBER(S1436),S1436,IF(LEFT(S1436,2)="DI",HLOOKUP(S1436,DADOS!$T$29:$X$30,2,FALSE),0)),4),"")</f>
        <v/>
      </c>
      <c r="AB1436" s="2"/>
    </row>
    <row r="1437" spans="1:28">
      <c r="A1437" t="str">
        <f t="shared" ref="A1437:A1440" si="1849">CHOOSE(1+LOG(1+2*(J1437=$C$2)+4*(J1437=$D$2)+8*(J1437=$E$2)+16*(J1437=$F$2)+32*(J1437=$G$2),2),0,1,2,3,4,"S")</f>
        <v>S</v>
      </c>
      <c r="B1437">
        <f t="shared" ref="B1437:B1440" si="1850">IF(OR(A1437="S",A1437=0),0,IF(ISERROR(I1437),H1437,SMALL(H1437:I1437,1)))</f>
        <v>0</v>
      </c>
      <c r="C1437">
        <f t="shared" ref="C1437:C1440" ca="1" si="1851">IF($A1437=1,OFFSET(C1437,-1,0)+1,OFFSET(C1437,-1,0))</f>
        <v>17</v>
      </c>
      <c r="D1437">
        <f t="shared" ref="D1437:D1440" ca="1" si="1852">IF($A1437=1,0,IF($A1437=2,OFFSET(D1437,-1,0)+1,OFFSET(D1437,-1,0)))</f>
        <v>2</v>
      </c>
      <c r="E1437">
        <f t="shared" ref="E1437:E1440" ca="1" si="1853">IF(AND($A1437&lt;=2,$A1437&lt;&gt;0),0,IF($A1437=3,OFFSET(E1437,-1,0)+1,OFFSET(E1437,-1,0)))</f>
        <v>0</v>
      </c>
      <c r="F1437">
        <f t="shared" ref="F1437:F1440" ca="1" si="1854">IF(AND($A1437&lt;=3,$A1437&lt;&gt;0),0,IF($A1437=4,OFFSET(F1437,-1,0)+1,OFFSET(F1437,-1,0)))</f>
        <v>0</v>
      </c>
      <c r="G1437">
        <f t="shared" ref="G1437:G1440" ca="1" si="1855">IF(AND($A1437&lt;=4,$A1437&lt;&gt;0),0,IF($A1437="S",OFFSET(G1437,-1,0)+1,OFFSET(G1437,-1,0)))</f>
        <v>1</v>
      </c>
      <c r="H1437">
        <f ca="1">IF(OR($A1437="S",$A1437=0),0,MATCH(0,OFFSET($B1437,1,$A1437,ROW($A$1504)-ROW($A1437)),0))</f>
        <v>0</v>
      </c>
      <c r="I1437">
        <f ca="1">IF(OR($A1437="S",$A1437=0),0,MATCH(OFFSET($B1437,0,$A1437)+1,OFFSET($B1437,1,$A1437,ROW($A$1504)-ROW($A1437)),0))</f>
        <v>0</v>
      </c>
      <c r="J1437" s="132" t="s">
        <v>29</v>
      </c>
      <c r="K1437" s="121" t="str">
        <f t="shared" ref="K1437:K1440" ca="1" si="1856">IF($A1437=0,"-",CONCATENATE(C1437&amp;".",IF(AND($A$5&gt;=2,$A1437&gt;=2),D1437&amp;".",""),IF(AND($A$5&gt;=3,$A1437&gt;=3),E1437&amp;".",""),IF(AND($A$5&gt;=4,$A1437&gt;=4),F1437&amp;".",""),IF($A1437="S",G1437&amp;".","")))</f>
        <v>17.2.1.</v>
      </c>
      <c r="L1437" s="137" t="str">
        <f t="shared" ref="L1437:L1440" ca="1" si="1857">IF(NOT(ISERROR($Y1437)),IF($Y1437&lt;&gt;FALSE,INDEX(Banco,$Y1437,4),""),"")</f>
        <v>CRESS</v>
      </c>
      <c r="M1437" s="122" t="s">
        <v>78</v>
      </c>
      <c r="N1437" s="139" t="s">
        <v>149</v>
      </c>
      <c r="O1437" s="137" t="str">
        <f ca="1">IF(NOT(ISERROR($Y1437)),IF($Y1437&lt;&gt;FALSE,INDEX(Banco,$Y1437,5),""),"")</f>
        <v>Responsável Técnica</v>
      </c>
      <c r="P1437" s="138" t="str">
        <f t="shared" ref="P1437:P1440" ca="1" si="1858">IF(NOT(ISERROR($Y1437)),IF($Y1437&lt;&gt;FALSE,INDEX(Banco,$Y1437,6),""),"")</f>
        <v>Horas</v>
      </c>
      <c r="Q1437" s="134">
        <v>16</v>
      </c>
      <c r="R1437" s="124">
        <f t="shared" ref="R1437:R1440" ca="1" si="1859">IF(NOT(ISERROR($Y1437)),IF($Y1437&lt;&gt;FALSE,INDEX(Banco,$Y1437,7),0),0)</f>
        <v>150.28</v>
      </c>
      <c r="S1437" s="136" t="s">
        <v>62</v>
      </c>
      <c r="T1437" s="123">
        <f t="shared" ref="T1437:T1440" ca="1" si="1860">IF($J1437=$G$2,ROUND(ROUND($R1437,2)*IF($R$9="Preço Unitário (R$)",1,1+$AA1437),2),0)</f>
        <v>187.85</v>
      </c>
      <c r="U1437" s="126">
        <f t="shared" ref="U1437:U1440" ca="1" si="1861">IF($A1437="S",VTOTAL1,IF($A1437=0,0,ROUND(SomaAgrup,2)))</f>
        <v>3005.6</v>
      </c>
      <c r="V1437" s="1"/>
      <c r="W1437" s="39" t="str">
        <f ca="1">IF(OR($A1437=0,$A1437="S",$A1437&gt;CFF!$A$9),"",MAX(W$11:OFFSET(W1437,-1,0))+1)</f>
        <v/>
      </c>
      <c r="X1437" s="4" t="str">
        <f t="shared" ref="X1437:X1440" si="1862">IF(AND($J1437=$G$2,$N1437&lt;&gt;"",$M1437&lt;&gt;""),CONCATENATE($M1437,"-",$N1437))</f>
        <v>Rec. Humanos-001</v>
      </c>
      <c r="Y1437" s="39">
        <f t="shared" ref="Y1437:Y1440" ca="1" si="1863">IF(X1437&lt;&gt;FALSE,MATCH(X1437,OFFSET(Banco,0,0,,1),0))</f>
        <v>3</v>
      </c>
      <c r="Z1437" s="1"/>
      <c r="AA1437" s="133">
        <f>IF($J1437=$G$2,ROUND(IF(ISNUMBER(S1437),S1437,IF(LEFT(S1437,2)="DI",HLOOKUP(S1437,DADOS!$T$29:$X$30,2,FALSE),0)),4),"")</f>
        <v>0.25</v>
      </c>
      <c r="AB1437" s="2"/>
    </row>
    <row r="1438" spans="1:28">
      <c r="A1438" t="str">
        <f t="shared" si="1849"/>
        <v>S</v>
      </c>
      <c r="B1438">
        <f t="shared" si="1850"/>
        <v>0</v>
      </c>
      <c r="C1438">
        <f t="shared" ca="1" si="1851"/>
        <v>17</v>
      </c>
      <c r="D1438">
        <f t="shared" ca="1" si="1852"/>
        <v>2</v>
      </c>
      <c r="E1438">
        <f t="shared" ca="1" si="1853"/>
        <v>0</v>
      </c>
      <c r="F1438">
        <f t="shared" ca="1" si="1854"/>
        <v>0</v>
      </c>
      <c r="G1438">
        <f t="shared" ca="1" si="1855"/>
        <v>2</v>
      </c>
      <c r="H1438">
        <f ca="1">IF(OR($A1438="S",$A1438=0),0,MATCH(0,OFFSET($B1438,1,$A1438,ROW($A$1504)-ROW($A1438)),0))</f>
        <v>0</v>
      </c>
      <c r="I1438">
        <f ca="1">IF(OR($A1438="S",$A1438=0),0,MATCH(OFFSET($B1438,0,$A1438)+1,OFFSET($B1438,1,$A1438,ROW($A$1504)-ROW($A1438)),0))</f>
        <v>0</v>
      </c>
      <c r="J1438" s="132" t="s">
        <v>29</v>
      </c>
      <c r="K1438" s="121" t="str">
        <f t="shared" ca="1" si="1856"/>
        <v>17.2.2.</v>
      </c>
      <c r="L1438" s="137" t="str">
        <f t="shared" ca="1" si="1857"/>
        <v>CRESS</v>
      </c>
      <c r="M1438" s="122" t="s">
        <v>78</v>
      </c>
      <c r="N1438" s="139" t="s">
        <v>152</v>
      </c>
      <c r="O1438" s="137" t="str">
        <f ca="1">IF(NOT(ISERROR($Y1438)),IF($Y1438&lt;&gt;FALSE,INDEX(Banco,$Y1438,5),""),"")</f>
        <v>Assistente Social</v>
      </c>
      <c r="P1438" s="138" t="str">
        <f t="shared" ca="1" si="1858"/>
        <v>Horas</v>
      </c>
      <c r="Q1438" s="134">
        <v>20</v>
      </c>
      <c r="R1438" s="124">
        <f t="shared" ca="1" si="1859"/>
        <v>133.81</v>
      </c>
      <c r="S1438" s="136" t="s">
        <v>62</v>
      </c>
      <c r="T1438" s="123">
        <f t="shared" ca="1" si="1860"/>
        <v>167.26</v>
      </c>
      <c r="U1438" s="126">
        <f t="shared" ca="1" si="1861"/>
        <v>3345.2</v>
      </c>
      <c r="V1438" s="1"/>
      <c r="W1438" s="39" t="str">
        <f ca="1">IF(OR($A1438=0,$A1438="S",$A1438&gt;CFF!$A$9),"",MAX(W$11:OFFSET(W1438,-1,0))+1)</f>
        <v/>
      </c>
      <c r="X1438" s="4" t="str">
        <f t="shared" si="1862"/>
        <v>Rec. Humanos-002</v>
      </c>
      <c r="Y1438" s="39">
        <f t="shared" ca="1" si="1863"/>
        <v>4</v>
      </c>
      <c r="Z1438" s="1"/>
      <c r="AA1438" s="133">
        <f>IF($J1438=$G$2,ROUND(IF(ISNUMBER(S1438),S1438,IF(LEFT(S1438,2)="DI",HLOOKUP(S1438,DADOS!$T$29:$X$30,2,FALSE),0)),4),"")</f>
        <v>0.25</v>
      </c>
      <c r="AB1438" s="2"/>
    </row>
    <row r="1439" spans="1:28">
      <c r="A1439" t="str">
        <f t="shared" si="1849"/>
        <v>S</v>
      </c>
      <c r="B1439">
        <f t="shared" si="1850"/>
        <v>0</v>
      </c>
      <c r="C1439">
        <f t="shared" ca="1" si="1851"/>
        <v>17</v>
      </c>
      <c r="D1439">
        <f t="shared" ca="1" si="1852"/>
        <v>2</v>
      </c>
      <c r="E1439">
        <f t="shared" ca="1" si="1853"/>
        <v>0</v>
      </c>
      <c r="F1439">
        <f t="shared" ca="1" si="1854"/>
        <v>0</v>
      </c>
      <c r="G1439">
        <f t="shared" ca="1" si="1855"/>
        <v>3</v>
      </c>
      <c r="H1439">
        <f ca="1">IF(OR($A1439="S",$A1439=0),0,MATCH(0,OFFSET($B1439,1,$A1439,ROW($A$1504)-ROW($A1439)),0))</f>
        <v>0</v>
      </c>
      <c r="I1439">
        <f ca="1">IF(OR($A1439="S",$A1439=0),0,MATCH(OFFSET($B1439,0,$A1439)+1,OFFSET($B1439,1,$A1439,ROW($A$1504)-ROW($A1439)),0))</f>
        <v>0</v>
      </c>
      <c r="J1439" s="132" t="s">
        <v>29</v>
      </c>
      <c r="K1439" s="121" t="str">
        <f t="shared" ca="1" si="1856"/>
        <v>17.2.3.</v>
      </c>
      <c r="L1439" s="137" t="str">
        <f t="shared" ca="1" si="1857"/>
        <v>Cotação</v>
      </c>
      <c r="M1439" s="122" t="s">
        <v>78</v>
      </c>
      <c r="N1439" s="139" t="s">
        <v>151</v>
      </c>
      <c r="O1439" s="137" t="str">
        <f ca="1">IF(NOT(ISERROR($Y1439)),IF($Y1439&lt;&gt;FALSE,INDEX(Banco,$Y1439,5),""),"")</f>
        <v xml:space="preserve">Administrador (Técnico de Apoio) </v>
      </c>
      <c r="P1439" s="138" t="str">
        <f t="shared" ca="1" si="1858"/>
        <v>Horas</v>
      </c>
      <c r="Q1439" s="134">
        <v>21</v>
      </c>
      <c r="R1439" s="124">
        <f t="shared" ca="1" si="1859"/>
        <v>103.65</v>
      </c>
      <c r="S1439" s="136" t="s">
        <v>62</v>
      </c>
      <c r="T1439" s="123">
        <f t="shared" ca="1" si="1860"/>
        <v>129.56</v>
      </c>
      <c r="U1439" s="126">
        <f t="shared" ca="1" si="1861"/>
        <v>2720.76</v>
      </c>
      <c r="V1439" s="1"/>
      <c r="W1439" s="39" t="str">
        <f ca="1">IF(OR($A1439=0,$A1439="S",$A1439&gt;CFF!$A$9),"",MAX(W$11:OFFSET(W1439,-1,0))+1)</f>
        <v/>
      </c>
      <c r="X1439" s="4" t="str">
        <f t="shared" si="1862"/>
        <v>Rec. Humanos-003</v>
      </c>
      <c r="Y1439" s="39">
        <f t="shared" ca="1" si="1863"/>
        <v>5</v>
      </c>
      <c r="Z1439" s="1"/>
      <c r="AA1439" s="133">
        <f>IF($J1439=$G$2,ROUND(IF(ISNUMBER(S1439),S1439,IF(LEFT(S1439,2)="DI",HLOOKUP(S1439,DADOS!$T$29:$X$30,2,FALSE),0)),4),"")</f>
        <v>0.25</v>
      </c>
      <c r="AB1439" s="2"/>
    </row>
    <row r="1440" spans="1:28">
      <c r="A1440" t="str">
        <f t="shared" si="1849"/>
        <v>S</v>
      </c>
      <c r="B1440">
        <f t="shared" si="1850"/>
        <v>0</v>
      </c>
      <c r="C1440">
        <f t="shared" ca="1" si="1851"/>
        <v>17</v>
      </c>
      <c r="D1440">
        <f t="shared" ca="1" si="1852"/>
        <v>2</v>
      </c>
      <c r="E1440">
        <f t="shared" ca="1" si="1853"/>
        <v>0</v>
      </c>
      <c r="F1440">
        <f t="shared" ca="1" si="1854"/>
        <v>0</v>
      </c>
      <c r="G1440">
        <f t="shared" ca="1" si="1855"/>
        <v>4</v>
      </c>
      <c r="H1440">
        <f ca="1">IF(OR($A1440="S",$A1440=0),0,MATCH(0,OFFSET($B1440,1,$A1440,ROW($A$1504)-ROW($A1440)),0))</f>
        <v>0</v>
      </c>
      <c r="I1440">
        <f ca="1">IF(OR($A1440="S",$A1440=0),0,MATCH(OFFSET($B1440,0,$A1440)+1,OFFSET($B1440,1,$A1440,ROW($A$1504)-ROW($A1440)),0))</f>
        <v>0</v>
      </c>
      <c r="J1440" s="132" t="s">
        <v>29</v>
      </c>
      <c r="K1440" s="121" t="str">
        <f t="shared" ca="1" si="1856"/>
        <v>17.2.4.</v>
      </c>
      <c r="L1440" s="137" t="str">
        <f t="shared" ca="1" si="1857"/>
        <v>SINE</v>
      </c>
      <c r="M1440" s="122" t="s">
        <v>78</v>
      </c>
      <c r="N1440" s="139" t="s">
        <v>153</v>
      </c>
      <c r="O1440" s="137" t="str">
        <f ca="1">IF(NOT(ISERROR($Y1440)),IF($Y1440&lt;&gt;FALSE,INDEX(Banco,$Y1440,5),""),"")</f>
        <v>Estagiários</v>
      </c>
      <c r="P1440" s="138" t="str">
        <f t="shared" ca="1" si="1858"/>
        <v>Horas</v>
      </c>
      <c r="Q1440" s="134">
        <v>100</v>
      </c>
      <c r="R1440" s="124">
        <f t="shared" ca="1" si="1859"/>
        <v>9.7899999999999991</v>
      </c>
      <c r="S1440" s="136" t="s">
        <v>62</v>
      </c>
      <c r="T1440" s="123">
        <f t="shared" ca="1" si="1860"/>
        <v>12.24</v>
      </c>
      <c r="U1440" s="126">
        <f t="shared" ca="1" si="1861"/>
        <v>1224</v>
      </c>
      <c r="V1440" s="1"/>
      <c r="W1440" s="39" t="str">
        <f ca="1">IF(OR($A1440=0,$A1440="S",$A1440&gt;CFF!$A$9),"",MAX(W$11:OFFSET(W1440,-1,0))+1)</f>
        <v/>
      </c>
      <c r="X1440" s="4" t="str">
        <f t="shared" si="1862"/>
        <v>Rec. Humanos-004</v>
      </c>
      <c r="Y1440" s="39">
        <f t="shared" ca="1" si="1863"/>
        <v>6</v>
      </c>
      <c r="Z1440" s="1"/>
      <c r="AA1440" s="133">
        <f>IF($J1440=$G$2,ROUND(IF(ISNUMBER(S1440),S1440,IF(LEFT(S1440,2)="DI",HLOOKUP(S1440,DADOS!$T$29:$X$30,2,FALSE),0)),4),"")</f>
        <v>0.25</v>
      </c>
      <c r="AB1440" s="2"/>
    </row>
    <row r="1441" spans="1:28">
      <c r="A1441">
        <f>CHOOSE(1+LOG(1+2*(J1441=$C$2)+4*(J1441=$D$2)+8*(J1441=$E$2)+16*(J1441=$F$2)+32*(J1441=$G$2),2),0,1,2,3,4,"S")</f>
        <v>1</v>
      </c>
      <c r="B1441">
        <f ca="1">IF(OR(A1441="S",A1441=0),0,IF(ISERROR(I1441),H1441,SMALL(H1441:I1441,1)))</f>
        <v>63</v>
      </c>
      <c r="C1441">
        <f ca="1">IF($A1441=1,OFFSET(C1441,-1,0)+1,OFFSET(C1441,-1,0))</f>
        <v>18</v>
      </c>
      <c r="D1441">
        <f ca="1">IF($A1441=1,0,IF($A1441=2,OFFSET(D1441,-1,0)+1,OFFSET(D1441,-1,0)))</f>
        <v>0</v>
      </c>
      <c r="E1441">
        <f ca="1">IF(AND($A1441&lt;=2,$A1441&lt;&gt;0),0,IF($A1441=3,OFFSET(E1441,-1,0)+1,OFFSET(E1441,-1,0)))</f>
        <v>0</v>
      </c>
      <c r="F1441">
        <f ca="1">IF(AND($A1441&lt;=3,$A1441&lt;&gt;0),0,IF($A1441=4,OFFSET(F1441,-1,0)+1,OFFSET(F1441,-1,0)))</f>
        <v>0</v>
      </c>
      <c r="G1441">
        <f ca="1">IF(AND($A1441&lt;=4,$A1441&lt;&gt;0),0,IF($A1441="S",OFFSET(G1441,-1,0)+1,OFFSET(G1441,-1,0)))</f>
        <v>0</v>
      </c>
      <c r="H1441">
        <f ca="1">IF(OR($A1441="S",$A1441=0),0,MATCH(0,OFFSET($B1441,1,$A1441,ROW($A$1504)-ROW($A1441)),0))</f>
        <v>63</v>
      </c>
      <c r="I1441" t="e">
        <f ca="1">IF(OR($A1441="S",$A1441=0),0,MATCH(OFFSET($B1441,0,$A1441)+1,OFFSET($B1441,1,$A1441,ROW($A$1504)-ROW($A1441)),0))</f>
        <v>#N/A</v>
      </c>
      <c r="J1441" s="132" t="s">
        <v>67</v>
      </c>
      <c r="K1441" s="121" t="str">
        <f ca="1">IF($A1441=0,"-",CONCATENATE(C1441&amp;".",IF(AND($A$5&gt;=2,$A1441&gt;=2),D1441&amp;".",""),IF(AND($A$5&gt;=3,$A1441&gt;=3),E1441&amp;".",""),IF(AND($A$5&gt;=4,$A1441&gt;=4),F1441&amp;".",""),IF($A1441="S",G1441&amp;".","")))</f>
        <v>18.</v>
      </c>
      <c r="L1441" s="137" t="str">
        <f ca="1">IF(NOT(ISERROR($Y1441)),IF($Y1441&lt;&gt;FALSE,INDEX(Banco,$Y1441,4),""),"")</f>
        <v/>
      </c>
      <c r="M1441" s="122"/>
      <c r="N1441" s="139"/>
      <c r="O1441" s="137" t="s">
        <v>344</v>
      </c>
      <c r="P1441" s="138" t="str">
        <f ca="1">IF(NOT(ISERROR($Y1441)),IF($Y1441&lt;&gt;FALSE,INDEX(Banco,$Y1441,6),""),"")</f>
        <v/>
      </c>
      <c r="Q1441" s="134"/>
      <c r="R1441" s="124">
        <f ca="1">IF(NOT(ISERROR($Y1441)),IF($Y1441&lt;&gt;FALSE,INDEX(Banco,$Y1441,7),0),0)</f>
        <v>0</v>
      </c>
      <c r="S1441" s="136" t="s">
        <v>62</v>
      </c>
      <c r="T1441" s="123">
        <f>IF($J1441=$G$2,ROUND(ROUND($R1441,2)*IF($R$9="Preço Unitário (R$)",1,1+$AA1441),2),0)</f>
        <v>0</v>
      </c>
      <c r="U1441" s="126">
        <f ca="1">IF($A1441="S",VTOTAL1,IF($A1441=0,0,ROUND(SomaAgrup,2)))</f>
        <v>34750.15</v>
      </c>
      <c r="V1441" s="1"/>
      <c r="W1441" s="39">
        <f ca="1">IF(OR($A1441=0,$A1441="S",$A1441&gt;CFF!$A$9),"",MAX(W$11:OFFSET(W1441,-1,0))+1)</f>
        <v>130</v>
      </c>
      <c r="X1441" s="4" t="b">
        <f>IF(AND($J1441=$G$2,$N1441&lt;&gt;"",$M1441&lt;&gt;""),CONCATENATE($M1441,"-",$N1441))</f>
        <v>0</v>
      </c>
      <c r="Y1441" s="39" t="b">
        <f ca="1">IF(X1441&lt;&gt;FALSE,MATCH(X1441,OFFSET(Banco,0,0,,1),0))</f>
        <v>0</v>
      </c>
      <c r="Z1441" s="1"/>
      <c r="AA1441" s="133" t="str">
        <f>IF($J1441=$G$2,ROUND(IF(ISNUMBER(S1441),S1441,IF(LEFT(S1441,2)="DI",HLOOKUP(S1441,DADOS!$T$29:$X$30,2,FALSE),0)),4),"")</f>
        <v/>
      </c>
      <c r="AB1441" s="2"/>
    </row>
    <row r="1442" spans="1:28" ht="25.5">
      <c r="A1442">
        <f>CHOOSE(1+LOG(1+2*(J1442=$C$2)+4*(J1442=$D$2)+8*(J1442=$E$2)+16*(J1442=$F$2)+32*(J1442=$G$2),2),0,1,2,3,4,"S")</f>
        <v>2</v>
      </c>
      <c r="B1442">
        <f ca="1">IF(OR(A1442="S",A1442=0),0,IF(ISERROR(I1442),H1442,SMALL(H1442:I1442,1)))</f>
        <v>5</v>
      </c>
      <c r="C1442">
        <f ca="1">IF($A1442=1,OFFSET(C1442,-1,0)+1,OFFSET(C1442,-1,0))</f>
        <v>18</v>
      </c>
      <c r="D1442">
        <f ca="1">IF($A1442=1,0,IF($A1442=2,OFFSET(D1442,-1,0)+1,OFFSET(D1442,-1,0)))</f>
        <v>1</v>
      </c>
      <c r="E1442">
        <f ca="1">IF(AND($A1442&lt;=2,$A1442&lt;&gt;0),0,IF($A1442=3,OFFSET(E1442,-1,0)+1,OFFSET(E1442,-1,0)))</f>
        <v>0</v>
      </c>
      <c r="F1442">
        <f ca="1">IF(AND($A1442&lt;=3,$A1442&lt;&gt;0),0,IF($A1442=4,OFFSET(F1442,-1,0)+1,OFFSET(F1442,-1,0)))</f>
        <v>0</v>
      </c>
      <c r="G1442">
        <f ca="1">IF(AND($A1442&lt;=4,$A1442&lt;&gt;0),0,IF($A1442="S",OFFSET(G1442,-1,0)+1,OFFSET(G1442,-1,0)))</f>
        <v>0</v>
      </c>
      <c r="H1442">
        <f ca="1">IF(OR($A1442="S",$A1442=0),0,MATCH(0,OFFSET($B1442,1,$A1442,ROW($A$1504)-ROW($A1442)),0))</f>
        <v>62</v>
      </c>
      <c r="I1442">
        <f ca="1">IF(OR($A1442="S",$A1442=0),0,MATCH(OFFSET($B1442,0,$A1442)+1,OFFSET($B1442,1,$A1442,ROW($A$1504)-ROW($A1442)),0))</f>
        <v>5</v>
      </c>
      <c r="J1442" s="132" t="s">
        <v>68</v>
      </c>
      <c r="K1442" s="121" t="str">
        <f ca="1">IF($A1442=0,"-",CONCATENATE(C1442&amp;".",IF(AND($A$5&gt;=2,$A1442&gt;=2),D1442&amp;".",""),IF(AND($A$5&gt;=3,$A1442&gt;=3),E1442&amp;".",""),IF(AND($A$5&gt;=4,$A1442&gt;=4),F1442&amp;".",""),IF($A1442="S",G1442&amp;".","")))</f>
        <v>18.1.</v>
      </c>
      <c r="L1442" s="137" t="str">
        <f ca="1">IF(NOT(ISERROR($Y1442)),IF($Y1442&lt;&gt;FALSE,INDEX(Banco,$Y1442,4),""),"")</f>
        <v/>
      </c>
      <c r="M1442" s="122"/>
      <c r="N1442" s="139"/>
      <c r="O1442" s="137" t="s">
        <v>462</v>
      </c>
      <c r="P1442" s="138" t="str">
        <f ca="1">IF(NOT(ISERROR($Y1442)),IF($Y1442&lt;&gt;FALSE,INDEX(Banco,$Y1442,6),""),"")</f>
        <v/>
      </c>
      <c r="Q1442" s="134"/>
      <c r="R1442" s="124">
        <f ca="1">IF(NOT(ISERROR($Y1442)),IF($Y1442&lt;&gt;FALSE,INDEX(Banco,$Y1442,7),0),0)</f>
        <v>0</v>
      </c>
      <c r="S1442" s="136" t="s">
        <v>62</v>
      </c>
      <c r="T1442" s="123">
        <f>IF($J1442=$G$2,ROUND(ROUND($R1442,2)*IF($R$9="Preço Unitário (R$)",1,1+$AA1442),2),0)</f>
        <v>0</v>
      </c>
      <c r="U1442" s="126">
        <f ca="1">IF($A1442="S",VTOTAL1,IF($A1442=0,0,ROUND(SomaAgrup,2)))</f>
        <v>6172.6</v>
      </c>
      <c r="V1442" s="1"/>
      <c r="W1442" s="39">
        <f ca="1">IF(OR($A1442=0,$A1442="S",$A1442&gt;CFF!$A$9),"",MAX(W$11:OFFSET(W1442,-1,0))+1)</f>
        <v>131</v>
      </c>
      <c r="X1442" s="4" t="b">
        <f>IF(AND($J1442=$G$2,$N1442&lt;&gt;"",$M1442&lt;&gt;""),CONCATENATE($M1442,"-",$N1442))</f>
        <v>0</v>
      </c>
      <c r="Y1442" s="39" t="b">
        <f ca="1">IF(X1442&lt;&gt;FALSE,MATCH(X1442,OFFSET(Banco,0,0,,1),0))</f>
        <v>0</v>
      </c>
      <c r="Z1442" s="1"/>
      <c r="AA1442" s="133" t="str">
        <f>IF($J1442=$G$2,ROUND(IF(ISNUMBER(S1442),S1442,IF(LEFT(S1442,2)="DI",HLOOKUP(S1442,DADOS!$T$29:$X$30,2,FALSE),0)),4),"")</f>
        <v/>
      </c>
      <c r="AB1442" s="2"/>
    </row>
    <row r="1443" spans="1:28">
      <c r="A1443" t="str">
        <f t="shared" ref="A1443:A1445" si="1864">CHOOSE(1+LOG(1+2*(J1443=$C$2)+4*(J1443=$D$2)+8*(J1443=$E$2)+16*(J1443=$F$2)+32*(J1443=$G$2),2),0,1,2,3,4,"S")</f>
        <v>S</v>
      </c>
      <c r="B1443">
        <f t="shared" ref="B1443:B1445" si="1865">IF(OR(A1443="S",A1443=0),0,IF(ISERROR(I1443),H1443,SMALL(H1443:I1443,1)))</f>
        <v>0</v>
      </c>
      <c r="C1443">
        <f t="shared" ref="C1443:C1445" ca="1" si="1866">IF($A1443=1,OFFSET(C1443,-1,0)+1,OFFSET(C1443,-1,0))</f>
        <v>18</v>
      </c>
      <c r="D1443">
        <f t="shared" ref="D1443:D1445" ca="1" si="1867">IF($A1443=1,0,IF($A1443=2,OFFSET(D1443,-1,0)+1,OFFSET(D1443,-1,0)))</f>
        <v>1</v>
      </c>
      <c r="E1443">
        <f t="shared" ref="E1443:E1445" ca="1" si="1868">IF(AND($A1443&lt;=2,$A1443&lt;&gt;0),0,IF($A1443=3,OFFSET(E1443,-1,0)+1,OFFSET(E1443,-1,0)))</f>
        <v>0</v>
      </c>
      <c r="F1443">
        <f t="shared" ref="F1443:F1445" ca="1" si="1869">IF(AND($A1443&lt;=3,$A1443&lt;&gt;0),0,IF($A1443=4,OFFSET(F1443,-1,0)+1,OFFSET(F1443,-1,0)))</f>
        <v>0</v>
      </c>
      <c r="G1443">
        <f t="shared" ref="G1443:G1445" ca="1" si="1870">IF(AND($A1443&lt;=4,$A1443&lt;&gt;0),0,IF($A1443="S",OFFSET(G1443,-1,0)+1,OFFSET(G1443,-1,0)))</f>
        <v>1</v>
      </c>
      <c r="H1443">
        <f ca="1">IF(OR($A1443="S",$A1443=0),0,MATCH(0,OFFSET($B1443,1,$A1443,ROW($A$1504)-ROW($A1443)),0))</f>
        <v>0</v>
      </c>
      <c r="I1443">
        <f ca="1">IF(OR($A1443="S",$A1443=0),0,MATCH(OFFSET($B1443,0,$A1443)+1,OFFSET($B1443,1,$A1443,ROW($A$1504)-ROW($A1443)),0))</f>
        <v>0</v>
      </c>
      <c r="J1443" s="132" t="s">
        <v>29</v>
      </c>
      <c r="K1443" s="121" t="str">
        <f t="shared" ref="K1443:K1445" ca="1" si="1871">IF($A1443=0,"-",CONCATENATE(C1443&amp;".",IF(AND($A$5&gt;=2,$A1443&gt;=2),D1443&amp;".",""),IF(AND($A$5&gt;=3,$A1443&gt;=3),E1443&amp;".",""),IF(AND($A$5&gt;=4,$A1443&gt;=4),F1443&amp;".",""),IF($A1443="S",G1443&amp;".","")))</f>
        <v>18.1.1.</v>
      </c>
      <c r="L1443" s="137" t="str">
        <f t="shared" ref="L1443:L1445" ca="1" si="1872">IF(NOT(ISERROR($Y1443)),IF($Y1443&lt;&gt;FALSE,INDEX(Banco,$Y1443,4),""),"")</f>
        <v>CRESS</v>
      </c>
      <c r="M1443" s="122" t="s">
        <v>78</v>
      </c>
      <c r="N1443" s="139" t="s">
        <v>149</v>
      </c>
      <c r="O1443" s="137" t="str">
        <f ca="1">IF(NOT(ISERROR($Y1443)),IF($Y1443&lt;&gt;FALSE,INDEX(Banco,$Y1443,5),""),"")</f>
        <v>Responsável Técnica</v>
      </c>
      <c r="P1443" s="138" t="str">
        <f t="shared" ref="P1443:P1445" ca="1" si="1873">IF(NOT(ISERROR($Y1443)),IF($Y1443&lt;&gt;FALSE,INDEX(Banco,$Y1443,6),""),"")</f>
        <v>Horas</v>
      </c>
      <c r="Q1443" s="134">
        <v>10</v>
      </c>
      <c r="R1443" s="124">
        <f t="shared" ref="R1443:R1445" ca="1" si="1874">IF(NOT(ISERROR($Y1443)),IF($Y1443&lt;&gt;FALSE,INDEX(Banco,$Y1443,7),0),0)</f>
        <v>150.28</v>
      </c>
      <c r="S1443" s="136" t="s">
        <v>62</v>
      </c>
      <c r="T1443" s="123">
        <f t="shared" ref="T1443:T1445" ca="1" si="1875">IF($J1443=$G$2,ROUND(ROUND($R1443,2)*IF($R$9="Preço Unitário (R$)",1,1+$AA1443),2),0)</f>
        <v>187.85</v>
      </c>
      <c r="U1443" s="126">
        <f t="shared" ref="U1443:U1445" ca="1" si="1876">IF($A1443="S",VTOTAL1,IF($A1443=0,0,ROUND(SomaAgrup,2)))</f>
        <v>1878.5</v>
      </c>
      <c r="V1443" s="1"/>
      <c r="W1443" s="39" t="str">
        <f ca="1">IF(OR($A1443=0,$A1443="S",$A1443&gt;CFF!$A$9),"",MAX(W$11:OFFSET(W1443,-1,0))+1)</f>
        <v/>
      </c>
      <c r="X1443" s="4" t="str">
        <f t="shared" ref="X1443:X1445" si="1877">IF(AND($J1443=$G$2,$N1443&lt;&gt;"",$M1443&lt;&gt;""),CONCATENATE($M1443,"-",$N1443))</f>
        <v>Rec. Humanos-001</v>
      </c>
      <c r="Y1443" s="39">
        <f t="shared" ref="Y1443:Y1445" ca="1" si="1878">IF(X1443&lt;&gt;FALSE,MATCH(X1443,OFFSET(Banco,0,0,,1),0))</f>
        <v>3</v>
      </c>
      <c r="Z1443" s="1"/>
      <c r="AA1443" s="133">
        <f>IF($J1443=$G$2,ROUND(IF(ISNUMBER(S1443),S1443,IF(LEFT(S1443,2)="DI",HLOOKUP(S1443,DADOS!$T$29:$X$30,2,FALSE),0)),4),"")</f>
        <v>0.25</v>
      </c>
      <c r="AB1443" s="2"/>
    </row>
    <row r="1444" spans="1:28">
      <c r="A1444" t="str">
        <f t="shared" si="1864"/>
        <v>S</v>
      </c>
      <c r="B1444">
        <f t="shared" si="1865"/>
        <v>0</v>
      </c>
      <c r="C1444">
        <f t="shared" ca="1" si="1866"/>
        <v>18</v>
      </c>
      <c r="D1444">
        <f t="shared" ca="1" si="1867"/>
        <v>1</v>
      </c>
      <c r="E1444">
        <f t="shared" ca="1" si="1868"/>
        <v>0</v>
      </c>
      <c r="F1444">
        <f t="shared" ca="1" si="1869"/>
        <v>0</v>
      </c>
      <c r="G1444">
        <f t="shared" ca="1" si="1870"/>
        <v>2</v>
      </c>
      <c r="H1444">
        <f ca="1">IF(OR($A1444="S",$A1444=0),0,MATCH(0,OFFSET($B1444,1,$A1444,ROW($A$1504)-ROW($A1444)),0))</f>
        <v>0</v>
      </c>
      <c r="I1444">
        <f ca="1">IF(OR($A1444="S",$A1444=0),0,MATCH(OFFSET($B1444,0,$A1444)+1,OFFSET($B1444,1,$A1444,ROW($A$1504)-ROW($A1444)),0))</f>
        <v>0</v>
      </c>
      <c r="J1444" s="132" t="s">
        <v>29</v>
      </c>
      <c r="K1444" s="121" t="str">
        <f t="shared" ca="1" si="1871"/>
        <v>18.1.2.</v>
      </c>
      <c r="L1444" s="137" t="str">
        <f t="shared" ca="1" si="1872"/>
        <v>CRESS</v>
      </c>
      <c r="M1444" s="122" t="s">
        <v>78</v>
      </c>
      <c r="N1444" s="139" t="s">
        <v>152</v>
      </c>
      <c r="O1444" s="137" t="str">
        <f ca="1">IF(NOT(ISERROR($Y1444)),IF($Y1444&lt;&gt;FALSE,INDEX(Banco,$Y1444,5),""),"")</f>
        <v>Assistente Social</v>
      </c>
      <c r="P1444" s="138" t="str">
        <f t="shared" ca="1" si="1873"/>
        <v>Horas</v>
      </c>
      <c r="Q1444" s="134">
        <v>15</v>
      </c>
      <c r="R1444" s="124">
        <f t="shared" ca="1" si="1874"/>
        <v>133.81</v>
      </c>
      <c r="S1444" s="136" t="s">
        <v>62</v>
      </c>
      <c r="T1444" s="123">
        <f t="shared" ca="1" si="1875"/>
        <v>167.26</v>
      </c>
      <c r="U1444" s="126">
        <f t="shared" ca="1" si="1876"/>
        <v>2508.9</v>
      </c>
      <c r="V1444" s="1"/>
      <c r="W1444" s="39" t="str">
        <f ca="1">IF(OR($A1444=0,$A1444="S",$A1444&gt;CFF!$A$9),"",MAX(W$11:OFFSET(W1444,-1,0))+1)</f>
        <v/>
      </c>
      <c r="X1444" s="4" t="str">
        <f t="shared" si="1877"/>
        <v>Rec. Humanos-002</v>
      </c>
      <c r="Y1444" s="39">
        <f t="shared" ca="1" si="1878"/>
        <v>4</v>
      </c>
      <c r="Z1444" s="1"/>
      <c r="AA1444" s="133">
        <f>IF($J1444=$G$2,ROUND(IF(ISNUMBER(S1444),S1444,IF(LEFT(S1444,2)="DI",HLOOKUP(S1444,DADOS!$T$29:$X$30,2,FALSE),0)),4),"")</f>
        <v>0.25</v>
      </c>
      <c r="AB1444" s="2"/>
    </row>
    <row r="1445" spans="1:28">
      <c r="A1445" t="str">
        <f t="shared" si="1864"/>
        <v>S</v>
      </c>
      <c r="B1445">
        <f t="shared" si="1865"/>
        <v>0</v>
      </c>
      <c r="C1445">
        <f t="shared" ca="1" si="1866"/>
        <v>18</v>
      </c>
      <c r="D1445">
        <f t="shared" ca="1" si="1867"/>
        <v>1</v>
      </c>
      <c r="E1445">
        <f t="shared" ca="1" si="1868"/>
        <v>0</v>
      </c>
      <c r="F1445">
        <f t="shared" ca="1" si="1869"/>
        <v>0</v>
      </c>
      <c r="G1445">
        <f t="shared" ca="1" si="1870"/>
        <v>3</v>
      </c>
      <c r="H1445">
        <f ca="1">IF(OR($A1445="S",$A1445=0),0,MATCH(0,OFFSET($B1445,1,$A1445,ROW($A$1504)-ROW($A1445)),0))</f>
        <v>0</v>
      </c>
      <c r="I1445">
        <f ca="1">IF(OR($A1445="S",$A1445=0),0,MATCH(OFFSET($B1445,0,$A1445)+1,OFFSET($B1445,1,$A1445,ROW($A$1504)-ROW($A1445)),0))</f>
        <v>0</v>
      </c>
      <c r="J1445" s="132" t="s">
        <v>29</v>
      </c>
      <c r="K1445" s="121" t="str">
        <f t="shared" ca="1" si="1871"/>
        <v>18.1.3.</v>
      </c>
      <c r="L1445" s="137" t="str">
        <f t="shared" ca="1" si="1872"/>
        <v>Cotação</v>
      </c>
      <c r="M1445" s="122" t="s">
        <v>78</v>
      </c>
      <c r="N1445" s="139" t="s">
        <v>151</v>
      </c>
      <c r="O1445" s="137" t="str">
        <f ca="1">IF(NOT(ISERROR($Y1445)),IF($Y1445&lt;&gt;FALSE,INDEX(Banco,$Y1445,5),""),"")</f>
        <v xml:space="preserve">Administrador (Técnico de Apoio) </v>
      </c>
      <c r="P1445" s="138" t="str">
        <f t="shared" ca="1" si="1873"/>
        <v>Horas</v>
      </c>
      <c r="Q1445" s="134">
        <v>10</v>
      </c>
      <c r="R1445" s="124">
        <f t="shared" ca="1" si="1874"/>
        <v>103.65</v>
      </c>
      <c r="S1445" s="136" t="s">
        <v>62</v>
      </c>
      <c r="T1445" s="123">
        <f t="shared" ca="1" si="1875"/>
        <v>129.56</v>
      </c>
      <c r="U1445" s="126">
        <f t="shared" ca="1" si="1876"/>
        <v>1295.5999999999999</v>
      </c>
      <c r="V1445" s="1"/>
      <c r="W1445" s="39" t="str">
        <f ca="1">IF(OR($A1445=0,$A1445="S",$A1445&gt;CFF!$A$9),"",MAX(W$11:OFFSET(W1445,-1,0))+1)</f>
        <v/>
      </c>
      <c r="X1445" s="4" t="str">
        <f t="shared" si="1877"/>
        <v>Rec. Humanos-003</v>
      </c>
      <c r="Y1445" s="39">
        <f t="shared" ca="1" si="1878"/>
        <v>5</v>
      </c>
      <c r="Z1445" s="1"/>
      <c r="AA1445" s="133">
        <f>IF($J1445=$G$2,ROUND(IF(ISNUMBER(S1445),S1445,IF(LEFT(S1445,2)="DI",HLOOKUP(S1445,DADOS!$T$29:$X$30,2,FALSE),0)),4),"")</f>
        <v>0.25</v>
      </c>
      <c r="AB1445" s="2"/>
    </row>
    <row r="1446" spans="1:28" ht="14.25" customHeight="1">
      <c r="A1446" t="str">
        <f>CHOOSE(1+LOG(1+2*(J1446=$C$2)+4*(J1446=$D$2)+8*(J1446=$E$2)+16*(J1446=$F$2)+32*(J1446=$G$2),2),0,1,2,3,4,"S")</f>
        <v>S</v>
      </c>
      <c r="B1446">
        <f>IF(OR(A1446="S",A1446=0),0,IF(ISERROR(I1446),H1446,SMALL(H1446:I1446,1)))</f>
        <v>0</v>
      </c>
      <c r="C1446">
        <f ca="1">IF($A1446=1,OFFSET(C1446,-1,0)+1,OFFSET(C1446,-1,0))</f>
        <v>18</v>
      </c>
      <c r="D1446">
        <f ca="1">IF($A1446=1,0,IF($A1446=2,OFFSET(D1446,-1,0)+1,OFFSET(D1446,-1,0)))</f>
        <v>1</v>
      </c>
      <c r="E1446">
        <f ca="1">IF(AND($A1446&lt;=2,$A1446&lt;&gt;0),0,IF($A1446=3,OFFSET(E1446,-1,0)+1,OFFSET(E1446,-1,0)))</f>
        <v>0</v>
      </c>
      <c r="F1446">
        <f ca="1">IF(AND($A1446&lt;=3,$A1446&lt;&gt;0),0,IF($A1446=4,OFFSET(F1446,-1,0)+1,OFFSET(F1446,-1,0)))</f>
        <v>0</v>
      </c>
      <c r="G1446">
        <f ca="1">IF(AND($A1446&lt;=4,$A1446&lt;&gt;0),0,IF($A1446="S",OFFSET(G1446,-1,0)+1,OFFSET(G1446,-1,0)))</f>
        <v>4</v>
      </c>
      <c r="H1446">
        <f ca="1">IF(OR($A1446="S",$A1446=0),0,MATCH(0,OFFSET($B1446,1,$A1446,ROW($A$1504)-ROW($A1446)),0))</f>
        <v>0</v>
      </c>
      <c r="I1446">
        <f ca="1">IF(OR($A1446="S",$A1446=0),0,MATCH(OFFSET($B1446,0,$A1446)+1,OFFSET($B1446,1,$A1446,ROW($A$1504)-ROW($A1446)),0))</f>
        <v>0</v>
      </c>
      <c r="J1446" s="132" t="s">
        <v>29</v>
      </c>
      <c r="K1446" s="121" t="str">
        <f ca="1">IF($A1446=0,"-",CONCATENATE(C1446&amp;".",IF(AND($A$5&gt;=2,$A1446&gt;=2),D1446&amp;".",""),IF(AND($A$5&gt;=3,$A1446&gt;=3),E1446&amp;".",""),IF(AND($A$5&gt;=4,$A1446&gt;=4),F1446&amp;".",""),IF($A1446="S",G1446&amp;".","")))</f>
        <v>18.1.4.</v>
      </c>
      <c r="L1446" s="137" t="str">
        <f ca="1">IF(NOT(ISERROR($Y1446)),IF($Y1446&lt;&gt;FALSE,INDEX(Banco,$Y1446,4),""),"")</f>
        <v>SINE</v>
      </c>
      <c r="M1446" s="122" t="s">
        <v>78</v>
      </c>
      <c r="N1446" s="139" t="s">
        <v>153</v>
      </c>
      <c r="O1446" s="137" t="str">
        <f ca="1">IF(NOT(ISERROR($Y1446)),IF($Y1446&lt;&gt;FALSE,INDEX(Banco,$Y1446,5),""),"")</f>
        <v>Estagiários</v>
      </c>
      <c r="P1446" s="138" t="str">
        <f ca="1">IF(NOT(ISERROR($Y1446)),IF($Y1446&lt;&gt;FALSE,INDEX(Banco,$Y1446,6),""),"")</f>
        <v>Horas</v>
      </c>
      <c r="Q1446" s="134">
        <v>40</v>
      </c>
      <c r="R1446" s="124">
        <f ca="1">IF(NOT(ISERROR($Y1446)),IF($Y1446&lt;&gt;FALSE,INDEX(Banco,$Y1446,7),0),0)</f>
        <v>9.7899999999999991</v>
      </c>
      <c r="S1446" s="136" t="s">
        <v>62</v>
      </c>
      <c r="T1446" s="123">
        <f ca="1">IF($J1446=$G$2,ROUND(ROUND($R1446,2)*IF($R$9="Preço Unitário (R$)",1,1+$AA1446),2),0)</f>
        <v>12.24</v>
      </c>
      <c r="U1446" s="126">
        <f ca="1">IF($A1446="S",VTOTAL1,IF($A1446=0,0,ROUND(SomaAgrup,2)))</f>
        <v>489.6</v>
      </c>
      <c r="V1446" s="1"/>
      <c r="W1446" s="39" t="str">
        <f ca="1">IF(OR($A1446=0,$A1446="S",$A1446&gt;CFF!$A$9),"",MAX(W$11:OFFSET(W1446,-1,0))+1)</f>
        <v/>
      </c>
      <c r="X1446" s="4" t="str">
        <f>IF(AND($J1446=$G$2,$N1446&lt;&gt;"",$M1446&lt;&gt;""),CONCATENATE($M1446,"-",$N1446))</f>
        <v>Rec. Humanos-004</v>
      </c>
      <c r="Y1446" s="39">
        <f ca="1">IF(X1446&lt;&gt;FALSE,MATCH(X1446,OFFSET(Banco,0,0,,1),0))</f>
        <v>6</v>
      </c>
      <c r="Z1446" s="1"/>
      <c r="AA1446" s="133">
        <f>IF($J1446=$G$2,ROUND(IF(ISNUMBER(S1446),S1446,IF(LEFT(S1446,2)="DI",HLOOKUP(S1446,DADOS!$T$29:$X$30,2,FALSE),0)),4),"")</f>
        <v>0.25</v>
      </c>
      <c r="AB1446" s="2"/>
    </row>
    <row r="1447" spans="1:28">
      <c r="A1447">
        <f>CHOOSE(1+LOG(1+2*(J1447=$C$2)+4*(J1447=$D$2)+8*(J1447=$E$2)+16*(J1447=$F$2)+32*(J1447=$G$2),2),0,1,2,3,4,"S")</f>
        <v>2</v>
      </c>
      <c r="B1447">
        <f ca="1">IF(OR(A1447="S",A1447=0),0,IF(ISERROR(I1447),H1447,SMALL(H1447:I1447,1)))</f>
        <v>25</v>
      </c>
      <c r="C1447">
        <f ca="1">IF($A1447=1,OFFSET(C1447,-1,0)+1,OFFSET(C1447,-1,0))</f>
        <v>18</v>
      </c>
      <c r="D1447">
        <f ca="1">IF($A1447=1,0,IF($A1447=2,OFFSET(D1447,-1,0)+1,OFFSET(D1447,-1,0)))</f>
        <v>2</v>
      </c>
      <c r="E1447">
        <f ca="1">IF(AND($A1447&lt;=2,$A1447&lt;&gt;0),0,IF($A1447=3,OFFSET(E1447,-1,0)+1,OFFSET(E1447,-1,0)))</f>
        <v>0</v>
      </c>
      <c r="F1447">
        <f ca="1">IF(AND($A1447&lt;=3,$A1447&lt;&gt;0),0,IF($A1447=4,OFFSET(F1447,-1,0)+1,OFFSET(F1447,-1,0)))</f>
        <v>0</v>
      </c>
      <c r="G1447">
        <f ca="1">IF(AND($A1447&lt;=4,$A1447&lt;&gt;0),0,IF($A1447="S",OFFSET(G1447,-1,0)+1,OFFSET(G1447,-1,0)))</f>
        <v>0</v>
      </c>
      <c r="H1447">
        <f ca="1">IF(OR($A1447="S",$A1447=0),0,MATCH(0,OFFSET($B1447,1,$A1447,ROW($A$1504)-ROW($A1447)),0))</f>
        <v>57</v>
      </c>
      <c r="I1447">
        <f ca="1">IF(OR($A1447="S",$A1447=0),0,MATCH(OFFSET($B1447,0,$A1447)+1,OFFSET($B1447,1,$A1447,ROW($A$1504)-ROW($A1447)),0))</f>
        <v>25</v>
      </c>
      <c r="J1447" s="132" t="s">
        <v>68</v>
      </c>
      <c r="K1447" s="121" t="str">
        <f ca="1">IF($A1447=0,"-",CONCATENATE(C1447&amp;".",IF(AND($A$5&gt;=2,$A1447&gt;=2),D1447&amp;".",""),IF(AND($A$5&gt;=3,$A1447&gt;=3),E1447&amp;".",""),IF(AND($A$5&gt;=4,$A1447&gt;=4),F1447&amp;".",""),IF($A1447="S",G1447&amp;".","")))</f>
        <v>18.2.</v>
      </c>
      <c r="L1447" s="137" t="str">
        <f ca="1">IF(NOT(ISERROR($Y1447)),IF($Y1447&lt;&gt;FALSE,INDEX(Banco,$Y1447,4),""),"")</f>
        <v/>
      </c>
      <c r="M1447" s="122"/>
      <c r="N1447" s="139"/>
      <c r="O1447" s="137" t="s">
        <v>463</v>
      </c>
      <c r="P1447" s="138" t="str">
        <f ca="1">IF(NOT(ISERROR($Y1447)),IF($Y1447&lt;&gt;FALSE,INDEX(Banco,$Y1447,6),""),"")</f>
        <v/>
      </c>
      <c r="Q1447" s="134"/>
      <c r="R1447" s="124">
        <f ca="1">IF(NOT(ISERROR($Y1447)),IF($Y1447&lt;&gt;FALSE,INDEX(Banco,$Y1447,7),0),0)</f>
        <v>0</v>
      </c>
      <c r="S1447" s="136" t="s">
        <v>62</v>
      </c>
      <c r="T1447" s="123">
        <f>IF($J1447=$G$2,ROUND(ROUND($R1447,2)*IF($R$9="Preço Unitário (R$)",1,1+$AA1447),2),0)</f>
        <v>0</v>
      </c>
      <c r="U1447" s="126">
        <f ca="1">IF($A1447="S",VTOTAL1,IF($A1447=0,0,ROUND(SomaAgrup,2)))</f>
        <v>12743.66</v>
      </c>
      <c r="V1447" s="1"/>
      <c r="W1447" s="39">
        <f ca="1">IF(OR($A1447=0,$A1447="S",$A1447&gt;CFF!$A$9),"",MAX(W$11:OFFSET(W1447,-1,0))+1)</f>
        <v>132</v>
      </c>
      <c r="X1447" s="4" t="b">
        <f>IF(AND($J1447=$G$2,$N1447&lt;&gt;"",$M1447&lt;&gt;""),CONCATENATE($M1447,"-",$N1447))</f>
        <v>0</v>
      </c>
      <c r="Y1447" s="39" t="b">
        <f ca="1">IF(X1447&lt;&gt;FALSE,MATCH(X1447,OFFSET(Banco,0,0,,1),0))</f>
        <v>0</v>
      </c>
      <c r="Z1447" s="1"/>
      <c r="AA1447" s="133" t="str">
        <f>IF($J1447=$G$2,ROUND(IF(ISNUMBER(S1447),S1447,IF(LEFT(S1447,2)="DI",HLOOKUP(S1447,DADOS!$T$29:$X$30,2,FALSE),0)),4),"")</f>
        <v/>
      </c>
      <c r="AB1447" s="2"/>
    </row>
    <row r="1448" spans="1:28">
      <c r="A1448" t="str">
        <f t="shared" ref="A1448:A1465" si="1879">CHOOSE(1+LOG(1+2*(J1448=$C$2)+4*(J1448=$D$2)+8*(J1448=$E$2)+16*(J1448=$F$2)+32*(J1448=$G$2),2),0,1,2,3,4,"S")</f>
        <v>S</v>
      </c>
      <c r="B1448">
        <f t="shared" ref="B1448:B1465" si="1880">IF(OR(A1448="S",A1448=0),0,IF(ISERROR(I1448),H1448,SMALL(H1448:I1448,1)))</f>
        <v>0</v>
      </c>
      <c r="C1448">
        <f ca="1">IF($A1448=1,OFFSET(C1448,-1,0)+1,OFFSET(C1448,-1,0))</f>
        <v>18</v>
      </c>
      <c r="D1448">
        <f ca="1">IF($A1448=1,0,IF($A1448=2,OFFSET(D1448,-1,0)+1,OFFSET(D1448,-1,0)))</f>
        <v>2</v>
      </c>
      <c r="E1448">
        <f ca="1">IF(AND($A1448&lt;=2,$A1448&lt;&gt;0),0,IF($A1448=3,OFFSET(E1448,-1,0)+1,OFFSET(E1448,-1,0)))</f>
        <v>0</v>
      </c>
      <c r="F1448">
        <f ca="1">IF(AND($A1448&lt;=3,$A1448&lt;&gt;0),0,IF($A1448=4,OFFSET(F1448,-1,0)+1,OFFSET(F1448,-1,0)))</f>
        <v>0</v>
      </c>
      <c r="G1448">
        <f ca="1">IF(AND($A1448&lt;=4,$A1448&lt;&gt;0),0,IF($A1448="S",OFFSET(G1448,-1,0)+1,OFFSET(G1448,-1,0)))</f>
        <v>1</v>
      </c>
      <c r="H1448">
        <f ca="1">IF(OR($A1448="S",$A1448=0),0,MATCH(0,OFFSET($B1448,1,$A1448,ROW($A$1504)-ROW($A1448)),0))</f>
        <v>0</v>
      </c>
      <c r="I1448">
        <f ca="1">IF(OR($A1448="S",$A1448=0),0,MATCH(OFFSET($B1448,0,$A1448)+1,OFFSET($B1448,1,$A1448,ROW($A$1504)-ROW($A1448)),0))</f>
        <v>0</v>
      </c>
      <c r="J1448" s="132" t="s">
        <v>29</v>
      </c>
      <c r="K1448" s="121" t="str">
        <f ca="1">IF($A1448=0,"-",CONCATENATE(C1448&amp;".",IF(AND($A$5&gt;=2,$A1448&gt;=2),D1448&amp;".",""),IF(AND($A$5&gt;=3,$A1448&gt;=3),E1448&amp;".",""),IF(AND($A$5&gt;=4,$A1448&gt;=4),F1448&amp;".",""),IF($A1448="S",G1448&amp;".","")))</f>
        <v>18.2.1.</v>
      </c>
      <c r="L1448" s="137" t="str">
        <f ca="1">IF(NOT(ISERROR($Y1448)),IF($Y1448&lt;&gt;FALSE,INDEX(Banco,$Y1448,4),""),"")</f>
        <v>CRESS</v>
      </c>
      <c r="M1448" s="122" t="s">
        <v>78</v>
      </c>
      <c r="N1448" s="139" t="s">
        <v>149</v>
      </c>
      <c r="O1448" s="137" t="str">
        <f ca="1">IF(NOT(ISERROR($Y1448)),IF($Y1448&lt;&gt;FALSE,INDEX(Banco,$Y1448,5),""),"")</f>
        <v>Responsável Técnica</v>
      </c>
      <c r="P1448" s="138" t="str">
        <f ca="1">IF(NOT(ISERROR($Y1448)),IF($Y1448&lt;&gt;FALSE,INDEX(Banco,$Y1448,6),""),"")</f>
        <v>Horas</v>
      </c>
      <c r="Q1448" s="134">
        <v>8</v>
      </c>
      <c r="R1448" s="124">
        <f ca="1">IF(NOT(ISERROR($Y1448)),IF($Y1448&lt;&gt;FALSE,INDEX(Banco,$Y1448,7),0),0)</f>
        <v>150.28</v>
      </c>
      <c r="S1448" s="136" t="s">
        <v>62</v>
      </c>
      <c r="T1448" s="123">
        <f ca="1">IF($J1448=$G$2,ROUND(ROUND($R1448,2)*IF($R$9="Preço Unitário (R$)",1,1+$AA1448),2),0)</f>
        <v>187.85</v>
      </c>
      <c r="U1448" s="126">
        <f ca="1">IF($A1448="S",VTOTAL1,IF($A1448=0,0,ROUND(SomaAgrup,2)))</f>
        <v>1502.8</v>
      </c>
      <c r="V1448" s="1"/>
      <c r="W1448" s="39" t="str">
        <f ca="1">IF(OR($A1448=0,$A1448="S",$A1448&gt;CFF!$A$9),"",MAX(W$11:OFFSET(W1448,-1,0))+1)</f>
        <v/>
      </c>
      <c r="X1448" s="4" t="str">
        <f>IF(AND($J1448=$G$2,$N1448&lt;&gt;"",$M1448&lt;&gt;""),CONCATENATE($M1448,"-",$N1448))</f>
        <v>Rec. Humanos-001</v>
      </c>
      <c r="Y1448" s="39">
        <f t="shared" ref="Y1448:Y1465" ca="1" si="1881">IF(X1448&lt;&gt;FALSE,MATCH(X1448,OFFSET(Banco,0,0,,1),0))</f>
        <v>3</v>
      </c>
      <c r="Z1448" s="1"/>
      <c r="AA1448" s="133">
        <f>IF($J1448=$G$2,ROUND(IF(ISNUMBER(S1448),S1448,IF(LEFT(S1448,2)="DI",HLOOKUP(S1448,DADOS!$T$29:$X$30,2,FALSE),0)),4),"")</f>
        <v>0.25</v>
      </c>
      <c r="AB1448" s="2"/>
    </row>
    <row r="1449" spans="1:28">
      <c r="A1449" t="str">
        <f t="shared" si="1879"/>
        <v>S</v>
      </c>
      <c r="B1449">
        <f t="shared" si="1880"/>
        <v>0</v>
      </c>
      <c r="C1449">
        <f ca="1">IF($A1449=1,OFFSET(C1449,-1,0)+1,OFFSET(C1449,-1,0))</f>
        <v>18</v>
      </c>
      <c r="D1449">
        <f ca="1">IF($A1449=1,0,IF($A1449=2,OFFSET(D1449,-1,0)+1,OFFSET(D1449,-1,0)))</f>
        <v>2</v>
      </c>
      <c r="E1449">
        <f ca="1">IF(AND($A1449&lt;=2,$A1449&lt;&gt;0),0,IF($A1449=3,OFFSET(E1449,-1,0)+1,OFFSET(E1449,-1,0)))</f>
        <v>0</v>
      </c>
      <c r="F1449">
        <f ca="1">IF(AND($A1449&lt;=3,$A1449&lt;&gt;0),0,IF($A1449=4,OFFSET(F1449,-1,0)+1,OFFSET(F1449,-1,0)))</f>
        <v>0</v>
      </c>
      <c r="G1449">
        <f ca="1">IF(AND($A1449&lt;=4,$A1449&lt;&gt;0),0,IF($A1449="S",OFFSET(G1449,-1,0)+1,OFFSET(G1449,-1,0)))</f>
        <v>2</v>
      </c>
      <c r="H1449">
        <f ca="1">IF(OR($A1449="S",$A1449=0),0,MATCH(0,OFFSET($B1449,1,$A1449,ROW($A$1504)-ROW($A1449)),0))</f>
        <v>0</v>
      </c>
      <c r="I1449">
        <f ca="1">IF(OR($A1449="S",$A1449=0),0,MATCH(OFFSET($B1449,0,$A1449)+1,OFFSET($B1449,1,$A1449,ROW($A$1504)-ROW($A1449)),0))</f>
        <v>0</v>
      </c>
      <c r="J1449" s="132" t="s">
        <v>29</v>
      </c>
      <c r="K1449" s="121" t="str">
        <f ca="1">IF($A1449=0,"-",CONCATENATE(C1449&amp;".",IF(AND($A$5&gt;=2,$A1449&gt;=2),D1449&amp;".",""),IF(AND($A$5&gt;=3,$A1449&gt;=3),E1449&amp;".",""),IF(AND($A$5&gt;=4,$A1449&gt;=4),F1449&amp;".",""),IF($A1449="S",G1449&amp;".","")))</f>
        <v>18.2.2.</v>
      </c>
      <c r="L1449" s="137" t="str">
        <f ca="1">IF(NOT(ISERROR($Y1449)),IF($Y1449&lt;&gt;FALSE,INDEX(Banco,$Y1449,4),""),"")</f>
        <v>CRESS</v>
      </c>
      <c r="M1449" s="122" t="s">
        <v>78</v>
      </c>
      <c r="N1449" s="139" t="s">
        <v>152</v>
      </c>
      <c r="O1449" s="137" t="str">
        <f ca="1">IF(NOT(ISERROR($Y1449)),IF($Y1449&lt;&gt;FALSE,INDEX(Banco,$Y1449,5),""),"")</f>
        <v>Assistente Social</v>
      </c>
      <c r="P1449" s="138" t="str">
        <f ca="1">IF(NOT(ISERROR($Y1449)),IF($Y1449&lt;&gt;FALSE,INDEX(Banco,$Y1449,6),""),"")</f>
        <v>Horas</v>
      </c>
      <c r="Q1449" s="134">
        <v>14</v>
      </c>
      <c r="R1449" s="124">
        <f ca="1">IF(NOT(ISERROR($Y1449)),IF($Y1449&lt;&gt;FALSE,INDEX(Banco,$Y1449,7),0),0)</f>
        <v>133.81</v>
      </c>
      <c r="S1449" s="136" t="s">
        <v>62</v>
      </c>
      <c r="T1449" s="123">
        <f ca="1">IF($J1449=$G$2,ROUND(ROUND($R1449,2)*IF($R$9="Preço Unitário (R$)",1,1+$AA1449),2),0)</f>
        <v>167.26</v>
      </c>
      <c r="U1449" s="126">
        <f ca="1">IF($A1449="S",VTOTAL1,IF($A1449=0,0,ROUND(SomaAgrup,2)))</f>
        <v>2341.64</v>
      </c>
      <c r="V1449" s="1"/>
      <c r="W1449" s="39" t="str">
        <f ca="1">IF(OR($A1449=0,$A1449="S",$A1449&gt;CFF!$A$9),"",MAX(W$11:OFFSET(W1449,-1,0))+1)</f>
        <v/>
      </c>
      <c r="X1449" s="4" t="str">
        <f>IF(AND($J1449=$G$2,$N1449&lt;&gt;"",$M1449&lt;&gt;""),CONCATENATE($M1449,"-",$N1449))</f>
        <v>Rec. Humanos-002</v>
      </c>
      <c r="Y1449" s="39">
        <f t="shared" ca="1" si="1881"/>
        <v>4</v>
      </c>
      <c r="Z1449" s="1"/>
      <c r="AA1449" s="133">
        <f>IF($J1449=$G$2,ROUND(IF(ISNUMBER(S1449),S1449,IF(LEFT(S1449,2)="DI",HLOOKUP(S1449,DADOS!$T$29:$X$30,2,FALSE),0)),4),"")</f>
        <v>0.25</v>
      </c>
      <c r="AB1449" s="2"/>
    </row>
    <row r="1450" spans="1:28">
      <c r="A1450" t="str">
        <f t="shared" si="1879"/>
        <v>S</v>
      </c>
      <c r="B1450">
        <f t="shared" si="1880"/>
        <v>0</v>
      </c>
      <c r="C1450">
        <f ca="1">IF($A1450=1,OFFSET(C1450,-1,0)+1,OFFSET(C1450,-1,0))</f>
        <v>18</v>
      </c>
      <c r="D1450">
        <f ca="1">IF($A1450=1,0,IF($A1450=2,OFFSET(D1450,-1,0)+1,OFFSET(D1450,-1,0)))</f>
        <v>2</v>
      </c>
      <c r="E1450">
        <f ca="1">IF(AND($A1450&lt;=2,$A1450&lt;&gt;0),0,IF($A1450=3,OFFSET(E1450,-1,0)+1,OFFSET(E1450,-1,0)))</f>
        <v>0</v>
      </c>
      <c r="F1450">
        <f ca="1">IF(AND($A1450&lt;=3,$A1450&lt;&gt;0),0,IF($A1450=4,OFFSET(F1450,-1,0)+1,OFFSET(F1450,-1,0)))</f>
        <v>0</v>
      </c>
      <c r="G1450">
        <f ca="1">IF(AND($A1450&lt;=4,$A1450&lt;&gt;0),0,IF($A1450="S",OFFSET(G1450,-1,0)+1,OFFSET(G1450,-1,0)))</f>
        <v>3</v>
      </c>
      <c r="H1450">
        <f ca="1">IF(OR($A1450="S",$A1450=0),0,MATCH(0,OFFSET($B1450,1,$A1450,ROW($A$1504)-ROW($A1450)),0))</f>
        <v>0</v>
      </c>
      <c r="I1450">
        <f ca="1">IF(OR($A1450="S",$A1450=0),0,MATCH(OFFSET($B1450,0,$A1450)+1,OFFSET($B1450,1,$A1450,ROW($A$1504)-ROW($A1450)),0))</f>
        <v>0</v>
      </c>
      <c r="J1450" s="132" t="s">
        <v>29</v>
      </c>
      <c r="K1450" s="121" t="str">
        <f ca="1">IF($A1450=0,"-",CONCATENATE(C1450&amp;".",IF(AND($A$5&gt;=2,$A1450&gt;=2),D1450&amp;".",""),IF(AND($A$5&gt;=3,$A1450&gt;=3),E1450&amp;".",""),IF(AND($A$5&gt;=4,$A1450&gt;=4),F1450&amp;".",""),IF($A1450="S",G1450&amp;".","")))</f>
        <v>18.2.3.</v>
      </c>
      <c r="L1450" s="137" t="str">
        <f ca="1">IF(NOT(ISERROR($Y1450)),IF($Y1450&lt;&gt;FALSE,INDEX(Banco,$Y1450,4),""),"")</f>
        <v>Cotação</v>
      </c>
      <c r="M1450" s="122" t="s">
        <v>78</v>
      </c>
      <c r="N1450" s="139" t="s">
        <v>151</v>
      </c>
      <c r="O1450" s="137" t="str">
        <f ca="1">IF(NOT(ISERROR($Y1450)),IF($Y1450&lt;&gt;FALSE,INDEX(Banco,$Y1450,5),""),"")</f>
        <v xml:space="preserve">Administrador (Técnico de Apoio) </v>
      </c>
      <c r="P1450" s="138" t="str">
        <f ca="1">IF(NOT(ISERROR($Y1450)),IF($Y1450&lt;&gt;FALSE,INDEX(Banco,$Y1450,6),""),"")</f>
        <v>Horas</v>
      </c>
      <c r="Q1450" s="134">
        <v>6</v>
      </c>
      <c r="R1450" s="124">
        <f ca="1">IF(NOT(ISERROR($Y1450)),IF($Y1450&lt;&gt;FALSE,INDEX(Banco,$Y1450,7),0),0)</f>
        <v>103.65</v>
      </c>
      <c r="S1450" s="136" t="s">
        <v>62</v>
      </c>
      <c r="T1450" s="123">
        <f ca="1">IF($J1450=$G$2,ROUND(ROUND($R1450,2)*IF($R$9="Preço Unitário (R$)",1,1+$AA1450),2),0)</f>
        <v>129.56</v>
      </c>
      <c r="U1450" s="126">
        <f ca="1">IF($A1450="S",VTOTAL1,IF($A1450=0,0,ROUND(SomaAgrup,2)))</f>
        <v>777.36</v>
      </c>
      <c r="V1450" s="1"/>
      <c r="W1450" s="39" t="str">
        <f ca="1">IF(OR($A1450=0,$A1450="S",$A1450&gt;CFF!$A$9),"",MAX(W$11:OFFSET(W1450,-1,0))+1)</f>
        <v/>
      </c>
      <c r="X1450" s="4" t="str">
        <f>IF(AND($J1450=$G$2,$N1450&lt;&gt;"",$M1450&lt;&gt;""),CONCATENATE($M1450,"-",$N1450))</f>
        <v>Rec. Humanos-003</v>
      </c>
      <c r="Y1450" s="39">
        <f t="shared" ca="1" si="1881"/>
        <v>5</v>
      </c>
      <c r="Z1450" s="1"/>
      <c r="AA1450" s="133">
        <f>IF($J1450=$G$2,ROUND(IF(ISNUMBER(S1450),S1450,IF(LEFT(S1450,2)="DI",HLOOKUP(S1450,DADOS!$T$29:$X$30,2,FALSE),0)),4),"")</f>
        <v>0.25</v>
      </c>
      <c r="AB1450" s="2"/>
    </row>
    <row r="1451" spans="1:28">
      <c r="A1451" t="str">
        <f t="shared" si="1879"/>
        <v>S</v>
      </c>
      <c r="B1451">
        <f t="shared" si="1880"/>
        <v>0</v>
      </c>
      <c r="C1451">
        <f ca="1">IF($A1451=1,OFFSET(C1451,-1,0)+1,OFFSET(C1451,-1,0))</f>
        <v>18</v>
      </c>
      <c r="D1451">
        <f ca="1">IF($A1451=1,0,IF($A1451=2,OFFSET(D1451,-1,0)+1,OFFSET(D1451,-1,0)))</f>
        <v>2</v>
      </c>
      <c r="E1451">
        <f ca="1">IF(AND($A1451&lt;=2,$A1451&lt;&gt;0),0,IF($A1451=3,OFFSET(E1451,-1,0)+1,OFFSET(E1451,-1,0)))</f>
        <v>0</v>
      </c>
      <c r="F1451">
        <f ca="1">IF(AND($A1451&lt;=3,$A1451&lt;&gt;0),0,IF($A1451=4,OFFSET(F1451,-1,0)+1,OFFSET(F1451,-1,0)))</f>
        <v>0</v>
      </c>
      <c r="G1451">
        <f ca="1">IF(AND($A1451&lt;=4,$A1451&lt;&gt;0),0,IF($A1451="S",OFFSET(G1451,-1,0)+1,OFFSET(G1451,-1,0)))</f>
        <v>4</v>
      </c>
      <c r="H1451">
        <f ca="1">IF(OR($A1451="S",$A1451=0),0,MATCH(0,OFFSET($B1451,1,$A1451,ROW($A$1504)-ROW($A1451)),0))</f>
        <v>0</v>
      </c>
      <c r="I1451">
        <f ca="1">IF(OR($A1451="S",$A1451=0),0,MATCH(OFFSET($B1451,0,$A1451)+1,OFFSET($B1451,1,$A1451,ROW($A$1504)-ROW($A1451)),0))</f>
        <v>0</v>
      </c>
      <c r="J1451" s="132" t="s">
        <v>29</v>
      </c>
      <c r="K1451" s="121" t="str">
        <f ca="1">IF($A1451=0,"-",CONCATENATE(C1451&amp;".",IF(AND($A$5&gt;=2,$A1451&gt;=2),D1451&amp;".",""),IF(AND($A$5&gt;=3,$A1451&gt;=3),E1451&amp;".",""),IF(AND($A$5&gt;=4,$A1451&gt;=4),F1451&amp;".",""),IF($A1451="S",G1451&amp;".","")))</f>
        <v>18.2.4.</v>
      </c>
      <c r="L1451" s="137" t="str">
        <f ca="1">IF(NOT(ISERROR($Y1451)),IF($Y1451&lt;&gt;FALSE,INDEX(Banco,$Y1451,4),""),"")</f>
        <v>SINE</v>
      </c>
      <c r="M1451" s="122" t="s">
        <v>78</v>
      </c>
      <c r="N1451" s="139" t="s">
        <v>153</v>
      </c>
      <c r="O1451" s="137" t="str">
        <f ca="1">IF(NOT(ISERROR($Y1451)),IF($Y1451&lt;&gt;FALSE,INDEX(Banco,$Y1451,5),""),"")</f>
        <v>Estagiários</v>
      </c>
      <c r="P1451" s="138" t="str">
        <f ca="1">IF(NOT(ISERROR($Y1451)),IF($Y1451&lt;&gt;FALSE,INDEX(Banco,$Y1451,6),""),"")</f>
        <v>Horas</v>
      </c>
      <c r="Q1451" s="134">
        <v>16</v>
      </c>
      <c r="R1451" s="124">
        <f ca="1">IF(NOT(ISERROR($Y1451)),IF($Y1451&lt;&gt;FALSE,INDEX(Banco,$Y1451,7),0),0)</f>
        <v>9.7899999999999991</v>
      </c>
      <c r="S1451" s="136" t="s">
        <v>62</v>
      </c>
      <c r="T1451" s="123">
        <f ca="1">IF($J1451=$G$2,ROUND(ROUND($R1451,2)*IF($R$9="Preço Unitário (R$)",1,1+$AA1451),2),0)</f>
        <v>12.24</v>
      </c>
      <c r="U1451" s="126">
        <f ca="1">IF($A1451="S",VTOTAL1,IF($A1451=0,0,ROUND(SomaAgrup,2)))</f>
        <v>195.84</v>
      </c>
      <c r="V1451" s="1"/>
      <c r="W1451" s="39" t="str">
        <f ca="1">IF(OR($A1451=0,$A1451="S",$A1451&gt;CFF!$A$9),"",MAX(W$11:OFFSET(W1451,-1,0))+1)</f>
        <v/>
      </c>
      <c r="X1451" s="4" t="str">
        <f>IF(AND($J1451=$G$2,$N1451&lt;&gt;"",$M1451&lt;&gt;""),CONCATENATE($M1451,"-",$N1451))</f>
        <v>Rec. Humanos-004</v>
      </c>
      <c r="Y1451" s="39">
        <f t="shared" ca="1" si="1881"/>
        <v>6</v>
      </c>
      <c r="Z1451" s="1"/>
      <c r="AA1451" s="133">
        <f>IF($J1451=$G$2,ROUND(IF(ISNUMBER(S1451),S1451,IF(LEFT(S1451,2)="DI",HLOOKUP(S1451,DADOS!$T$29:$X$30,2,FALSE),0)),4),"")</f>
        <v>0.25</v>
      </c>
      <c r="AB1451" s="2"/>
    </row>
    <row r="1452" spans="1:28">
      <c r="A1452" t="str">
        <f t="shared" si="1879"/>
        <v>S</v>
      </c>
      <c r="B1452">
        <f t="shared" si="1880"/>
        <v>0</v>
      </c>
      <c r="C1452">
        <f ca="1">IF($A1452=1,OFFSET(C1452,-1,0)+1,OFFSET(C1452,-1,0))</f>
        <v>18</v>
      </c>
      <c r="D1452">
        <f ca="1">IF($A1452=1,0,IF($A1452=2,OFFSET(D1452,-1,0)+1,OFFSET(D1452,-1,0)))</f>
        <v>2</v>
      </c>
      <c r="E1452">
        <f ca="1">IF(AND($A1452&lt;=2,$A1452&lt;&gt;0),0,IF($A1452=3,OFFSET(E1452,-1,0)+1,OFFSET(E1452,-1,0)))</f>
        <v>0</v>
      </c>
      <c r="F1452">
        <f ca="1">IF(AND($A1452&lt;=3,$A1452&lt;&gt;0),0,IF($A1452=4,OFFSET(F1452,-1,0)+1,OFFSET(F1452,-1,0)))</f>
        <v>0</v>
      </c>
      <c r="G1452">
        <f ca="1">IF(AND($A1452&lt;=4,$A1452&lt;&gt;0),0,IF($A1452="S",OFFSET(G1452,-1,0)+1,OFFSET(G1452,-1,0)))</f>
        <v>5</v>
      </c>
      <c r="H1452">
        <f ca="1">IF(OR($A1452="S",$A1452=0),0,MATCH(0,OFFSET($B1452,1,$A1452,ROW($A$1504)-ROW($A1452)),0))</f>
        <v>0</v>
      </c>
      <c r="I1452">
        <f ca="1">IF(OR($A1452="S",$A1452=0),0,MATCH(OFFSET($B1452,0,$A1452)+1,OFFSET($B1452,1,$A1452,ROW($A$1504)-ROW($A1452)),0))</f>
        <v>0</v>
      </c>
      <c r="J1452" s="132" t="s">
        <v>29</v>
      </c>
      <c r="K1452" s="121" t="str">
        <f ca="1">IF($A1452=0,"-",CONCATENATE(C1452&amp;".",IF(AND($A$5&gt;=2,$A1452&gt;=2),D1452&amp;".",""),IF(AND($A$5&gt;=3,$A1452&gt;=3),E1452&amp;".",""),IF(AND($A$5&gt;=4,$A1452&gt;=4),F1452&amp;".",""),IF($A1452="S",G1452&amp;".","")))</f>
        <v>18.2.5.</v>
      </c>
      <c r="L1452" s="137" t="str">
        <f ca="1">IF(NOT(ISERROR($Y1452)),IF($Y1452&lt;&gt;FALSE,INDEX(Banco,$Y1452,4),""),"")</f>
        <v>Cotação</v>
      </c>
      <c r="M1452" s="122" t="s">
        <v>80</v>
      </c>
      <c r="N1452" s="139" t="s">
        <v>149</v>
      </c>
      <c r="O1452" s="137" t="str">
        <f ca="1">IF(NOT(ISERROR($Y1452)),IF($Y1452&lt;&gt;FALSE,INDEX(Banco,$Y1452,5),""),"")</f>
        <v>Fotocópias</v>
      </c>
      <c r="P1452" s="138" t="str">
        <f ca="1">IF(NOT(ISERROR($Y1452)),IF($Y1452&lt;&gt;FALSE,INDEX(Banco,$Y1452,6),""),"")</f>
        <v>Unidade</v>
      </c>
      <c r="Q1452" s="134">
        <v>288</v>
      </c>
      <c r="R1452" s="124">
        <f ca="1">IF(NOT(ISERROR($Y1452)),IF($Y1452&lt;&gt;FALSE,INDEX(Banco,$Y1452,7),0),0)</f>
        <v>0.3</v>
      </c>
      <c r="S1452" s="136" t="s">
        <v>62</v>
      </c>
      <c r="T1452" s="123">
        <f ca="1">IF($J1452=$G$2,ROUND(ROUND($R1452,2)*IF($R$9="Preço Unitário (R$)",1,1+$AA1452),2),0)</f>
        <v>0.38</v>
      </c>
      <c r="U1452" s="126">
        <f ca="1">IF($A1452="S",VTOTAL1,IF($A1452=0,0,ROUND(SomaAgrup,2)))</f>
        <v>109.44</v>
      </c>
      <c r="V1452" s="1"/>
      <c r="W1452" s="39" t="str">
        <f ca="1">IF(OR($A1452=0,$A1452="S",$A1452&gt;CFF!$A$9),"",MAX(W$11:OFFSET(W1452,-1,0))+1)</f>
        <v/>
      </c>
      <c r="X1452" s="4" t="str">
        <f>IF(AND($J1452=$G$2,$N1452&lt;&gt;"",$M1452&lt;&gt;""),CONCATENATE($M1452,"-",$N1452))</f>
        <v>Serv. Terc.-001</v>
      </c>
      <c r="Y1452" s="39">
        <f t="shared" ca="1" si="1881"/>
        <v>81</v>
      </c>
      <c r="Z1452" s="1"/>
      <c r="AA1452" s="133">
        <f>IF($J1452=$G$2,ROUND(IF(ISNUMBER(S1452),S1452,IF(LEFT(S1452,2)="DI",HLOOKUP(S1452,DADOS!$T$29:$X$30,2,FALSE),0)),4),"")</f>
        <v>0.25</v>
      </c>
      <c r="AB1452" s="2"/>
    </row>
    <row r="1453" spans="1:28">
      <c r="A1453" t="str">
        <f>CHOOSE(1+LOG(1+2*(J1453=$C$2)+4*(J1453=$D$2)+8*(J1453=$E$2)+16*(J1453=$F$2)+32*(J1453=$G$2),2),0,1,2,3,4,"S")</f>
        <v>S</v>
      </c>
      <c r="B1453">
        <f>IF(OR(A1453="S",A1453=0),0,IF(ISERROR(I1453),H1453,SMALL(H1453:I1453,1)))</f>
        <v>0</v>
      </c>
      <c r="C1453">
        <f ca="1">IF($A1453=1,OFFSET(C1453,-1,0)+1,OFFSET(C1453,-1,0))</f>
        <v>18</v>
      </c>
      <c r="D1453">
        <f ca="1">IF($A1453=1,0,IF($A1453=2,OFFSET(D1453,-1,0)+1,OFFSET(D1453,-1,0)))</f>
        <v>2</v>
      </c>
      <c r="E1453">
        <f ca="1">IF(AND($A1453&lt;=2,$A1453&lt;&gt;0),0,IF($A1453=3,OFFSET(E1453,-1,0)+1,OFFSET(E1453,-1,0)))</f>
        <v>0</v>
      </c>
      <c r="F1453">
        <f ca="1">IF(AND($A1453&lt;=3,$A1453&lt;&gt;0),0,IF($A1453=4,OFFSET(F1453,-1,0)+1,OFFSET(F1453,-1,0)))</f>
        <v>0</v>
      </c>
      <c r="G1453">
        <f ca="1">IF(AND($A1453&lt;=4,$A1453&lt;&gt;0),0,IF($A1453="S",OFFSET(G1453,-1,0)+1,OFFSET(G1453,-1,0)))</f>
        <v>6</v>
      </c>
      <c r="H1453">
        <f ca="1">IF(OR($A1453="S",$A1453=0),0,MATCH(0,OFFSET($B1453,1,$A1453,ROW($A$1504)-ROW($A1453)),0))</f>
        <v>0</v>
      </c>
      <c r="I1453">
        <f ca="1">IF(OR($A1453="S",$A1453=0),0,MATCH(OFFSET($B1453,0,$A1453)+1,OFFSET($B1453,1,$A1453,ROW($A$1504)-ROW($A1453)),0))</f>
        <v>0</v>
      </c>
      <c r="J1453" s="132" t="s">
        <v>29</v>
      </c>
      <c r="K1453" s="121" t="str">
        <f ca="1">IF($A1453=0,"-",CONCATENATE(C1453&amp;".",IF(AND($A$5&gt;=2,$A1453&gt;=2),D1453&amp;".",""),IF(AND($A$5&gt;=3,$A1453&gt;=3),E1453&amp;".",""),IF(AND($A$5&gt;=4,$A1453&gt;=4),F1453&amp;".",""),IF($A1453="S",G1453&amp;".","")))</f>
        <v>18.2.6.</v>
      </c>
      <c r="L1453" s="137" t="str">
        <f ca="1">IF(NOT(ISERROR($Y1453)),IF($Y1453&lt;&gt;FALSE,INDEX(Banco,$Y1453,4),""),"")</f>
        <v>Cotação</v>
      </c>
      <c r="M1453" s="122" t="s">
        <v>80</v>
      </c>
      <c r="N1453" s="139" t="s">
        <v>256</v>
      </c>
      <c r="O1453" s="137" t="str">
        <f ca="1">IF(NOT(ISERROR($Y1453)),IF($Y1453&lt;&gt;FALSE,INDEX(Banco,$Y1453,5),""),"")</f>
        <v>Instrutor/Monitor (Educação Fisíca)</v>
      </c>
      <c r="P1453" s="138" t="str">
        <f ca="1">IF(NOT(ISERROR($Y1453)),IF($Y1453&lt;&gt;FALSE,INDEX(Banco,$Y1453,6),""),"")</f>
        <v>Horas</v>
      </c>
      <c r="Q1453" s="134">
        <v>3</v>
      </c>
      <c r="R1453" s="124">
        <f ca="1">IF(NOT(ISERROR($Y1453)),IF($Y1453&lt;&gt;FALSE,INDEX(Banco,$Y1453,7),0),0)</f>
        <v>100</v>
      </c>
      <c r="S1453" s="136" t="s">
        <v>62</v>
      </c>
      <c r="T1453" s="123">
        <f ca="1">IF($J1453=$G$2,ROUND(ROUND($R1453,2)*IF($R$9="Preço Unitário (R$)",1,1+$AA1453),2),0)</f>
        <v>125</v>
      </c>
      <c r="U1453" s="126">
        <f ca="1">IF($A1453="S",VTOTAL1,IF($A1453=0,0,ROUND(SomaAgrup,2)))</f>
        <v>375</v>
      </c>
      <c r="V1453" s="1"/>
      <c r="W1453" s="39" t="str">
        <f ca="1">IF(OR($A1453=0,$A1453="S",$A1453&gt;CFF!$A$9),"",MAX(W$11:OFFSET(W1453,-1,0))+1)</f>
        <v/>
      </c>
      <c r="X1453" s="4" t="str">
        <f>IF(AND($J1453=$G$2,$N1453&lt;&gt;"",$M1453&lt;&gt;""),CONCATENATE($M1453,"-",$N1453))</f>
        <v>Serv. Terc.-017</v>
      </c>
      <c r="Y1453" s="39">
        <f ca="1">IF(X1453&lt;&gt;FALSE,MATCH(X1453,OFFSET(Banco,0,0,,1),0))</f>
        <v>97</v>
      </c>
      <c r="Z1453" s="1"/>
      <c r="AA1453" s="133">
        <f>IF($J1453=$G$2,ROUND(IF(ISNUMBER(S1453),S1453,IF(LEFT(S1453,2)="DI",HLOOKUP(S1453,DADOS!$T$29:$X$30,2,FALSE),0)),4),"")</f>
        <v>0.25</v>
      </c>
      <c r="AB1453" s="2"/>
    </row>
    <row r="1454" spans="1:28">
      <c r="A1454" t="str">
        <f t="shared" si="1879"/>
        <v>S</v>
      </c>
      <c r="B1454">
        <f t="shared" si="1880"/>
        <v>0</v>
      </c>
      <c r="C1454">
        <f ca="1">IF($A1454=1,OFFSET(C1454,-1,0)+1,OFFSET(C1454,-1,0))</f>
        <v>18</v>
      </c>
      <c r="D1454">
        <f ca="1">IF($A1454=1,0,IF($A1454=2,OFFSET(D1454,-1,0)+1,OFFSET(D1454,-1,0)))</f>
        <v>2</v>
      </c>
      <c r="E1454">
        <f ca="1">IF(AND($A1454&lt;=2,$A1454&lt;&gt;0),0,IF($A1454=3,OFFSET(E1454,-1,0)+1,OFFSET(E1454,-1,0)))</f>
        <v>0</v>
      </c>
      <c r="F1454">
        <f ca="1">IF(AND($A1454&lt;=3,$A1454&lt;&gt;0),0,IF($A1454=4,OFFSET(F1454,-1,0)+1,OFFSET(F1454,-1,0)))</f>
        <v>0</v>
      </c>
      <c r="G1454">
        <f ca="1">IF(AND($A1454&lt;=4,$A1454&lt;&gt;0),0,IF($A1454="S",OFFSET(G1454,-1,0)+1,OFFSET(G1454,-1,0)))</f>
        <v>7</v>
      </c>
      <c r="H1454">
        <f ca="1">IF(OR($A1454="S",$A1454=0),0,MATCH(0,OFFSET($B1454,1,$A1454,ROW($A$1504)-ROW($A1454)),0))</f>
        <v>0</v>
      </c>
      <c r="I1454">
        <f ca="1">IF(OR($A1454="S",$A1454=0),0,MATCH(OFFSET($B1454,0,$A1454)+1,OFFSET($B1454,1,$A1454,ROW($A$1504)-ROW($A1454)),0))</f>
        <v>0</v>
      </c>
      <c r="J1454" s="132" t="s">
        <v>29</v>
      </c>
      <c r="K1454" s="121" t="str">
        <f ca="1">IF($A1454=0,"-",CONCATENATE(C1454&amp;".",IF(AND($A$5&gt;=2,$A1454&gt;=2),D1454&amp;".",""),IF(AND($A$5&gt;=3,$A1454&gt;=3),E1454&amp;".",""),IF(AND($A$5&gt;=4,$A1454&gt;=4),F1454&amp;".",""),IF($A1454="S",G1454&amp;".","")))</f>
        <v>18.2.7.</v>
      </c>
      <c r="L1454" s="137" t="str">
        <f ca="1">IF(NOT(ISERROR($Y1454)),IF($Y1454&lt;&gt;FALSE,INDEX(Banco,$Y1454,4),""),"")</f>
        <v>Cotação</v>
      </c>
      <c r="M1454" s="122" t="s">
        <v>80</v>
      </c>
      <c r="N1454" s="139" t="s">
        <v>152</v>
      </c>
      <c r="O1454" s="137" t="str">
        <f ca="1">IF(NOT(ISERROR($Y1454)),IF($Y1454&lt;&gt;FALSE,INDEX(Banco,$Y1454,5),""),"")</f>
        <v>Carro de som com gravação de vinheta</v>
      </c>
      <c r="P1454" s="138" t="str">
        <f ca="1">IF(NOT(ISERROR($Y1454)),IF($Y1454&lt;&gt;FALSE,INDEX(Banco,$Y1454,6),""),"")</f>
        <v>Horas</v>
      </c>
      <c r="Q1454" s="134">
        <v>3</v>
      </c>
      <c r="R1454" s="124">
        <f ca="1">IF(NOT(ISERROR($Y1454)),IF($Y1454&lt;&gt;FALSE,INDEX(Banco,$Y1454,7),0),0)</f>
        <v>200</v>
      </c>
      <c r="S1454" s="136" t="s">
        <v>62</v>
      </c>
      <c r="T1454" s="123">
        <f ca="1">IF($J1454=$G$2,ROUND(ROUND($R1454,2)*IF($R$9="Preço Unitário (R$)",1,1+$AA1454),2),0)</f>
        <v>250</v>
      </c>
      <c r="U1454" s="126">
        <f ca="1">IF($A1454="S",VTOTAL1,IF($A1454=0,0,ROUND(SomaAgrup,2)))</f>
        <v>750</v>
      </c>
      <c r="V1454" s="1"/>
      <c r="W1454" s="39" t="str">
        <f ca="1">IF(OR($A1454=0,$A1454="S",$A1454&gt;CFF!$A$9),"",MAX(W$11:OFFSET(W1454,-1,0))+1)</f>
        <v/>
      </c>
      <c r="X1454" s="4" t="str">
        <f>IF(AND($J1454=$G$2,$N1454&lt;&gt;"",$M1454&lt;&gt;""),CONCATENATE($M1454,"-",$N1454))</f>
        <v>Serv. Terc.-002</v>
      </c>
      <c r="Y1454" s="39">
        <f t="shared" ca="1" si="1881"/>
        <v>82</v>
      </c>
      <c r="Z1454" s="1"/>
      <c r="AA1454" s="133">
        <f>IF($J1454=$G$2,ROUND(IF(ISNUMBER(S1454),S1454,IF(LEFT(S1454,2)="DI",HLOOKUP(S1454,DADOS!$T$29:$X$30,2,FALSE),0)),4),"")</f>
        <v>0.25</v>
      </c>
      <c r="AB1454" s="2"/>
    </row>
    <row r="1455" spans="1:28">
      <c r="A1455" t="str">
        <f t="shared" si="1879"/>
        <v>S</v>
      </c>
      <c r="B1455">
        <f t="shared" si="1880"/>
        <v>0</v>
      </c>
      <c r="C1455">
        <f ca="1">IF($A1455=1,OFFSET(C1455,-1,0)+1,OFFSET(C1455,-1,0))</f>
        <v>18</v>
      </c>
      <c r="D1455">
        <f ca="1">IF($A1455=1,0,IF($A1455=2,OFFSET(D1455,-1,0)+1,OFFSET(D1455,-1,0)))</f>
        <v>2</v>
      </c>
      <c r="E1455">
        <f ca="1">IF(AND($A1455&lt;=2,$A1455&lt;&gt;0),0,IF($A1455=3,OFFSET(E1455,-1,0)+1,OFFSET(E1455,-1,0)))</f>
        <v>0</v>
      </c>
      <c r="F1455">
        <f ca="1">IF(AND($A1455&lt;=3,$A1455&lt;&gt;0),0,IF($A1455=4,OFFSET(F1455,-1,0)+1,OFFSET(F1455,-1,0)))</f>
        <v>0</v>
      </c>
      <c r="G1455">
        <f ca="1">IF(AND($A1455&lt;=4,$A1455&lt;&gt;0),0,IF($A1455="S",OFFSET(G1455,-1,0)+1,OFFSET(G1455,-1,0)))</f>
        <v>8</v>
      </c>
      <c r="H1455">
        <f ca="1">IF(OR($A1455="S",$A1455=0),0,MATCH(0,OFFSET($B1455,1,$A1455,ROW($A$1504)-ROW($A1455)),0))</f>
        <v>0</v>
      </c>
      <c r="I1455">
        <f ca="1">IF(OR($A1455="S",$A1455=0),0,MATCH(OFFSET($B1455,0,$A1455)+1,OFFSET($B1455,1,$A1455,ROW($A$1504)-ROW($A1455)),0))</f>
        <v>0</v>
      </c>
      <c r="J1455" s="132" t="s">
        <v>29</v>
      </c>
      <c r="K1455" s="121" t="str">
        <f ca="1">IF($A1455=0,"-",CONCATENATE(C1455&amp;".",IF(AND($A$5&gt;=2,$A1455&gt;=2),D1455&amp;".",""),IF(AND($A$5&gt;=3,$A1455&gt;=3),E1455&amp;".",""),IF(AND($A$5&gt;=4,$A1455&gt;=4),F1455&amp;".",""),IF($A1455="S",G1455&amp;".","")))</f>
        <v>18.2.8.</v>
      </c>
      <c r="L1455" s="137" t="str">
        <f ca="1">IF(NOT(ISERROR($Y1455)),IF($Y1455&lt;&gt;FALSE,INDEX(Banco,$Y1455,4),""),"")</f>
        <v>Cotação</v>
      </c>
      <c r="M1455" s="122" t="s">
        <v>80</v>
      </c>
      <c r="N1455" s="139" t="s">
        <v>151</v>
      </c>
      <c r="O1455" s="137" t="str">
        <f ca="1">IF(NOT(ISERROR($Y1455)),IF($Y1455&lt;&gt;FALSE,INDEX(Banco,$Y1455,5),""),"")</f>
        <v>Locação de mesas</v>
      </c>
      <c r="P1455" s="138" t="str">
        <f ca="1">IF(NOT(ISERROR($Y1455)),IF($Y1455&lt;&gt;FALSE,INDEX(Banco,$Y1455,6),""),"")</f>
        <v>Unidade</v>
      </c>
      <c r="Q1455" s="134">
        <v>20</v>
      </c>
      <c r="R1455" s="124">
        <f ca="1">IF(NOT(ISERROR($Y1455)),IF($Y1455&lt;&gt;FALSE,INDEX(Banco,$Y1455,7),0),0)</f>
        <v>3</v>
      </c>
      <c r="S1455" s="136" t="s">
        <v>62</v>
      </c>
      <c r="T1455" s="123">
        <f ca="1">IF($J1455=$G$2,ROUND(ROUND($R1455,2)*IF($R$9="Preço Unitário (R$)",1,1+$AA1455),2),0)</f>
        <v>3.75</v>
      </c>
      <c r="U1455" s="126">
        <f ca="1">IF($A1455="S",VTOTAL1,IF($A1455=0,0,ROUND(SomaAgrup,2)))</f>
        <v>75</v>
      </c>
      <c r="V1455" s="1"/>
      <c r="W1455" s="39" t="str">
        <f ca="1">IF(OR($A1455=0,$A1455="S",$A1455&gt;CFF!$A$9),"",MAX(W$11:OFFSET(W1455,-1,0))+1)</f>
        <v/>
      </c>
      <c r="X1455" s="4" t="str">
        <f>IF(AND($J1455=$G$2,$N1455&lt;&gt;"",$M1455&lt;&gt;""),CONCATENATE($M1455,"-",$N1455))</f>
        <v>Serv. Terc.-003</v>
      </c>
      <c r="Y1455" s="39">
        <f t="shared" ca="1" si="1881"/>
        <v>83</v>
      </c>
      <c r="Z1455" s="1"/>
      <c r="AA1455" s="133">
        <f>IF($J1455=$G$2,ROUND(IF(ISNUMBER(S1455),S1455,IF(LEFT(S1455,2)="DI",HLOOKUP(S1455,DADOS!$T$29:$X$30,2,FALSE),0)),4),"")</f>
        <v>0.25</v>
      </c>
      <c r="AB1455" s="2"/>
    </row>
    <row r="1456" spans="1:28">
      <c r="A1456" t="str">
        <f t="shared" si="1879"/>
        <v>S</v>
      </c>
      <c r="B1456">
        <f t="shared" si="1880"/>
        <v>0</v>
      </c>
      <c r="C1456">
        <f ca="1">IF($A1456=1,OFFSET(C1456,-1,0)+1,OFFSET(C1456,-1,0))</f>
        <v>18</v>
      </c>
      <c r="D1456">
        <f ca="1">IF($A1456=1,0,IF($A1456=2,OFFSET(D1456,-1,0)+1,OFFSET(D1456,-1,0)))</f>
        <v>2</v>
      </c>
      <c r="E1456">
        <f ca="1">IF(AND($A1456&lt;=2,$A1456&lt;&gt;0),0,IF($A1456=3,OFFSET(E1456,-1,0)+1,OFFSET(E1456,-1,0)))</f>
        <v>0</v>
      </c>
      <c r="F1456">
        <f ca="1">IF(AND($A1456&lt;=3,$A1456&lt;&gt;0),0,IF($A1456=4,OFFSET(F1456,-1,0)+1,OFFSET(F1456,-1,0)))</f>
        <v>0</v>
      </c>
      <c r="G1456">
        <f ca="1">IF(AND($A1456&lt;=4,$A1456&lt;&gt;0),0,IF($A1456="S",OFFSET(G1456,-1,0)+1,OFFSET(G1456,-1,0)))</f>
        <v>9</v>
      </c>
      <c r="H1456">
        <f ca="1">IF(OR($A1456="S",$A1456=0),0,MATCH(0,OFFSET($B1456,1,$A1456,ROW($A$1504)-ROW($A1456)),0))</f>
        <v>0</v>
      </c>
      <c r="I1456">
        <f ca="1">IF(OR($A1456="S",$A1456=0),0,MATCH(OFFSET($B1456,0,$A1456)+1,OFFSET($B1456,1,$A1456,ROW($A$1504)-ROW($A1456)),0))</f>
        <v>0</v>
      </c>
      <c r="J1456" s="132" t="s">
        <v>29</v>
      </c>
      <c r="K1456" s="121" t="str">
        <f ca="1">IF($A1456=0,"-",CONCATENATE(C1456&amp;".",IF(AND($A$5&gt;=2,$A1456&gt;=2),D1456&amp;".",""),IF(AND($A$5&gt;=3,$A1456&gt;=3),E1456&amp;".",""),IF(AND($A$5&gt;=4,$A1456&gt;=4),F1456&amp;".",""),IF($A1456="S",G1456&amp;".","")))</f>
        <v>18.2.9.</v>
      </c>
      <c r="L1456" s="137" t="str">
        <f ca="1">IF(NOT(ISERROR($Y1456)),IF($Y1456&lt;&gt;FALSE,INDEX(Banco,$Y1456,4),""),"")</f>
        <v>Cotação</v>
      </c>
      <c r="M1456" s="122" t="s">
        <v>80</v>
      </c>
      <c r="N1456" s="139" t="s">
        <v>153</v>
      </c>
      <c r="O1456" s="137" t="str">
        <f ca="1">IF(NOT(ISERROR($Y1456)),IF($Y1456&lt;&gt;FALSE,INDEX(Banco,$Y1456,5),""),"")</f>
        <v>Locação de cadeiras</v>
      </c>
      <c r="P1456" s="138" t="str">
        <f ca="1">IF(NOT(ISERROR($Y1456)),IF($Y1456&lt;&gt;FALSE,INDEX(Banco,$Y1456,6),""),"")</f>
        <v>Unidade</v>
      </c>
      <c r="Q1456" s="134">
        <v>400</v>
      </c>
      <c r="R1456" s="124">
        <f ca="1">IF(NOT(ISERROR($Y1456)),IF($Y1456&lt;&gt;FALSE,INDEX(Banco,$Y1456,7),0),0)</f>
        <v>2</v>
      </c>
      <c r="S1456" s="136" t="s">
        <v>62</v>
      </c>
      <c r="T1456" s="123">
        <f ca="1">IF($J1456=$G$2,ROUND(ROUND($R1456,2)*IF($R$9="Preço Unitário (R$)",1,1+$AA1456),2),0)</f>
        <v>2.5</v>
      </c>
      <c r="U1456" s="126">
        <f ca="1">IF($A1456="S",VTOTAL1,IF($A1456=0,0,ROUND(SomaAgrup,2)))</f>
        <v>1000</v>
      </c>
      <c r="V1456" s="1"/>
      <c r="W1456" s="39" t="str">
        <f ca="1">IF(OR($A1456=0,$A1456="S",$A1456&gt;CFF!$A$9),"",MAX(W$11:OFFSET(W1456,-1,0))+1)</f>
        <v/>
      </c>
      <c r="X1456" s="4" t="str">
        <f>IF(AND($J1456=$G$2,$N1456&lt;&gt;"",$M1456&lt;&gt;""),CONCATENATE($M1456,"-",$N1456))</f>
        <v>Serv. Terc.-004</v>
      </c>
      <c r="Y1456" s="39">
        <f t="shared" ca="1" si="1881"/>
        <v>84</v>
      </c>
      <c r="Z1456" s="1"/>
      <c r="AA1456" s="133">
        <f>IF($J1456=$G$2,ROUND(IF(ISNUMBER(S1456),S1456,IF(LEFT(S1456,2)="DI",HLOOKUP(S1456,DADOS!$T$29:$X$30,2,FALSE),0)),4),"")</f>
        <v>0.25</v>
      </c>
      <c r="AB1456" s="2"/>
    </row>
    <row r="1457" spans="1:28">
      <c r="A1457" t="str">
        <f t="shared" si="1879"/>
        <v>S</v>
      </c>
      <c r="B1457">
        <f t="shared" si="1880"/>
        <v>0</v>
      </c>
      <c r="C1457">
        <f ca="1">IF($A1457=1,OFFSET(C1457,-1,0)+1,OFFSET(C1457,-1,0))</f>
        <v>18</v>
      </c>
      <c r="D1457">
        <f ca="1">IF($A1457=1,0,IF($A1457=2,OFFSET(D1457,-1,0)+1,OFFSET(D1457,-1,0)))</f>
        <v>2</v>
      </c>
      <c r="E1457">
        <f ca="1">IF(AND($A1457&lt;=2,$A1457&lt;&gt;0),0,IF($A1457=3,OFFSET(E1457,-1,0)+1,OFFSET(E1457,-1,0)))</f>
        <v>0</v>
      </c>
      <c r="F1457">
        <f ca="1">IF(AND($A1457&lt;=3,$A1457&lt;&gt;0),0,IF($A1457=4,OFFSET(F1457,-1,0)+1,OFFSET(F1457,-1,0)))</f>
        <v>0</v>
      </c>
      <c r="G1457">
        <f ca="1">IF(AND($A1457&lt;=4,$A1457&lt;&gt;0),0,IF($A1457="S",OFFSET(G1457,-1,0)+1,OFFSET(G1457,-1,0)))</f>
        <v>10</v>
      </c>
      <c r="H1457">
        <f ca="1">IF(OR($A1457="S",$A1457=0),0,MATCH(0,OFFSET($B1457,1,$A1457,ROW($A$1504)-ROW($A1457)),0))</f>
        <v>0</v>
      </c>
      <c r="I1457">
        <f ca="1">IF(OR($A1457="S",$A1457=0),0,MATCH(OFFSET($B1457,0,$A1457)+1,OFFSET($B1457,1,$A1457,ROW($A$1504)-ROW($A1457)),0))</f>
        <v>0</v>
      </c>
      <c r="J1457" s="132" t="s">
        <v>29</v>
      </c>
      <c r="K1457" s="121" t="str">
        <f ca="1">IF($A1457=0,"-",CONCATENATE(C1457&amp;".",IF(AND($A$5&gt;=2,$A1457&gt;=2),D1457&amp;".",""),IF(AND($A$5&gt;=3,$A1457&gt;=3),E1457&amp;".",""),IF(AND($A$5&gt;=4,$A1457&gt;=4),F1457&amp;".",""),IF($A1457="S",G1457&amp;".","")))</f>
        <v>18.2.10.</v>
      </c>
      <c r="L1457" s="137" t="str">
        <f ca="1">IF(NOT(ISERROR($Y1457)),IF($Y1457&lt;&gt;FALSE,INDEX(Banco,$Y1457,4),""),"")</f>
        <v>Cotação</v>
      </c>
      <c r="M1457" s="122" t="s">
        <v>80</v>
      </c>
      <c r="N1457" s="139" t="s">
        <v>154</v>
      </c>
      <c r="O1457" s="137" t="str">
        <f ca="1">IF(NOT(ISERROR($Y1457)),IF($Y1457&lt;&gt;FALSE,INDEX(Banco,$Y1457,5),""),"")</f>
        <v>Locação de caixa térmica</v>
      </c>
      <c r="P1457" s="138" t="str">
        <f ca="1">IF(NOT(ISERROR($Y1457)),IF($Y1457&lt;&gt;FALSE,INDEX(Banco,$Y1457,6),""),"")</f>
        <v>Unidade</v>
      </c>
      <c r="Q1457" s="134">
        <v>2</v>
      </c>
      <c r="R1457" s="124">
        <f ca="1">IF(NOT(ISERROR($Y1457)),IF($Y1457&lt;&gt;FALSE,INDEX(Banco,$Y1457,7),0),0)</f>
        <v>40</v>
      </c>
      <c r="S1457" s="136" t="s">
        <v>62</v>
      </c>
      <c r="T1457" s="123">
        <f ca="1">IF($J1457=$G$2,ROUND(ROUND($R1457,2)*IF($R$9="Preço Unitário (R$)",1,1+$AA1457),2),0)</f>
        <v>50</v>
      </c>
      <c r="U1457" s="126">
        <f ca="1">IF($A1457="S",VTOTAL1,IF($A1457=0,0,ROUND(SomaAgrup,2)))</f>
        <v>100</v>
      </c>
      <c r="V1457" s="1"/>
      <c r="W1457" s="39" t="str">
        <f ca="1">IF(OR($A1457=0,$A1457="S",$A1457&gt;CFF!$A$9),"",MAX(W$11:OFFSET(W1457,-1,0))+1)</f>
        <v/>
      </c>
      <c r="X1457" s="4" t="str">
        <f>IF(AND($J1457=$G$2,$N1457&lt;&gt;"",$M1457&lt;&gt;""),CONCATENATE($M1457,"-",$N1457))</f>
        <v>Serv. Terc.-005</v>
      </c>
      <c r="Y1457" s="39">
        <f t="shared" ca="1" si="1881"/>
        <v>85</v>
      </c>
      <c r="Z1457" s="1"/>
      <c r="AA1457" s="133">
        <f>IF($J1457=$G$2,ROUND(IF(ISNUMBER(S1457),S1457,IF(LEFT(S1457,2)="DI",HLOOKUP(S1457,DADOS!$T$29:$X$30,2,FALSE),0)),4),"")</f>
        <v>0.25</v>
      </c>
      <c r="AB1457" s="2"/>
    </row>
    <row r="1458" spans="1:28">
      <c r="A1458" t="str">
        <f t="shared" si="1879"/>
        <v>S</v>
      </c>
      <c r="B1458">
        <f t="shared" si="1880"/>
        <v>0</v>
      </c>
      <c r="C1458">
        <f ca="1">IF($A1458=1,OFFSET(C1458,-1,0)+1,OFFSET(C1458,-1,0))</f>
        <v>18</v>
      </c>
      <c r="D1458">
        <f ca="1">IF($A1458=1,0,IF($A1458=2,OFFSET(D1458,-1,0)+1,OFFSET(D1458,-1,0)))</f>
        <v>2</v>
      </c>
      <c r="E1458">
        <f ca="1">IF(AND($A1458&lt;=2,$A1458&lt;&gt;0),0,IF($A1458=3,OFFSET(E1458,-1,0)+1,OFFSET(E1458,-1,0)))</f>
        <v>0</v>
      </c>
      <c r="F1458">
        <f ca="1">IF(AND($A1458&lt;=3,$A1458&lt;&gt;0),0,IF($A1458=4,OFFSET(F1458,-1,0)+1,OFFSET(F1458,-1,0)))</f>
        <v>0</v>
      </c>
      <c r="G1458">
        <f ca="1">IF(AND($A1458&lt;=4,$A1458&lt;&gt;0),0,IF($A1458="S",OFFSET(G1458,-1,0)+1,OFFSET(G1458,-1,0)))</f>
        <v>11</v>
      </c>
      <c r="H1458">
        <f ca="1">IF(OR($A1458="S",$A1458=0),0,MATCH(0,OFFSET($B1458,1,$A1458,ROW($A$1504)-ROW($A1458)),0))</f>
        <v>0</v>
      </c>
      <c r="I1458">
        <f ca="1">IF(OR($A1458="S",$A1458=0),0,MATCH(OFFSET($B1458,0,$A1458)+1,OFFSET($B1458,1,$A1458,ROW($A$1504)-ROW($A1458)),0))</f>
        <v>0</v>
      </c>
      <c r="J1458" s="132" t="s">
        <v>29</v>
      </c>
      <c r="K1458" s="121" t="str">
        <f ca="1">IF($A1458=0,"-",CONCATENATE(C1458&amp;".",IF(AND($A$5&gt;=2,$A1458&gt;=2),D1458&amp;".",""),IF(AND($A$5&gt;=3,$A1458&gt;=3),E1458&amp;".",""),IF(AND($A$5&gt;=4,$A1458&gt;=4),F1458&amp;".",""),IF($A1458="S",G1458&amp;".","")))</f>
        <v>18.2.11.</v>
      </c>
      <c r="L1458" s="137" t="str">
        <f ca="1">IF(NOT(ISERROR($Y1458)),IF($Y1458&lt;&gt;FALSE,INDEX(Banco,$Y1458,4),""),"")</f>
        <v>Cotação</v>
      </c>
      <c r="M1458" s="122" t="s">
        <v>80</v>
      </c>
      <c r="N1458" s="139" t="s">
        <v>155</v>
      </c>
      <c r="O1458" s="137" t="str">
        <f ca="1">IF(NOT(ISERROR($Y1458)),IF($Y1458&lt;&gt;FALSE,INDEX(Banco,$Y1458,5),""),"")</f>
        <v>Locação de tendas</v>
      </c>
      <c r="P1458" s="138" t="str">
        <f ca="1">IF(NOT(ISERROR($Y1458)),IF($Y1458&lt;&gt;FALSE,INDEX(Banco,$Y1458,6),""),"")</f>
        <v>Unidade</v>
      </c>
      <c r="Q1458" s="134">
        <v>3</v>
      </c>
      <c r="R1458" s="124">
        <f ca="1">IF(NOT(ISERROR($Y1458)),IF($Y1458&lt;&gt;FALSE,INDEX(Banco,$Y1458,7),0),0)</f>
        <v>250</v>
      </c>
      <c r="S1458" s="136" t="s">
        <v>62</v>
      </c>
      <c r="T1458" s="123">
        <f ca="1">IF($J1458=$G$2,ROUND(ROUND($R1458,2)*IF($R$9="Preço Unitário (R$)",1,1+$AA1458),2),0)</f>
        <v>312.5</v>
      </c>
      <c r="U1458" s="126">
        <f ca="1">IF($A1458="S",VTOTAL1,IF($A1458=0,0,ROUND(SomaAgrup,2)))</f>
        <v>937.5</v>
      </c>
      <c r="V1458" s="1"/>
      <c r="W1458" s="39" t="str">
        <f ca="1">IF(OR($A1458=0,$A1458="S",$A1458&gt;CFF!$A$9),"",MAX(W$11:OFFSET(W1458,-1,0))+1)</f>
        <v/>
      </c>
      <c r="X1458" s="4" t="str">
        <f>IF(AND($J1458=$G$2,$N1458&lt;&gt;"",$M1458&lt;&gt;""),CONCATENATE($M1458,"-",$N1458))</f>
        <v>Serv. Terc.-006</v>
      </c>
      <c r="Y1458" s="39">
        <f t="shared" ca="1" si="1881"/>
        <v>86</v>
      </c>
      <c r="Z1458" s="1"/>
      <c r="AA1458" s="133">
        <f>IF($J1458=$G$2,ROUND(IF(ISNUMBER(S1458),S1458,IF(LEFT(S1458,2)="DI",HLOOKUP(S1458,DADOS!$T$29:$X$30,2,FALSE),0)),4),"")</f>
        <v>0.25</v>
      </c>
      <c r="AB1458" s="2"/>
    </row>
    <row r="1459" spans="1:28">
      <c r="A1459" t="str">
        <f t="shared" si="1879"/>
        <v>S</v>
      </c>
      <c r="B1459">
        <f t="shared" si="1880"/>
        <v>0</v>
      </c>
      <c r="C1459">
        <f ca="1">IF($A1459=1,OFFSET(C1459,-1,0)+1,OFFSET(C1459,-1,0))</f>
        <v>18</v>
      </c>
      <c r="D1459">
        <f ca="1">IF($A1459=1,0,IF($A1459=2,OFFSET(D1459,-1,0)+1,OFFSET(D1459,-1,0)))</f>
        <v>2</v>
      </c>
      <c r="E1459">
        <f ca="1">IF(AND($A1459&lt;=2,$A1459&lt;&gt;0),0,IF($A1459=3,OFFSET(E1459,-1,0)+1,OFFSET(E1459,-1,0)))</f>
        <v>0</v>
      </c>
      <c r="F1459">
        <f ca="1">IF(AND($A1459&lt;=3,$A1459&lt;&gt;0),0,IF($A1459=4,OFFSET(F1459,-1,0)+1,OFFSET(F1459,-1,0)))</f>
        <v>0</v>
      </c>
      <c r="G1459">
        <f ca="1">IF(AND($A1459&lt;=4,$A1459&lt;&gt;0),0,IF($A1459="S",OFFSET(G1459,-1,0)+1,OFFSET(G1459,-1,0)))</f>
        <v>12</v>
      </c>
      <c r="H1459">
        <f ca="1">IF(OR($A1459="S",$A1459=0),0,MATCH(0,OFFSET($B1459,1,$A1459,ROW($A$1504)-ROW($A1459)),0))</f>
        <v>0</v>
      </c>
      <c r="I1459">
        <f ca="1">IF(OR($A1459="S",$A1459=0),0,MATCH(OFFSET($B1459,0,$A1459)+1,OFFSET($B1459,1,$A1459,ROW($A$1504)-ROW($A1459)),0))</f>
        <v>0</v>
      </c>
      <c r="J1459" s="132" t="s">
        <v>29</v>
      </c>
      <c r="K1459" s="121" t="str">
        <f ca="1">IF($A1459=0,"-",CONCATENATE(C1459&amp;".",IF(AND($A$5&gt;=2,$A1459&gt;=2),D1459&amp;".",""),IF(AND($A$5&gt;=3,$A1459&gt;=3),E1459&amp;".",""),IF(AND($A$5&gt;=4,$A1459&gt;=4),F1459&amp;".",""),IF($A1459="S",G1459&amp;".","")))</f>
        <v>18.2.12.</v>
      </c>
      <c r="L1459" s="137" t="str">
        <f ca="1">IF(NOT(ISERROR($Y1459)),IF($Y1459&lt;&gt;FALSE,INDEX(Banco,$Y1459,4),""),"")</f>
        <v>Cotação</v>
      </c>
      <c r="M1459" s="122" t="s">
        <v>80</v>
      </c>
      <c r="N1459" s="139" t="s">
        <v>157</v>
      </c>
      <c r="O1459" s="137" t="str">
        <f ca="1">IF(NOT(ISERROR($Y1459)),IF($Y1459&lt;&gt;FALSE,INDEX(Banco,$Y1459,5),""),"")</f>
        <v>Locação de pula-pula com monitor</v>
      </c>
      <c r="P1459" s="138" t="str">
        <f ca="1">IF(NOT(ISERROR($Y1459)),IF($Y1459&lt;&gt;FALSE,INDEX(Banco,$Y1459,6),""),"")</f>
        <v>Unidade</v>
      </c>
      <c r="Q1459" s="134">
        <v>2</v>
      </c>
      <c r="R1459" s="124">
        <f ca="1">IF(NOT(ISERROR($Y1459)),IF($Y1459&lt;&gt;FALSE,INDEX(Banco,$Y1459,7),0),0)</f>
        <v>220</v>
      </c>
      <c r="S1459" s="136" t="s">
        <v>62</v>
      </c>
      <c r="T1459" s="123">
        <f ca="1">IF($J1459=$G$2,ROUND(ROUND($R1459,2)*IF($R$9="Preço Unitário (R$)",1,1+$AA1459),2),0)</f>
        <v>275</v>
      </c>
      <c r="U1459" s="126">
        <f ca="1">IF($A1459="S",VTOTAL1,IF($A1459=0,0,ROUND(SomaAgrup,2)))</f>
        <v>550</v>
      </c>
      <c r="V1459" s="1"/>
      <c r="W1459" s="39" t="str">
        <f ca="1">IF(OR($A1459=0,$A1459="S",$A1459&gt;CFF!$A$9),"",MAX(W$11:OFFSET(W1459,-1,0))+1)</f>
        <v/>
      </c>
      <c r="X1459" s="4" t="str">
        <f>IF(AND($J1459=$G$2,$N1459&lt;&gt;"",$M1459&lt;&gt;""),CONCATENATE($M1459,"-",$N1459))</f>
        <v>Serv. Terc.-008</v>
      </c>
      <c r="Y1459" s="39">
        <f t="shared" ca="1" si="1881"/>
        <v>88</v>
      </c>
      <c r="Z1459" s="1"/>
      <c r="AA1459" s="133">
        <f>IF($J1459=$G$2,ROUND(IF(ISNUMBER(S1459),S1459,IF(LEFT(S1459,2)="DI",HLOOKUP(S1459,DADOS!$T$29:$X$30,2,FALSE),0)),4),"")</f>
        <v>0.25</v>
      </c>
      <c r="AB1459" s="2"/>
    </row>
    <row r="1460" spans="1:28">
      <c r="A1460" t="str">
        <f t="shared" si="1879"/>
        <v>S</v>
      </c>
      <c r="B1460">
        <f t="shared" si="1880"/>
        <v>0</v>
      </c>
      <c r="C1460">
        <f ca="1">IF($A1460=1,OFFSET(C1460,-1,0)+1,OFFSET(C1460,-1,0))</f>
        <v>18</v>
      </c>
      <c r="D1460">
        <f ca="1">IF($A1460=1,0,IF($A1460=2,OFFSET(D1460,-1,0)+1,OFFSET(D1460,-1,0)))</f>
        <v>2</v>
      </c>
      <c r="E1460">
        <f ca="1">IF(AND($A1460&lt;=2,$A1460&lt;&gt;0),0,IF($A1460=3,OFFSET(E1460,-1,0)+1,OFFSET(E1460,-1,0)))</f>
        <v>0</v>
      </c>
      <c r="F1460">
        <f ca="1">IF(AND($A1460&lt;=3,$A1460&lt;&gt;0),0,IF($A1460=4,OFFSET(F1460,-1,0)+1,OFFSET(F1460,-1,0)))</f>
        <v>0</v>
      </c>
      <c r="G1460">
        <f ca="1">IF(AND($A1460&lt;=4,$A1460&lt;&gt;0),0,IF($A1460="S",OFFSET(G1460,-1,0)+1,OFFSET(G1460,-1,0)))</f>
        <v>13</v>
      </c>
      <c r="H1460">
        <f ca="1">IF(OR($A1460="S",$A1460=0),0,MATCH(0,OFFSET($B1460,1,$A1460,ROW($A$1504)-ROW($A1460)),0))</f>
        <v>0</v>
      </c>
      <c r="I1460">
        <f ca="1">IF(OR($A1460="S",$A1460=0),0,MATCH(OFFSET($B1460,0,$A1460)+1,OFFSET($B1460,1,$A1460,ROW($A$1504)-ROW($A1460)),0))</f>
        <v>0</v>
      </c>
      <c r="J1460" s="132" t="s">
        <v>29</v>
      </c>
      <c r="K1460" s="121" t="str">
        <f ca="1">IF($A1460=0,"-",CONCATENATE(C1460&amp;".",IF(AND($A$5&gt;=2,$A1460&gt;=2),D1460&amp;".",""),IF(AND($A$5&gt;=3,$A1460&gt;=3),E1460&amp;".",""),IF(AND($A$5&gt;=4,$A1460&gt;=4),F1460&amp;".",""),IF($A1460="S",G1460&amp;".","")))</f>
        <v>18.2.13.</v>
      </c>
      <c r="L1460" s="137" t="str">
        <f ca="1">IF(NOT(ISERROR($Y1460)),IF($Y1460&lt;&gt;FALSE,INDEX(Banco,$Y1460,4),""),"")</f>
        <v>Cotação</v>
      </c>
      <c r="M1460" s="122" t="s">
        <v>80</v>
      </c>
      <c r="N1460" s="139" t="s">
        <v>161</v>
      </c>
      <c r="O1460" s="137" t="str">
        <f ca="1">IF(NOT(ISERROR($Y1460)),IF($Y1460&lt;&gt;FALSE,INDEX(Banco,$Y1460,5),""),"")</f>
        <v>Água (garrafão de 20 litros)</v>
      </c>
      <c r="P1460" s="138" t="str">
        <f ca="1">IF(NOT(ISERROR($Y1460)),IF($Y1460&lt;&gt;FALSE,INDEX(Banco,$Y1460,6),""),"")</f>
        <v>Unidade</v>
      </c>
      <c r="Q1460" s="134">
        <v>2</v>
      </c>
      <c r="R1460" s="124">
        <f ca="1">IF(NOT(ISERROR($Y1460)),IF($Y1460&lt;&gt;FALSE,INDEX(Banco,$Y1460,7),0),0)</f>
        <v>10</v>
      </c>
      <c r="S1460" s="136" t="s">
        <v>62</v>
      </c>
      <c r="T1460" s="123">
        <f ca="1">IF($J1460=$G$2,ROUND(ROUND($R1460,2)*IF($R$9="Preço Unitário (R$)",1,1+$AA1460),2),0)</f>
        <v>12.5</v>
      </c>
      <c r="U1460" s="126">
        <f ca="1">IF($A1460="S",VTOTAL1,IF($A1460=0,0,ROUND(SomaAgrup,2)))</f>
        <v>25</v>
      </c>
      <c r="V1460" s="1"/>
      <c r="W1460" s="39" t="str">
        <f ca="1">IF(OR($A1460=0,$A1460="S",$A1460&gt;CFF!$A$9),"",MAX(W$11:OFFSET(W1460,-1,0))+1)</f>
        <v/>
      </c>
      <c r="X1460" s="4" t="str">
        <f>IF(AND($J1460=$G$2,$N1460&lt;&gt;"",$M1460&lt;&gt;""),CONCATENATE($M1460,"-",$N1460))</f>
        <v>Serv. Terc.-012</v>
      </c>
      <c r="Y1460" s="39">
        <f t="shared" ca="1" si="1881"/>
        <v>92</v>
      </c>
      <c r="Z1460" s="1"/>
      <c r="AA1460" s="133">
        <f>IF($J1460=$G$2,ROUND(IF(ISNUMBER(S1460),S1460,IF(LEFT(S1460,2)="DI",HLOOKUP(S1460,DADOS!$T$29:$X$30,2,FALSE),0)),4),"")</f>
        <v>0.25</v>
      </c>
      <c r="AB1460" s="2"/>
    </row>
    <row r="1461" spans="1:28">
      <c r="A1461" t="str">
        <f t="shared" si="1879"/>
        <v>S</v>
      </c>
      <c r="B1461">
        <f t="shared" si="1880"/>
        <v>0</v>
      </c>
      <c r="C1461">
        <f ca="1">IF($A1461=1,OFFSET(C1461,-1,0)+1,OFFSET(C1461,-1,0))</f>
        <v>18</v>
      </c>
      <c r="D1461">
        <f ca="1">IF($A1461=1,0,IF($A1461=2,OFFSET(D1461,-1,0)+1,OFFSET(D1461,-1,0)))</f>
        <v>2</v>
      </c>
      <c r="E1461">
        <f ca="1">IF(AND($A1461&lt;=2,$A1461&lt;&gt;0),0,IF($A1461=3,OFFSET(E1461,-1,0)+1,OFFSET(E1461,-1,0)))</f>
        <v>0</v>
      </c>
      <c r="F1461">
        <f ca="1">IF(AND($A1461&lt;=3,$A1461&lt;&gt;0),0,IF($A1461=4,OFFSET(F1461,-1,0)+1,OFFSET(F1461,-1,0)))</f>
        <v>0</v>
      </c>
      <c r="G1461">
        <f ca="1">IF(AND($A1461&lt;=4,$A1461&lt;&gt;0),0,IF($A1461="S",OFFSET(G1461,-1,0)+1,OFFSET(G1461,-1,0)))</f>
        <v>14</v>
      </c>
      <c r="H1461">
        <f ca="1">IF(OR($A1461="S",$A1461=0),0,MATCH(0,OFFSET($B1461,1,$A1461,ROW($A$1504)-ROW($A1461)),0))</f>
        <v>0</v>
      </c>
      <c r="I1461">
        <f ca="1">IF(OR($A1461="S",$A1461=0),0,MATCH(OFFSET($B1461,0,$A1461)+1,OFFSET($B1461,1,$A1461,ROW($A$1504)-ROW($A1461)),0))</f>
        <v>0</v>
      </c>
      <c r="J1461" s="132" t="s">
        <v>29</v>
      </c>
      <c r="K1461" s="121" t="str">
        <f ca="1">IF($A1461=0,"-",CONCATENATE(C1461&amp;".",IF(AND($A$5&gt;=2,$A1461&gt;=2),D1461&amp;".",""),IF(AND($A$5&gt;=3,$A1461&gt;=3),E1461&amp;".",""),IF(AND($A$5&gt;=4,$A1461&gt;=4),F1461&amp;".",""),IF($A1461="S",G1461&amp;".","")))</f>
        <v>18.2.14.</v>
      </c>
      <c r="L1461" s="137" t="str">
        <f ca="1">IF(NOT(ISERROR($Y1461)),IF($Y1461&lt;&gt;FALSE,INDEX(Banco,$Y1461,4),""),"")</f>
        <v xml:space="preserve">Cotação </v>
      </c>
      <c r="M1461" s="122" t="s">
        <v>80</v>
      </c>
      <c r="N1461" s="139" t="s">
        <v>160</v>
      </c>
      <c r="O1461" s="137" t="str">
        <f ca="1">IF(NOT(ISERROR($Y1461)),IF($Y1461&lt;&gt;FALSE,INDEX(Banco,$Y1461,5),""),"")</f>
        <v>Barra de gelo</v>
      </c>
      <c r="P1461" s="138" t="str">
        <f ca="1">IF(NOT(ISERROR($Y1461)),IF($Y1461&lt;&gt;FALSE,INDEX(Banco,$Y1461,6),""),"")</f>
        <v>Unidade</v>
      </c>
      <c r="Q1461" s="134">
        <v>8</v>
      </c>
      <c r="R1461" s="124">
        <f ca="1">IF(NOT(ISERROR($Y1461)),IF($Y1461&lt;&gt;FALSE,INDEX(Banco,$Y1461,7),0),0)</f>
        <v>12</v>
      </c>
      <c r="S1461" s="136" t="s">
        <v>62</v>
      </c>
      <c r="T1461" s="123">
        <f ca="1">IF($J1461=$G$2,ROUND(ROUND($R1461,2)*IF($R$9="Preço Unitário (R$)",1,1+$AA1461),2),0)</f>
        <v>15</v>
      </c>
      <c r="U1461" s="126">
        <f ca="1">IF($A1461="S",VTOTAL1,IF($A1461=0,0,ROUND(SomaAgrup,2)))</f>
        <v>120</v>
      </c>
      <c r="V1461" s="1"/>
      <c r="W1461" s="39" t="str">
        <f ca="1">IF(OR($A1461=0,$A1461="S",$A1461&gt;CFF!$A$9),"",MAX(W$11:OFFSET(W1461,-1,0))+1)</f>
        <v/>
      </c>
      <c r="X1461" s="4" t="str">
        <f>IF(AND($J1461=$G$2,$N1461&lt;&gt;"",$M1461&lt;&gt;""),CONCATENATE($M1461,"-",$N1461))</f>
        <v>Serv. Terc.-011</v>
      </c>
      <c r="Y1461" s="39">
        <f t="shared" ca="1" si="1881"/>
        <v>91</v>
      </c>
      <c r="Z1461" s="1"/>
      <c r="AA1461" s="133">
        <f>IF($J1461=$G$2,ROUND(IF(ISNUMBER(S1461),S1461,IF(LEFT(S1461,2)="DI",HLOOKUP(S1461,DADOS!$T$29:$X$30,2,FALSE),0)),4),"")</f>
        <v>0.25</v>
      </c>
      <c r="AB1461" s="2"/>
    </row>
    <row r="1462" spans="1:28">
      <c r="A1462" t="str">
        <f t="shared" si="1879"/>
        <v>S</v>
      </c>
      <c r="B1462">
        <f t="shared" si="1880"/>
        <v>0</v>
      </c>
      <c r="C1462">
        <f ca="1">IF($A1462=1,OFFSET(C1462,-1,0)+1,OFFSET(C1462,-1,0))</f>
        <v>18</v>
      </c>
      <c r="D1462">
        <f ca="1">IF($A1462=1,0,IF($A1462=2,OFFSET(D1462,-1,0)+1,OFFSET(D1462,-1,0)))</f>
        <v>2</v>
      </c>
      <c r="E1462">
        <f ca="1">IF(AND($A1462&lt;=2,$A1462&lt;&gt;0),0,IF($A1462=3,OFFSET(E1462,-1,0)+1,OFFSET(E1462,-1,0)))</f>
        <v>0</v>
      </c>
      <c r="F1462">
        <f ca="1">IF(AND($A1462&lt;=3,$A1462&lt;&gt;0),0,IF($A1462=4,OFFSET(F1462,-1,0)+1,OFFSET(F1462,-1,0)))</f>
        <v>0</v>
      </c>
      <c r="G1462">
        <f ca="1">IF(AND($A1462&lt;=4,$A1462&lt;&gt;0),0,IF($A1462="S",OFFSET(G1462,-1,0)+1,OFFSET(G1462,-1,0)))</f>
        <v>15</v>
      </c>
      <c r="H1462">
        <f ca="1">IF(OR($A1462="S",$A1462=0),0,MATCH(0,OFFSET($B1462,1,$A1462,ROW($A$1504)-ROW($A1462)),0))</f>
        <v>0</v>
      </c>
      <c r="I1462">
        <f ca="1">IF(OR($A1462="S",$A1462=0),0,MATCH(OFFSET($B1462,0,$A1462)+1,OFFSET($B1462,1,$A1462,ROW($A$1504)-ROW($A1462)),0))</f>
        <v>0</v>
      </c>
      <c r="J1462" s="132" t="s">
        <v>29</v>
      </c>
      <c r="K1462" s="121" t="str">
        <f ca="1">IF($A1462=0,"-",CONCATENATE(C1462&amp;".",IF(AND($A$5&gt;=2,$A1462&gt;=2),D1462&amp;".",""),IF(AND($A$5&gt;=3,$A1462&gt;=3),E1462&amp;".",""),IF(AND($A$5&gt;=4,$A1462&gt;=4),F1462&amp;".",""),IF($A1462="S",G1462&amp;".","")))</f>
        <v>18.2.15.</v>
      </c>
      <c r="L1462" s="137" t="str">
        <f ca="1">IF(NOT(ISERROR($Y1462)),IF($Y1462&lt;&gt;FALSE,INDEX(Banco,$Y1462,4),""),"")</f>
        <v>Cotação</v>
      </c>
      <c r="M1462" s="122" t="s">
        <v>80</v>
      </c>
      <c r="N1462" s="139" t="s">
        <v>150</v>
      </c>
      <c r="O1462" s="137" t="str">
        <f ca="1">IF(NOT(ISERROR($Y1462)),IF($Y1462&lt;&gt;FALSE,INDEX(Banco,$Y1462,5),""),"")</f>
        <v>Sucos</v>
      </c>
      <c r="P1462" s="138" t="str">
        <f ca="1">IF(NOT(ISERROR($Y1462)),IF($Y1462&lt;&gt;FALSE,INDEX(Banco,$Y1462,6),""),"")</f>
        <v>Unidade</v>
      </c>
      <c r="Q1462" s="134">
        <v>12</v>
      </c>
      <c r="R1462" s="124">
        <f ca="1">IF(NOT(ISERROR($Y1462)),IF($Y1462&lt;&gt;FALSE,INDEX(Banco,$Y1462,7),0),0)</f>
        <v>6.4</v>
      </c>
      <c r="S1462" s="136" t="s">
        <v>62</v>
      </c>
      <c r="T1462" s="123">
        <f ca="1">IF($J1462=$G$2,ROUND(ROUND($R1462,2)*IF($R$9="Preço Unitário (R$)",1,1+$AA1462),2),0)</f>
        <v>8</v>
      </c>
      <c r="U1462" s="126">
        <f ca="1">IF($A1462="S",VTOTAL1,IF($A1462=0,0,ROUND(SomaAgrup,2)))</f>
        <v>96</v>
      </c>
      <c r="V1462" s="1"/>
      <c r="W1462" s="39" t="str">
        <f ca="1">IF(OR($A1462=0,$A1462="S",$A1462&gt;CFF!$A$9),"",MAX(W$11:OFFSET(W1462,-1,0))+1)</f>
        <v/>
      </c>
      <c r="X1462" s="4" t="str">
        <f>IF(AND($J1462=$G$2,$N1462&lt;&gt;"",$M1462&lt;&gt;""),CONCATENATE($M1462,"-",$N1462))</f>
        <v>Serv. Terc.-013</v>
      </c>
      <c r="Y1462" s="39">
        <f t="shared" ca="1" si="1881"/>
        <v>93</v>
      </c>
      <c r="Z1462" s="1"/>
      <c r="AA1462" s="133">
        <f>IF($J1462=$G$2,ROUND(IF(ISNUMBER(S1462),S1462,IF(LEFT(S1462,2)="DI",HLOOKUP(S1462,DADOS!$T$29:$X$30,2,FALSE),0)),4),"")</f>
        <v>0.25</v>
      </c>
      <c r="AB1462" s="2"/>
    </row>
    <row r="1463" spans="1:28">
      <c r="A1463" t="str">
        <f>CHOOSE(1+LOG(1+2*(J1463=$C$2)+4*(J1463=$D$2)+8*(J1463=$E$2)+16*(J1463=$F$2)+32*(J1463=$G$2),2),0,1,2,3,4,"S")</f>
        <v>S</v>
      </c>
      <c r="B1463">
        <f>IF(OR(A1463="S",A1463=0),0,IF(ISERROR(I1463),H1463,SMALL(H1463:I1463,1)))</f>
        <v>0</v>
      </c>
      <c r="C1463">
        <f ca="1">IF($A1463=1,OFFSET(C1463,-1,0)+1,OFFSET(C1463,-1,0))</f>
        <v>18</v>
      </c>
      <c r="D1463">
        <f ca="1">IF($A1463=1,0,IF($A1463=2,OFFSET(D1463,-1,0)+1,OFFSET(D1463,-1,0)))</f>
        <v>2</v>
      </c>
      <c r="E1463">
        <f ca="1">IF(AND($A1463&lt;=2,$A1463&lt;&gt;0),0,IF($A1463=3,OFFSET(E1463,-1,0)+1,OFFSET(E1463,-1,0)))</f>
        <v>0</v>
      </c>
      <c r="F1463">
        <f ca="1">IF(AND($A1463&lt;=3,$A1463&lt;&gt;0),0,IF($A1463=4,OFFSET(F1463,-1,0)+1,OFFSET(F1463,-1,0)))</f>
        <v>0</v>
      </c>
      <c r="G1463">
        <f ca="1">IF(AND($A1463&lt;=4,$A1463&lt;&gt;0),0,IF($A1463="S",OFFSET(G1463,-1,0)+1,OFFSET(G1463,-1,0)))</f>
        <v>16</v>
      </c>
      <c r="H1463">
        <f ca="1">IF(OR($A1463="S",$A1463=0),0,MATCH(0,OFFSET($B1463,1,$A1463,ROW($A$1504)-ROW($A1463)),0))</f>
        <v>0</v>
      </c>
      <c r="I1463">
        <f ca="1">IF(OR($A1463="S",$A1463=0),0,MATCH(OFFSET($B1463,0,$A1463)+1,OFFSET($B1463,1,$A1463,ROW($A$1504)-ROW($A1463)),0))</f>
        <v>0</v>
      </c>
      <c r="J1463" s="132" t="s">
        <v>29</v>
      </c>
      <c r="K1463" s="121" t="str">
        <f ca="1">IF($A1463=0,"-",CONCATENATE(C1463&amp;".",IF(AND($A$5&gt;=2,$A1463&gt;=2),D1463&amp;".",""),IF(AND($A$5&gt;=3,$A1463&gt;=3),E1463&amp;".",""),IF(AND($A$5&gt;=4,$A1463&gt;=4),F1463&amp;".",""),IF($A1463="S",G1463&amp;".","")))</f>
        <v>18.2.16.</v>
      </c>
      <c r="L1463" s="137" t="str">
        <f ca="1">IF(NOT(ISERROR($Y1463)),IF($Y1463&lt;&gt;FALSE,INDEX(Banco,$Y1463,4),""),"")</f>
        <v>Cotação</v>
      </c>
      <c r="M1463" s="122" t="s">
        <v>80</v>
      </c>
      <c r="N1463" s="139" t="s">
        <v>171</v>
      </c>
      <c r="O1463" s="137" t="str">
        <f ca="1">IF(NOT(ISERROR($Y1463)),IF($Y1463&lt;&gt;FALSE,INDEX(Banco,$Y1463,5),""),"")</f>
        <v xml:space="preserve">Refrigerantes (02 litros) </v>
      </c>
      <c r="P1463" s="138" t="str">
        <f ca="1">IF(NOT(ISERROR($Y1463)),IF($Y1463&lt;&gt;FALSE,INDEX(Banco,$Y1463,6),""),"")</f>
        <v>Unidade</v>
      </c>
      <c r="Q1463" s="134">
        <v>20</v>
      </c>
      <c r="R1463" s="124">
        <f ca="1">IF(NOT(ISERROR($Y1463)),IF($Y1463&lt;&gt;FALSE,INDEX(Banco,$Y1463,7),0),0)</f>
        <v>6</v>
      </c>
      <c r="S1463" s="136" t="s">
        <v>62</v>
      </c>
      <c r="T1463" s="123">
        <f ca="1">IF($J1463=$G$2,ROUND(ROUND($R1463,2)*IF($R$9="Preço Unitário (R$)",1,1+$AA1463),2),0)</f>
        <v>7.5</v>
      </c>
      <c r="U1463" s="126">
        <f ca="1">IF($A1463="S",VTOTAL1,IF($A1463=0,0,ROUND(SomaAgrup,2)))</f>
        <v>150</v>
      </c>
      <c r="V1463" s="1"/>
      <c r="W1463" s="39" t="str">
        <f ca="1">IF(OR($A1463=0,$A1463="S",$A1463&gt;CFF!$A$9),"",MAX(W$11:OFFSET(W1463,-1,0))+1)</f>
        <v/>
      </c>
      <c r="X1463" s="4" t="str">
        <f>IF(AND($J1463=$G$2,$N1463&lt;&gt;"",$M1463&lt;&gt;""),CONCATENATE($M1463,"-",$N1463))</f>
        <v>Serv. Terc.-027</v>
      </c>
      <c r="Y1463" s="39">
        <f ca="1">IF(X1463&lt;&gt;FALSE,MATCH(X1463,OFFSET(Banco,0,0,,1),0))</f>
        <v>107</v>
      </c>
      <c r="Z1463" s="1"/>
      <c r="AA1463" s="133">
        <f>IF($J1463=$G$2,ROUND(IF(ISNUMBER(S1463),S1463,IF(LEFT(S1463,2)="DI",HLOOKUP(S1463,DADOS!$T$29:$X$30,2,FALSE),0)),4),"")</f>
        <v>0.25</v>
      </c>
      <c r="AB1463" s="2"/>
    </row>
    <row r="1464" spans="1:28">
      <c r="A1464" t="str">
        <f>CHOOSE(1+LOG(1+2*(J1464=$C$2)+4*(J1464=$D$2)+8*(J1464=$E$2)+16*(J1464=$F$2)+32*(J1464=$G$2),2),0,1,2,3,4,"S")</f>
        <v>S</v>
      </c>
      <c r="B1464">
        <f>IF(OR(A1464="S",A1464=0),0,IF(ISERROR(I1464),H1464,SMALL(H1464:I1464,1)))</f>
        <v>0</v>
      </c>
      <c r="C1464">
        <f ca="1">IF($A1464=1,OFFSET(C1464,-1,0)+1,OFFSET(C1464,-1,0))</f>
        <v>18</v>
      </c>
      <c r="D1464">
        <f ca="1">IF($A1464=1,0,IF($A1464=2,OFFSET(D1464,-1,0)+1,OFFSET(D1464,-1,0)))</f>
        <v>2</v>
      </c>
      <c r="E1464">
        <f ca="1">IF(AND($A1464&lt;=2,$A1464&lt;&gt;0),0,IF($A1464=3,OFFSET(E1464,-1,0)+1,OFFSET(E1464,-1,0)))</f>
        <v>0</v>
      </c>
      <c r="F1464">
        <f ca="1">IF(AND($A1464&lt;=3,$A1464&lt;&gt;0),0,IF($A1464=4,OFFSET(F1464,-1,0)+1,OFFSET(F1464,-1,0)))</f>
        <v>0</v>
      </c>
      <c r="G1464">
        <f ca="1">IF(AND($A1464&lt;=4,$A1464&lt;&gt;0),0,IF($A1464="S",OFFSET(G1464,-1,0)+1,OFFSET(G1464,-1,0)))</f>
        <v>17</v>
      </c>
      <c r="H1464">
        <f ca="1">IF(OR($A1464="S",$A1464=0),0,MATCH(0,OFFSET($B1464,1,$A1464,ROW($A$1504)-ROW($A1464)),0))</f>
        <v>0</v>
      </c>
      <c r="I1464">
        <f ca="1">IF(OR($A1464="S",$A1464=0),0,MATCH(OFFSET($B1464,0,$A1464)+1,OFFSET($B1464,1,$A1464,ROW($A$1504)-ROW($A1464)),0))</f>
        <v>0</v>
      </c>
      <c r="J1464" s="132" t="s">
        <v>29</v>
      </c>
      <c r="K1464" s="121" t="str">
        <f ca="1">IF($A1464=0,"-",CONCATENATE(C1464&amp;".",IF(AND($A$5&gt;=2,$A1464&gt;=2),D1464&amp;".",""),IF(AND($A$5&gt;=3,$A1464&gt;=3),E1464&amp;".",""),IF(AND($A$5&gt;=4,$A1464&gt;=4),F1464&amp;".",""),IF($A1464="S",G1464&amp;".","")))</f>
        <v>18.2.17.</v>
      </c>
      <c r="L1464" s="137" t="str">
        <f ca="1">IF(NOT(ISERROR($Y1464)),IF($Y1464&lt;&gt;FALSE,INDEX(Banco,$Y1464,4),""),"")</f>
        <v xml:space="preserve">Cotação </v>
      </c>
      <c r="M1464" s="122" t="s">
        <v>80</v>
      </c>
      <c r="N1464" s="139" t="s">
        <v>159</v>
      </c>
      <c r="O1464" s="137" t="str">
        <f ca="1">IF(NOT(ISERROR($Y1464)),IF($Y1464&lt;&gt;FALSE,INDEX(Banco,$Y1464,5),""),"")</f>
        <v>Brindes ( descrição nos orçamentos e PTS)</v>
      </c>
      <c r="P1464" s="138" t="str">
        <f ca="1">IF(NOT(ISERROR($Y1464)),IF($Y1464&lt;&gt;FALSE,INDEX(Banco,$Y1464,6),""),"")</f>
        <v>Unidade</v>
      </c>
      <c r="Q1464" s="134">
        <v>8</v>
      </c>
      <c r="R1464" s="124">
        <f ca="1">IF(NOT(ISERROR($Y1464)),IF($Y1464&lt;&gt;FALSE,INDEX(Banco,$Y1464,7),0),0)</f>
        <v>120</v>
      </c>
      <c r="S1464" s="136" t="s">
        <v>62</v>
      </c>
      <c r="T1464" s="123">
        <f ca="1">IF($J1464=$G$2,ROUND(ROUND($R1464,2)*IF($R$9="Preço Unitário (R$)",1,1+$AA1464),2),0)</f>
        <v>150</v>
      </c>
      <c r="U1464" s="126">
        <f ca="1">IF($A1464="S",VTOTAL1,IF($A1464=0,0,ROUND(SomaAgrup,2)))</f>
        <v>1200</v>
      </c>
      <c r="V1464" s="1"/>
      <c r="W1464" s="39" t="str">
        <f ca="1">IF(OR($A1464=0,$A1464="S",$A1464&gt;CFF!$A$9),"",MAX(W$11:OFFSET(W1464,-1,0))+1)</f>
        <v/>
      </c>
      <c r="X1464" s="4" t="str">
        <f>IF(AND($J1464=$G$2,$N1464&lt;&gt;"",$M1464&lt;&gt;""),CONCATENATE($M1464,"-",$N1464))</f>
        <v>Serv. Terc.-010</v>
      </c>
      <c r="Y1464" s="39">
        <f ca="1">IF(X1464&lt;&gt;FALSE,MATCH(X1464,OFFSET(Banco,0,0,,1),0))</f>
        <v>90</v>
      </c>
      <c r="Z1464" s="1"/>
      <c r="AA1464" s="133">
        <f>IF($J1464=$G$2,ROUND(IF(ISNUMBER(S1464),S1464,IF(LEFT(S1464,2)="DI",HLOOKUP(S1464,DADOS!$T$29:$X$30,2,FALSE),0)),4),"")</f>
        <v>0.25</v>
      </c>
      <c r="AB1464" s="2"/>
    </row>
    <row r="1465" spans="1:28">
      <c r="A1465" t="str">
        <f t="shared" si="1879"/>
        <v>S</v>
      </c>
      <c r="B1465">
        <f t="shared" si="1880"/>
        <v>0</v>
      </c>
      <c r="C1465">
        <f ca="1">IF($A1465=1,OFFSET(C1465,-1,0)+1,OFFSET(C1465,-1,0))</f>
        <v>18</v>
      </c>
      <c r="D1465">
        <f ca="1">IF($A1465=1,0,IF($A1465=2,OFFSET(D1465,-1,0)+1,OFFSET(D1465,-1,0)))</f>
        <v>2</v>
      </c>
      <c r="E1465">
        <f ca="1">IF(AND($A1465&lt;=2,$A1465&lt;&gt;0),0,IF($A1465=3,OFFSET(E1465,-1,0)+1,OFFSET(E1465,-1,0)))</f>
        <v>0</v>
      </c>
      <c r="F1465">
        <f ca="1">IF(AND($A1465&lt;=3,$A1465&lt;&gt;0),0,IF($A1465=4,OFFSET(F1465,-1,0)+1,OFFSET(F1465,-1,0)))</f>
        <v>0</v>
      </c>
      <c r="G1465">
        <f ca="1">IF(AND($A1465&lt;=4,$A1465&lt;&gt;0),0,IF($A1465="S",OFFSET(G1465,-1,0)+1,OFFSET(G1465,-1,0)))</f>
        <v>18</v>
      </c>
      <c r="H1465">
        <f ca="1">IF(OR($A1465="S",$A1465=0),0,MATCH(0,OFFSET($B1465,1,$A1465,ROW($A$1504)-ROW($A1465)),0))</f>
        <v>0</v>
      </c>
      <c r="I1465">
        <f ca="1">IF(OR($A1465="S",$A1465=0),0,MATCH(OFFSET($B1465,0,$A1465)+1,OFFSET($B1465,1,$A1465,ROW($A$1504)-ROW($A1465)),0))</f>
        <v>0</v>
      </c>
      <c r="J1465" s="132" t="s">
        <v>29</v>
      </c>
      <c r="K1465" s="121" t="str">
        <f ca="1">IF($A1465=0,"-",CONCATENATE(C1465&amp;".",IF(AND($A$5&gt;=2,$A1465&gt;=2),D1465&amp;".",""),IF(AND($A$5&gt;=3,$A1465&gt;=3),E1465&amp;".",""),IF(AND($A$5&gt;=4,$A1465&gt;=4),F1465&amp;".",""),IF($A1465="S",G1465&amp;".","")))</f>
        <v>18.2.18.</v>
      </c>
      <c r="L1465" s="137" t="str">
        <f ca="1">IF(NOT(ISERROR($Y1465)),IF($Y1465&lt;&gt;FALSE,INDEX(Banco,$Y1465,4),""),"")</f>
        <v>Cotação</v>
      </c>
      <c r="M1465" s="122" t="s">
        <v>80</v>
      </c>
      <c r="N1465" s="139" t="s">
        <v>162</v>
      </c>
      <c r="O1465" s="137" t="str">
        <f ca="1">IF(NOT(ISERROR($Y1465)),IF($Y1465&lt;&gt;FALSE,INDEX(Banco,$Y1465,5),""),"")</f>
        <v>Coffee break (salgados)</v>
      </c>
      <c r="P1465" s="138" t="str">
        <f ca="1">IF(NOT(ISERROR($Y1465)),IF($Y1465&lt;&gt;FALSE,INDEX(Banco,$Y1465,6),""),"")</f>
        <v>Centro</v>
      </c>
      <c r="Q1465" s="134">
        <v>15</v>
      </c>
      <c r="R1465" s="124">
        <f ca="1">IF(NOT(ISERROR($Y1465)),IF($Y1465&lt;&gt;FALSE,INDEX(Banco,$Y1465,7),0),0)</f>
        <v>65</v>
      </c>
      <c r="S1465" s="136" t="s">
        <v>62</v>
      </c>
      <c r="T1465" s="123">
        <f ca="1">IF($J1465=$G$2,ROUND(ROUND($R1465,2)*IF($R$9="Preço Unitário (R$)",1,1+$AA1465),2),0)</f>
        <v>81.25</v>
      </c>
      <c r="U1465" s="126">
        <f ca="1">IF($A1465="S",VTOTAL1,IF($A1465=0,0,ROUND(SomaAgrup,2)))</f>
        <v>1218.75</v>
      </c>
      <c r="V1465" s="1"/>
      <c r="W1465" s="39" t="str">
        <f ca="1">IF(OR($A1465=0,$A1465="S",$A1465&gt;CFF!$A$9),"",MAX(W$11:OFFSET(W1465,-1,0))+1)</f>
        <v/>
      </c>
      <c r="X1465" s="4" t="str">
        <f>IF(AND($J1465=$G$2,$N1465&lt;&gt;"",$M1465&lt;&gt;""),CONCATENATE($M1465,"-",$N1465))</f>
        <v>Serv. Terc.-015</v>
      </c>
      <c r="Y1465" s="39">
        <f t="shared" ca="1" si="1881"/>
        <v>95</v>
      </c>
      <c r="Z1465" s="1"/>
      <c r="AA1465" s="133">
        <f>IF($J1465=$G$2,ROUND(IF(ISNUMBER(S1465),S1465,IF(LEFT(S1465,2)="DI",HLOOKUP(S1465,DADOS!$T$29:$X$30,2,FALSE),0)),4),"")</f>
        <v>0.25</v>
      </c>
      <c r="AB1465" s="2"/>
    </row>
    <row r="1466" spans="1:28">
      <c r="A1466" t="str">
        <f t="shared" ref="A1466:A1473" si="1882">CHOOSE(1+LOG(1+2*(J1466=$C$2)+4*(J1466=$D$2)+8*(J1466=$E$2)+16*(J1466=$F$2)+32*(J1466=$G$2),2),0,1,2,3,4,"S")</f>
        <v>S</v>
      </c>
      <c r="B1466">
        <f t="shared" ref="B1466:B1473" si="1883">IF(OR(A1466="S",A1466=0),0,IF(ISERROR(I1466),H1466,SMALL(H1466:I1466,1)))</f>
        <v>0</v>
      </c>
      <c r="C1466">
        <f ca="1">IF($A1466=1,OFFSET(C1466,-1,0)+1,OFFSET(C1466,-1,0))</f>
        <v>18</v>
      </c>
      <c r="D1466">
        <f ca="1">IF($A1466=1,0,IF($A1466=2,OFFSET(D1466,-1,0)+1,OFFSET(D1466,-1,0)))</f>
        <v>2</v>
      </c>
      <c r="E1466">
        <f ca="1">IF(AND($A1466&lt;=2,$A1466&lt;&gt;0),0,IF($A1466=3,OFFSET(E1466,-1,0)+1,OFFSET(E1466,-1,0)))</f>
        <v>0</v>
      </c>
      <c r="F1466">
        <f ca="1">IF(AND($A1466&lt;=3,$A1466&lt;&gt;0),0,IF($A1466=4,OFFSET(F1466,-1,0)+1,OFFSET(F1466,-1,0)))</f>
        <v>0</v>
      </c>
      <c r="G1466">
        <f ca="1">IF(AND($A1466&lt;=4,$A1466&lt;&gt;0),0,IF($A1466="S",OFFSET(G1466,-1,0)+1,OFFSET(G1466,-1,0)))</f>
        <v>19</v>
      </c>
      <c r="H1466">
        <f ca="1">IF(OR($A1466="S",$A1466=0),0,MATCH(0,OFFSET($B1466,1,$A1466,ROW($A$1504)-ROW($A1466)),0))</f>
        <v>0</v>
      </c>
      <c r="I1466">
        <f ca="1">IF(OR($A1466="S",$A1466=0),0,MATCH(OFFSET($B1466,0,$A1466)+1,OFFSET($B1466,1,$A1466,ROW($A$1504)-ROW($A1466)),0))</f>
        <v>0</v>
      </c>
      <c r="J1466" s="132" t="s">
        <v>29</v>
      </c>
      <c r="K1466" s="121" t="str">
        <f ca="1">IF($A1466=0,"-",CONCATENATE(C1466&amp;".",IF(AND($A$5&gt;=2,$A1466&gt;=2),D1466&amp;".",""),IF(AND($A$5&gt;=3,$A1466&gt;=3),E1466&amp;".",""),IF(AND($A$5&gt;=4,$A1466&gt;=4),F1466&amp;".",""),IF($A1466="S",G1466&amp;".","")))</f>
        <v>18.2.19.</v>
      </c>
      <c r="L1466" s="137" t="str">
        <f ca="1">IF(NOT(ISERROR($Y1466)),IF($Y1466&lt;&gt;FALSE,INDEX(Banco,$Y1466,4),""),"")</f>
        <v>Cotação</v>
      </c>
      <c r="M1466" s="122" t="s">
        <v>79</v>
      </c>
      <c r="N1466" s="139" t="s">
        <v>163</v>
      </c>
      <c r="O1466" s="137" t="str">
        <f ca="1">IF(NOT(ISERROR($Y1466)),IF($Y1466&lt;&gt;FALSE,INDEX(Banco,$Y1466,5),""),"")</f>
        <v>Guloseimas (balas e pirulito)</v>
      </c>
      <c r="P1466" s="138" t="str">
        <f ca="1">IF(NOT(ISERROR($Y1466)),IF($Y1466&lt;&gt;FALSE,INDEX(Banco,$Y1466,6),""),"")</f>
        <v>Pacote</v>
      </c>
      <c r="Q1466" s="134">
        <v>8</v>
      </c>
      <c r="R1466" s="124">
        <f ca="1">IF(NOT(ISERROR($Y1466)),IF($Y1466&lt;&gt;FALSE,INDEX(Banco,$Y1466,7),0),0)</f>
        <v>12</v>
      </c>
      <c r="S1466" s="136" t="s">
        <v>62</v>
      </c>
      <c r="T1466" s="123">
        <f ca="1">IF($J1466=$G$2,ROUND(ROUND($R1466,2)*IF($R$9="Preço Unitário (R$)",1,1+$AA1466),2),0)</f>
        <v>15</v>
      </c>
      <c r="U1466" s="126">
        <f ca="1">IF($A1466="S",VTOTAL1,IF($A1466=0,0,ROUND(SomaAgrup,2)))</f>
        <v>120</v>
      </c>
      <c r="V1466" s="1"/>
      <c r="W1466" s="39" t="str">
        <f ca="1">IF(OR($A1466=0,$A1466="S",$A1466&gt;CFF!$A$9),"",MAX(W$11:OFFSET(W1466,-1,0))+1)</f>
        <v/>
      </c>
      <c r="X1466" s="4" t="str">
        <f>IF(AND($J1466=$G$2,$N1466&lt;&gt;"",$M1466&lt;&gt;""),CONCATENATE($M1466,"-",$N1466))</f>
        <v>Rec. Materiais-020</v>
      </c>
      <c r="Y1466" s="39">
        <f t="shared" ref="Y1466:Y1473" ca="1" si="1884">IF(X1466&lt;&gt;FALSE,MATCH(X1466,OFFSET(Banco,0,0,,1),0))</f>
        <v>29</v>
      </c>
      <c r="Z1466" s="1"/>
      <c r="AA1466" s="133">
        <f>IF($J1466=$G$2,ROUND(IF(ISNUMBER(S1466),S1466,IF(LEFT(S1466,2)="DI",HLOOKUP(S1466,DADOS!$T$29:$X$30,2,FALSE),0)),4),"")</f>
        <v>0.25</v>
      </c>
      <c r="AB1466" s="2"/>
    </row>
    <row r="1467" spans="1:28">
      <c r="A1467" t="str">
        <f t="shared" si="1882"/>
        <v>S</v>
      </c>
      <c r="B1467">
        <f t="shared" si="1883"/>
        <v>0</v>
      </c>
      <c r="C1467">
        <f ca="1">IF($A1467=1,OFFSET(C1467,-1,0)+1,OFFSET(C1467,-1,0))</f>
        <v>18</v>
      </c>
      <c r="D1467">
        <f ca="1">IF($A1467=1,0,IF($A1467=2,OFFSET(D1467,-1,0)+1,OFFSET(D1467,-1,0)))</f>
        <v>2</v>
      </c>
      <c r="E1467">
        <f ca="1">IF(AND($A1467&lt;=2,$A1467&lt;&gt;0),0,IF($A1467=3,OFFSET(E1467,-1,0)+1,OFFSET(E1467,-1,0)))</f>
        <v>0</v>
      </c>
      <c r="F1467">
        <f ca="1">IF(AND($A1467&lt;=3,$A1467&lt;&gt;0),0,IF($A1467=4,OFFSET(F1467,-1,0)+1,OFFSET(F1467,-1,0)))</f>
        <v>0</v>
      </c>
      <c r="G1467">
        <f ca="1">IF(AND($A1467&lt;=4,$A1467&lt;&gt;0),0,IF($A1467="S",OFFSET(G1467,-1,0)+1,OFFSET(G1467,-1,0)))</f>
        <v>20</v>
      </c>
      <c r="H1467">
        <f ca="1">IF(OR($A1467="S",$A1467=0),0,MATCH(0,OFFSET($B1467,1,$A1467,ROW($A$1504)-ROW($A1467)),0))</f>
        <v>0</v>
      </c>
      <c r="I1467">
        <f ca="1">IF(OR($A1467="S",$A1467=0),0,MATCH(OFFSET($B1467,0,$A1467)+1,OFFSET($B1467,1,$A1467,ROW($A$1504)-ROW($A1467)),0))</f>
        <v>0</v>
      </c>
      <c r="J1467" s="132" t="s">
        <v>29</v>
      </c>
      <c r="K1467" s="121" t="str">
        <f ca="1">IF($A1467=0,"-",CONCATENATE(C1467&amp;".",IF(AND($A$5&gt;=2,$A1467&gt;=2),D1467&amp;".",""),IF(AND($A$5&gt;=3,$A1467&gt;=3),E1467&amp;".",""),IF(AND($A$5&gt;=4,$A1467&gt;=4),F1467&amp;".",""),IF($A1467="S",G1467&amp;".","")))</f>
        <v>18.2.20.</v>
      </c>
      <c r="L1467" s="137" t="str">
        <f ca="1">IF(NOT(ISERROR($Y1467)),IF($Y1467&lt;&gt;FALSE,INDEX(Banco,$Y1467,4),""),"")</f>
        <v>Cotação</v>
      </c>
      <c r="M1467" s="122" t="s">
        <v>79</v>
      </c>
      <c r="N1467" s="139" t="s">
        <v>165</v>
      </c>
      <c r="O1467" s="137" t="str">
        <f ca="1">IF(NOT(ISERROR($Y1467)),IF($Y1467&lt;&gt;FALSE,INDEX(Banco,$Y1467,5),""),"")</f>
        <v>Papel de presente</v>
      </c>
      <c r="P1467" s="138" t="str">
        <f ca="1">IF(NOT(ISERROR($Y1467)),IF($Y1467&lt;&gt;FALSE,INDEX(Banco,$Y1467,6),""),"")</f>
        <v>Folhas</v>
      </c>
      <c r="Q1467" s="134">
        <v>16</v>
      </c>
      <c r="R1467" s="124">
        <f ca="1">IF(NOT(ISERROR($Y1467)),IF($Y1467&lt;&gt;FALSE,INDEX(Banco,$Y1467,7),0),0)</f>
        <v>1.5</v>
      </c>
      <c r="S1467" s="136" t="s">
        <v>62</v>
      </c>
      <c r="T1467" s="123">
        <f ca="1">IF($J1467=$G$2,ROUND(ROUND($R1467,2)*IF($R$9="Preço Unitário (R$)",1,1+$AA1467),2),0)</f>
        <v>1.88</v>
      </c>
      <c r="U1467" s="126">
        <f ca="1">IF($A1467="S",VTOTAL1,IF($A1467=0,0,ROUND(SomaAgrup,2)))</f>
        <v>30.08</v>
      </c>
      <c r="V1467" s="1"/>
      <c r="W1467" s="39" t="str">
        <f ca="1">IF(OR($A1467=0,$A1467="S",$A1467&gt;CFF!$A$9),"",MAX(W$11:OFFSET(W1467,-1,0))+1)</f>
        <v/>
      </c>
      <c r="X1467" s="4" t="str">
        <f>IF(AND($J1467=$G$2,$N1467&lt;&gt;"",$M1467&lt;&gt;""),CONCATENATE($M1467,"-",$N1467))</f>
        <v>Rec. Materiais-021</v>
      </c>
      <c r="Y1467" s="39">
        <f t="shared" ca="1" si="1884"/>
        <v>30</v>
      </c>
      <c r="Z1467" s="1"/>
      <c r="AA1467" s="133">
        <f>IF($J1467=$G$2,ROUND(IF(ISNUMBER(S1467),S1467,IF(LEFT(S1467,2)="DI",HLOOKUP(S1467,DADOS!$T$29:$X$30,2,FALSE),0)),4),"")</f>
        <v>0.25</v>
      </c>
      <c r="AB1467" s="2"/>
    </row>
    <row r="1468" spans="1:28">
      <c r="A1468" t="str">
        <f t="shared" si="1882"/>
        <v>S</v>
      </c>
      <c r="B1468">
        <f t="shared" si="1883"/>
        <v>0</v>
      </c>
      <c r="C1468">
        <f ca="1">IF($A1468=1,OFFSET(C1468,-1,0)+1,OFFSET(C1468,-1,0))</f>
        <v>18</v>
      </c>
      <c r="D1468">
        <f ca="1">IF($A1468=1,0,IF($A1468=2,OFFSET(D1468,-1,0)+1,OFFSET(D1468,-1,0)))</f>
        <v>2</v>
      </c>
      <c r="E1468">
        <f ca="1">IF(AND($A1468&lt;=2,$A1468&lt;&gt;0),0,IF($A1468=3,OFFSET(E1468,-1,0)+1,OFFSET(E1468,-1,0)))</f>
        <v>0</v>
      </c>
      <c r="F1468">
        <f ca="1">IF(AND($A1468&lt;=3,$A1468&lt;&gt;0),0,IF($A1468=4,OFFSET(F1468,-1,0)+1,OFFSET(F1468,-1,0)))</f>
        <v>0</v>
      </c>
      <c r="G1468">
        <f ca="1">IF(AND($A1468&lt;=4,$A1468&lt;&gt;0),0,IF($A1468="S",OFFSET(G1468,-1,0)+1,OFFSET(G1468,-1,0)))</f>
        <v>21</v>
      </c>
      <c r="H1468">
        <f ca="1">IF(OR($A1468="S",$A1468=0),0,MATCH(0,OFFSET($B1468,1,$A1468,ROW($A$1504)-ROW($A1468)),0))</f>
        <v>0</v>
      </c>
      <c r="I1468">
        <f ca="1">IF(OR($A1468="S",$A1468=0),0,MATCH(OFFSET($B1468,0,$A1468)+1,OFFSET($B1468,1,$A1468,ROW($A$1504)-ROW($A1468)),0))</f>
        <v>0</v>
      </c>
      <c r="J1468" s="132" t="s">
        <v>29</v>
      </c>
      <c r="K1468" s="121" t="str">
        <f ca="1">IF($A1468=0,"-",CONCATENATE(C1468&amp;".",IF(AND($A$5&gt;=2,$A1468&gt;=2),D1468&amp;".",""),IF(AND($A$5&gt;=3,$A1468&gt;=3),E1468&amp;".",""),IF(AND($A$5&gt;=4,$A1468&gt;=4),F1468&amp;".",""),IF($A1468="S",G1468&amp;".","")))</f>
        <v>18.2.21.</v>
      </c>
      <c r="L1468" s="137" t="str">
        <f ca="1">IF(NOT(ISERROR($Y1468)),IF($Y1468&lt;&gt;FALSE,INDEX(Banco,$Y1468,4),""),"")</f>
        <v>Cotação</v>
      </c>
      <c r="M1468" s="122" t="s">
        <v>79</v>
      </c>
      <c r="N1468" s="139" t="s">
        <v>170</v>
      </c>
      <c r="O1468" s="137" t="str">
        <f ca="1">IF(NOT(ISERROR($Y1468)),IF($Y1468&lt;&gt;FALSE,INDEX(Banco,$Y1468,5),""),"")</f>
        <v>Saco de lixo (100 litros)</v>
      </c>
      <c r="P1468" s="138" t="str">
        <f ca="1">IF(NOT(ISERROR($Y1468)),IF($Y1468&lt;&gt;FALSE,INDEX(Banco,$Y1468,6),""),"")</f>
        <v>Pacote</v>
      </c>
      <c r="Q1468" s="134">
        <v>2</v>
      </c>
      <c r="R1468" s="124">
        <f ca="1">IF(NOT(ISERROR($Y1468)),IF($Y1468&lt;&gt;FALSE,INDEX(Banco,$Y1468,7),0),0)</f>
        <v>15</v>
      </c>
      <c r="S1468" s="136" t="s">
        <v>62</v>
      </c>
      <c r="T1468" s="123">
        <f ca="1">IF($J1468=$G$2,ROUND(ROUND($R1468,2)*IF($R$9="Preço Unitário (R$)",1,1+$AA1468),2),0)</f>
        <v>18.75</v>
      </c>
      <c r="U1468" s="126">
        <f ca="1">IF($A1468="S",VTOTAL1,IF($A1468=0,0,ROUND(SomaAgrup,2)))</f>
        <v>37.5</v>
      </c>
      <c r="V1468" s="1"/>
      <c r="W1468" s="39" t="str">
        <f ca="1">IF(OR($A1468=0,$A1468="S",$A1468&gt;CFF!$A$9),"",MAX(W$11:OFFSET(W1468,-1,0))+1)</f>
        <v/>
      </c>
      <c r="X1468" s="4" t="str">
        <f>IF(AND($J1468=$G$2,$N1468&lt;&gt;"",$M1468&lt;&gt;""),CONCATENATE($M1468,"-",$N1468))</f>
        <v>Rec. Materiais-026</v>
      </c>
      <c r="Y1468" s="39">
        <f t="shared" ca="1" si="1884"/>
        <v>35</v>
      </c>
      <c r="Z1468" s="1"/>
      <c r="AA1468" s="133">
        <f>IF($J1468=$G$2,ROUND(IF(ISNUMBER(S1468),S1468,IF(LEFT(S1468,2)="DI",HLOOKUP(S1468,DADOS!$T$29:$X$30,2,FALSE),0)),4),"")</f>
        <v>0.25</v>
      </c>
      <c r="AB1468" s="2"/>
    </row>
    <row r="1469" spans="1:28">
      <c r="A1469" t="str">
        <f>CHOOSE(1+LOG(1+2*(J1469=$C$2)+4*(J1469=$D$2)+8*(J1469=$E$2)+16*(J1469=$F$2)+32*(J1469=$G$2),2),0,1,2,3,4,"S")</f>
        <v>S</v>
      </c>
      <c r="B1469">
        <f>IF(OR(A1469="S",A1469=0),0,IF(ISERROR(I1469),H1469,SMALL(H1469:I1469,1)))</f>
        <v>0</v>
      </c>
      <c r="C1469">
        <f ca="1">IF($A1469=1,OFFSET(C1469,-1,0)+1,OFFSET(C1469,-1,0))</f>
        <v>18</v>
      </c>
      <c r="D1469">
        <f ca="1">IF($A1469=1,0,IF($A1469=2,OFFSET(D1469,-1,0)+1,OFFSET(D1469,-1,0)))</f>
        <v>2</v>
      </c>
      <c r="E1469">
        <f ca="1">IF(AND($A1469&lt;=2,$A1469&lt;&gt;0),0,IF($A1469=3,OFFSET(E1469,-1,0)+1,OFFSET(E1469,-1,0)))</f>
        <v>0</v>
      </c>
      <c r="F1469">
        <f ca="1">IF(AND($A1469&lt;=3,$A1469&lt;&gt;0),0,IF($A1469=4,OFFSET(F1469,-1,0)+1,OFFSET(F1469,-1,0)))</f>
        <v>0</v>
      </c>
      <c r="G1469">
        <f ca="1">IF(AND($A1469&lt;=4,$A1469&lt;&gt;0),0,IF($A1469="S",OFFSET(G1469,-1,0)+1,OFFSET(G1469,-1,0)))</f>
        <v>22</v>
      </c>
      <c r="H1469">
        <f ca="1">IF(OR($A1469="S",$A1469=0),0,MATCH(0,OFFSET($B1469,1,$A1469,ROW($A$1504)-ROW($A1469)),0))</f>
        <v>0</v>
      </c>
      <c r="I1469">
        <f ca="1">IF(OR($A1469="S",$A1469=0),0,MATCH(OFFSET($B1469,0,$A1469)+1,OFFSET($B1469,1,$A1469,ROW($A$1504)-ROW($A1469)),0))</f>
        <v>0</v>
      </c>
      <c r="J1469" s="132" t="s">
        <v>29</v>
      </c>
      <c r="K1469" s="121" t="str">
        <f ca="1">IF($A1469=0,"-",CONCATENATE(C1469&amp;".",IF(AND($A$5&gt;=2,$A1469&gt;=2),D1469&amp;".",""),IF(AND($A$5&gt;=3,$A1469&gt;=3),E1469&amp;".",""),IF(AND($A$5&gt;=4,$A1469&gt;=4),F1469&amp;".",""),IF($A1469="S",G1469&amp;".","")))</f>
        <v>18.2.22.</v>
      </c>
      <c r="L1469" s="137" t="str">
        <f ca="1">IF(NOT(ISERROR($Y1469)),IF($Y1469&lt;&gt;FALSE,INDEX(Banco,$Y1469,4),""),"")</f>
        <v>Cotação</v>
      </c>
      <c r="M1469" s="122" t="s">
        <v>79</v>
      </c>
      <c r="N1469" s="139" t="s">
        <v>149</v>
      </c>
      <c r="O1469" s="137" t="str">
        <f ca="1">IF(NOT(ISERROR($Y1469)),IF($Y1469&lt;&gt;FALSE,INDEX(Banco,$Y1469,5),""),"")</f>
        <v>Papel A4</v>
      </c>
      <c r="P1469" s="138" t="str">
        <f ca="1">IF(NOT(ISERROR($Y1469)),IF($Y1469&lt;&gt;FALSE,INDEX(Banco,$Y1469,6),""),"")</f>
        <v>Resma</v>
      </c>
      <c r="Q1469" s="134">
        <v>1</v>
      </c>
      <c r="R1469" s="124">
        <f ca="1">IF(NOT(ISERROR($Y1469)),IF($Y1469&lt;&gt;FALSE,INDEX(Banco,$Y1469,7),0),0)</f>
        <v>28</v>
      </c>
      <c r="S1469" s="136" t="s">
        <v>62</v>
      </c>
      <c r="T1469" s="123">
        <f ca="1">IF($J1469=$G$2,ROUND(ROUND($R1469,2)*IF($R$9="Preço Unitário (R$)",1,1+$AA1469),2),0)</f>
        <v>35</v>
      </c>
      <c r="U1469" s="126">
        <f ca="1">IF($A1469="S",VTOTAL1,IF($A1469=0,0,ROUND(SomaAgrup,2)))</f>
        <v>35</v>
      </c>
      <c r="V1469" s="1"/>
      <c r="W1469" s="39" t="str">
        <f ca="1">IF(OR($A1469=0,$A1469="S",$A1469&gt;CFF!$A$9),"",MAX(W$11:OFFSET(W1469,-1,0))+1)</f>
        <v/>
      </c>
      <c r="X1469" s="4" t="str">
        <f>IF(AND($J1469=$G$2,$N1469&lt;&gt;"",$M1469&lt;&gt;""),CONCATENATE($M1469,"-",$N1469))</f>
        <v>Rec. Materiais-001</v>
      </c>
      <c r="Y1469" s="39">
        <f ca="1">IF(X1469&lt;&gt;FALSE,MATCH(X1469,OFFSET(Banco,0,0,,1),0))</f>
        <v>10</v>
      </c>
      <c r="Z1469" s="1"/>
      <c r="AA1469" s="133">
        <f>IF($J1469=$G$2,ROUND(IF(ISNUMBER(S1469),S1469,IF(LEFT(S1469,2)="DI",HLOOKUP(S1469,DADOS!$T$29:$X$30,2,FALSE),0)),4),"")</f>
        <v>0.25</v>
      </c>
      <c r="AB1469" s="2"/>
    </row>
    <row r="1470" spans="1:28">
      <c r="A1470" t="str">
        <f>CHOOSE(1+LOG(1+2*(J1470=$C$2)+4*(J1470=$D$2)+8*(J1470=$E$2)+16*(J1470=$F$2)+32*(J1470=$G$2),2),0,1,2,3,4,"S")</f>
        <v>S</v>
      </c>
      <c r="B1470">
        <f>IF(OR(A1470="S",A1470=0),0,IF(ISERROR(I1470),H1470,SMALL(H1470:I1470,1)))</f>
        <v>0</v>
      </c>
      <c r="C1470">
        <f ca="1">IF($A1470=1,OFFSET(C1470,-1,0)+1,OFFSET(C1470,-1,0))</f>
        <v>18</v>
      </c>
      <c r="D1470">
        <f ca="1">IF($A1470=1,0,IF($A1470=2,OFFSET(D1470,-1,0)+1,OFFSET(D1470,-1,0)))</f>
        <v>2</v>
      </c>
      <c r="E1470">
        <f ca="1">IF(AND($A1470&lt;=2,$A1470&lt;&gt;0),0,IF($A1470=3,OFFSET(E1470,-1,0)+1,OFFSET(E1470,-1,0)))</f>
        <v>0</v>
      </c>
      <c r="F1470">
        <f ca="1">IF(AND($A1470&lt;=3,$A1470&lt;&gt;0),0,IF($A1470=4,OFFSET(F1470,-1,0)+1,OFFSET(F1470,-1,0)))</f>
        <v>0</v>
      </c>
      <c r="G1470">
        <f ca="1">IF(AND($A1470&lt;=4,$A1470&lt;&gt;0),0,IF($A1470="S",OFFSET(G1470,-1,0)+1,OFFSET(G1470,-1,0)))</f>
        <v>23</v>
      </c>
      <c r="H1470">
        <f ca="1">IF(OR($A1470="S",$A1470=0),0,MATCH(0,OFFSET($B1470,1,$A1470,ROW($A$1504)-ROW($A1470)),0))</f>
        <v>0</v>
      </c>
      <c r="I1470">
        <f ca="1">IF(OR($A1470="S",$A1470=0),0,MATCH(OFFSET($B1470,0,$A1470)+1,OFFSET($B1470,1,$A1470,ROW($A$1504)-ROW($A1470)),0))</f>
        <v>0</v>
      </c>
      <c r="J1470" s="132" t="s">
        <v>29</v>
      </c>
      <c r="K1470" s="121" t="str">
        <f ca="1">IF($A1470=0,"-",CONCATENATE(C1470&amp;".",IF(AND($A$5&gt;=2,$A1470&gt;=2),D1470&amp;".",""),IF(AND($A$5&gt;=3,$A1470&gt;=3),E1470&amp;".",""),IF(AND($A$5&gt;=4,$A1470&gt;=4),F1470&amp;".",""),IF($A1470="S",G1470&amp;".","")))</f>
        <v>18.2.23.</v>
      </c>
      <c r="L1470" s="137" t="str">
        <f ca="1">IF(NOT(ISERROR($Y1470)),IF($Y1470&lt;&gt;FALSE,INDEX(Banco,$Y1470,4),""),"")</f>
        <v>Cotação</v>
      </c>
      <c r="M1470" s="122" t="s">
        <v>79</v>
      </c>
      <c r="N1470" s="139" t="s">
        <v>152</v>
      </c>
      <c r="O1470" s="137" t="str">
        <f ca="1">IF(NOT(ISERROR($Y1470)),IF($Y1470&lt;&gt;FALSE,INDEX(Banco,$Y1470,5),""),"")</f>
        <v>Toner para impressora</v>
      </c>
      <c r="P1470" s="138" t="str">
        <f ca="1">IF(NOT(ISERROR($Y1470)),IF($Y1470&lt;&gt;FALSE,INDEX(Banco,$Y1470,6),""),"")</f>
        <v>Unidade</v>
      </c>
      <c r="Q1470" s="134">
        <v>4</v>
      </c>
      <c r="R1470" s="124">
        <f ca="1">IF(NOT(ISERROR($Y1470)),IF($Y1470&lt;&gt;FALSE,INDEX(Banco,$Y1470,7),0),0)</f>
        <v>180</v>
      </c>
      <c r="S1470" s="136" t="s">
        <v>62</v>
      </c>
      <c r="T1470" s="123">
        <f ca="1">IF($J1470=$G$2,ROUND(ROUND($R1470,2)*IF($R$9="Preço Unitário (R$)",1,1+$AA1470),2),0)</f>
        <v>225</v>
      </c>
      <c r="U1470" s="126">
        <f ca="1">IF($A1470="S",VTOTAL1,IF($A1470=0,0,ROUND(SomaAgrup,2)))</f>
        <v>900</v>
      </c>
      <c r="V1470" s="1"/>
      <c r="W1470" s="39" t="str">
        <f ca="1">IF(OR($A1470=0,$A1470="S",$A1470&gt;CFF!$A$9),"",MAX(W$11:OFFSET(W1470,-1,0))+1)</f>
        <v/>
      </c>
      <c r="X1470" s="4" t="str">
        <f>IF(AND($J1470=$G$2,$N1470&lt;&gt;"",$M1470&lt;&gt;""),CONCATENATE($M1470,"-",$N1470))</f>
        <v>Rec. Materiais-002</v>
      </c>
      <c r="Y1470" s="39">
        <f ca="1">IF(X1470&lt;&gt;FALSE,MATCH(X1470,OFFSET(Banco,0,0,,1),0))</f>
        <v>11</v>
      </c>
      <c r="Z1470" s="1"/>
      <c r="AA1470" s="133">
        <f>IF($J1470=$G$2,ROUND(IF(ISNUMBER(S1470),S1470,IF(LEFT(S1470,2)="DI",HLOOKUP(S1470,DADOS!$T$29:$X$30,2,FALSE),0)),4),"")</f>
        <v>0.25</v>
      </c>
      <c r="AB1470" s="2"/>
    </row>
    <row r="1471" spans="1:28">
      <c r="A1471" t="str">
        <f t="shared" si="1882"/>
        <v>S</v>
      </c>
      <c r="B1471">
        <f t="shared" si="1883"/>
        <v>0</v>
      </c>
      <c r="C1471">
        <f ca="1">IF($A1471=1,OFFSET(C1471,-1,0)+1,OFFSET(C1471,-1,0))</f>
        <v>18</v>
      </c>
      <c r="D1471">
        <f ca="1">IF($A1471=1,0,IF($A1471=2,OFFSET(D1471,-1,0)+1,OFFSET(D1471,-1,0)))</f>
        <v>2</v>
      </c>
      <c r="E1471">
        <f ca="1">IF(AND($A1471&lt;=2,$A1471&lt;&gt;0),0,IF($A1471=3,OFFSET(E1471,-1,0)+1,OFFSET(E1471,-1,0)))</f>
        <v>0</v>
      </c>
      <c r="F1471">
        <f ca="1">IF(AND($A1471&lt;=3,$A1471&lt;&gt;0),0,IF($A1471=4,OFFSET(F1471,-1,0)+1,OFFSET(F1471,-1,0)))</f>
        <v>0</v>
      </c>
      <c r="G1471">
        <f ca="1">IF(AND($A1471&lt;=4,$A1471&lt;&gt;0),0,IF($A1471="S",OFFSET(G1471,-1,0)+1,OFFSET(G1471,-1,0)))</f>
        <v>24</v>
      </c>
      <c r="H1471">
        <f ca="1">IF(OR($A1471="S",$A1471=0),0,MATCH(0,OFFSET($B1471,1,$A1471,ROW($A$1504)-ROW($A1471)),0))</f>
        <v>0</v>
      </c>
      <c r="I1471">
        <f ca="1">IF(OR($A1471="S",$A1471=0),0,MATCH(OFFSET($B1471,0,$A1471)+1,OFFSET($B1471,1,$A1471,ROW($A$1504)-ROW($A1471)),0))</f>
        <v>0</v>
      </c>
      <c r="J1471" s="132" t="s">
        <v>29</v>
      </c>
      <c r="K1471" s="121" t="str">
        <f ca="1">IF($A1471=0,"-",CONCATENATE(C1471&amp;".",IF(AND($A$5&gt;=2,$A1471&gt;=2),D1471&amp;".",""),IF(AND($A$5&gt;=3,$A1471&gt;=3),E1471&amp;".",""),IF(AND($A$5&gt;=4,$A1471&gt;=4),F1471&amp;".",""),IF($A1471="S",G1471&amp;".","")))</f>
        <v>18.2.24.</v>
      </c>
      <c r="L1471" s="137" t="str">
        <f ca="1">IF(NOT(ISERROR($Y1471)),IF($Y1471&lt;&gt;FALSE,INDEX(Banco,$Y1471,4),""),"")</f>
        <v>Cotação</v>
      </c>
      <c r="M1471" s="122" t="s">
        <v>79</v>
      </c>
      <c r="N1471" s="139" t="s">
        <v>164</v>
      </c>
      <c r="O1471" s="137" t="str">
        <f ca="1">IF(NOT(ISERROR($Y1471)),IF($Y1471&lt;&gt;FALSE,INDEX(Banco,$Y1471,5),""),"")</f>
        <v>Copos descartáveis (2500 unidades)</v>
      </c>
      <c r="P1471" s="138" t="str">
        <f ca="1">IF(NOT(ISERROR($Y1471)),IF($Y1471&lt;&gt;FALSE,INDEX(Banco,$Y1471,6),""),"")</f>
        <v>Caixa</v>
      </c>
      <c r="Q1471" s="134">
        <v>1</v>
      </c>
      <c r="R1471" s="124">
        <f ca="1">IF(NOT(ISERROR($Y1471)),IF($Y1471&lt;&gt;FALSE,INDEX(Banco,$Y1471,7),0),0)</f>
        <v>77.400000000000006</v>
      </c>
      <c r="S1471" s="136" t="s">
        <v>62</v>
      </c>
      <c r="T1471" s="123">
        <f ca="1">IF($J1471=$G$2,ROUND(ROUND($R1471,2)*IF($R$9="Preço Unitário (R$)",1,1+$AA1471),2),0)</f>
        <v>96.75</v>
      </c>
      <c r="U1471" s="126">
        <f ca="1">IF($A1471="S",VTOTAL1,IF($A1471=0,0,ROUND(SomaAgrup,2)))</f>
        <v>96.75</v>
      </c>
      <c r="V1471" s="1"/>
      <c r="W1471" s="39" t="str">
        <f ca="1">IF(OR($A1471=0,$A1471="S",$A1471&gt;CFF!$A$9),"",MAX(W$11:OFFSET(W1471,-1,0))+1)</f>
        <v/>
      </c>
      <c r="X1471" s="4" t="str">
        <f>IF(AND($J1471=$G$2,$N1471&lt;&gt;"",$M1471&lt;&gt;""),CONCATENATE($M1471,"-",$N1471))</f>
        <v>Rec. Materiais-019</v>
      </c>
      <c r="Y1471" s="39">
        <f t="shared" ca="1" si="1884"/>
        <v>28</v>
      </c>
      <c r="Z1471" s="1"/>
      <c r="AA1471" s="133">
        <f>IF($J1471=$G$2,ROUND(IF(ISNUMBER(S1471),S1471,IF(LEFT(S1471,2)="DI",HLOOKUP(S1471,DADOS!$T$29:$X$30,2,FALSE),0)),4),"")</f>
        <v>0.25</v>
      </c>
      <c r="AB1471" s="2"/>
    </row>
    <row r="1472" spans="1:28">
      <c r="A1472">
        <f>CHOOSE(1+LOG(1+2*(J1472=$C$2)+4*(J1472=$D$2)+8*(J1472=$E$2)+16*(J1472=$F$2)+32*(J1472=$G$2),2),0,1,2,3,4,"S")</f>
        <v>2</v>
      </c>
      <c r="B1472">
        <f ca="1">IF(OR(A1472="S",A1472=0),0,IF(ISERROR(I1472),H1472,SMALL(H1472:I1472,1)))</f>
        <v>18</v>
      </c>
      <c r="C1472">
        <f ca="1">IF($A1472=1,OFFSET(C1472,-1,0)+1,OFFSET(C1472,-1,0))</f>
        <v>18</v>
      </c>
      <c r="D1472">
        <f ca="1">IF($A1472=1,0,IF($A1472=2,OFFSET(D1472,-1,0)+1,OFFSET(D1472,-1,0)))</f>
        <v>3</v>
      </c>
      <c r="E1472">
        <f ca="1">IF(AND($A1472&lt;=2,$A1472&lt;&gt;0),0,IF($A1472=3,OFFSET(E1472,-1,0)+1,OFFSET(E1472,-1,0)))</f>
        <v>0</v>
      </c>
      <c r="F1472">
        <f ca="1">IF(AND($A1472&lt;=3,$A1472&lt;&gt;0),0,IF($A1472=4,OFFSET(F1472,-1,0)+1,OFFSET(F1472,-1,0)))</f>
        <v>0</v>
      </c>
      <c r="G1472">
        <f ca="1">IF(AND($A1472&lt;=4,$A1472&lt;&gt;0),0,IF($A1472="S",OFFSET(G1472,-1,0)+1,OFFSET(G1472,-1,0)))</f>
        <v>0</v>
      </c>
      <c r="H1472">
        <f ca="1">IF(OR($A1472="S",$A1472=0),0,MATCH(0,OFFSET($B1472,1,$A1472,ROW($A$1504)-ROW($A1472)),0))</f>
        <v>32</v>
      </c>
      <c r="I1472">
        <f ca="1">IF(OR($A1472="S",$A1472=0),0,MATCH(OFFSET($B1472,0,$A1472)+1,OFFSET($B1472,1,$A1472,ROW($A$1504)-ROW($A1472)),0))</f>
        <v>18</v>
      </c>
      <c r="J1472" s="132" t="s">
        <v>68</v>
      </c>
      <c r="K1472" s="121" t="str">
        <f ca="1">IF($A1472=0,"-",CONCATENATE(C1472&amp;".",IF(AND($A$5&gt;=2,$A1472&gt;=2),D1472&amp;".",""),IF(AND($A$5&gt;=3,$A1472&gt;=3),E1472&amp;".",""),IF(AND($A$5&gt;=4,$A1472&gt;=4),F1472&amp;".",""),IF($A1472="S",G1472&amp;".","")))</f>
        <v>18.3.</v>
      </c>
      <c r="L1472" s="137" t="str">
        <f ca="1">IF(NOT(ISERROR($Y1472)),IF($Y1472&lt;&gt;FALSE,INDEX(Banco,$Y1472,4),""),"")</f>
        <v/>
      </c>
      <c r="M1472" s="122"/>
      <c r="N1472" s="139"/>
      <c r="O1472" s="137" t="s">
        <v>464</v>
      </c>
      <c r="P1472" s="138" t="str">
        <f ca="1">IF(NOT(ISERROR($Y1472)),IF($Y1472&lt;&gt;FALSE,INDEX(Banco,$Y1472,6),""),"")</f>
        <v/>
      </c>
      <c r="Q1472" s="134"/>
      <c r="R1472" s="124">
        <f ca="1">IF(NOT(ISERROR($Y1472)),IF($Y1472&lt;&gt;FALSE,INDEX(Banco,$Y1472,7),0),0)</f>
        <v>0</v>
      </c>
      <c r="S1472" s="136" t="s">
        <v>62</v>
      </c>
      <c r="T1472" s="123">
        <f>IF($J1472=$G$2,ROUND(ROUND($R1472,2)*IF($R$9="Preço Unitário (R$)",1,1+$AA1472),2),0)</f>
        <v>0</v>
      </c>
      <c r="U1472" s="126">
        <f ca="1">IF($A1472="S",VTOTAL1,IF($A1472=0,0,ROUND(SomaAgrup,2)))</f>
        <v>8583.23</v>
      </c>
      <c r="V1472" s="1"/>
      <c r="W1472" s="39">
        <f ca="1">IF(OR($A1472=0,$A1472="S",$A1472&gt;CFF!$A$9),"",MAX(W$11:OFFSET(W1472,-1,0))+1)</f>
        <v>133</v>
      </c>
      <c r="X1472" s="4" t="b">
        <f>IF(AND($J1472=$G$2,$N1472&lt;&gt;"",$M1472&lt;&gt;""),CONCATENATE($M1472,"-",$N1472))</f>
        <v>0</v>
      </c>
      <c r="Y1472" s="39" t="b">
        <f ca="1">IF(X1472&lt;&gt;FALSE,MATCH(X1472,OFFSET(Banco,0,0,,1),0))</f>
        <v>0</v>
      </c>
      <c r="Z1472" s="1"/>
      <c r="AA1472" s="133" t="str">
        <f>IF($J1472=$G$2,ROUND(IF(ISNUMBER(S1472),S1472,IF(LEFT(S1472,2)="DI",HLOOKUP(S1472,DADOS!$T$29:$X$30,2,FALSE),0)),4),"")</f>
        <v/>
      </c>
      <c r="AB1472" s="2"/>
    </row>
    <row r="1473" spans="1:28">
      <c r="A1473" t="str">
        <f t="shared" si="1882"/>
        <v>S</v>
      </c>
      <c r="B1473">
        <f t="shared" si="1883"/>
        <v>0</v>
      </c>
      <c r="C1473">
        <f ca="1">IF($A1473=1,OFFSET(C1473,-1,0)+1,OFFSET(C1473,-1,0))</f>
        <v>18</v>
      </c>
      <c r="D1473">
        <f ca="1">IF($A1473=1,0,IF($A1473=2,OFFSET(D1473,-1,0)+1,OFFSET(D1473,-1,0)))</f>
        <v>3</v>
      </c>
      <c r="E1473">
        <f ca="1">IF(AND($A1473&lt;=2,$A1473&lt;&gt;0),0,IF($A1473=3,OFFSET(E1473,-1,0)+1,OFFSET(E1473,-1,0)))</f>
        <v>0</v>
      </c>
      <c r="F1473">
        <f ca="1">IF(AND($A1473&lt;=3,$A1473&lt;&gt;0),0,IF($A1473=4,OFFSET(F1473,-1,0)+1,OFFSET(F1473,-1,0)))</f>
        <v>0</v>
      </c>
      <c r="G1473">
        <f ca="1">IF(AND($A1473&lt;=4,$A1473&lt;&gt;0),0,IF($A1473="S",OFFSET(G1473,-1,0)+1,OFFSET(G1473,-1,0)))</f>
        <v>1</v>
      </c>
      <c r="H1473">
        <f ca="1">IF(OR($A1473="S",$A1473=0),0,MATCH(0,OFFSET($B1473,1,$A1473,ROW($A$1504)-ROW($A1473)),0))</f>
        <v>0</v>
      </c>
      <c r="I1473">
        <f ca="1">IF(OR($A1473="S",$A1473=0),0,MATCH(OFFSET($B1473,0,$A1473)+1,OFFSET($B1473,1,$A1473,ROW($A$1504)-ROW($A1473)),0))</f>
        <v>0</v>
      </c>
      <c r="J1473" s="132" t="s">
        <v>29</v>
      </c>
      <c r="K1473" s="121" t="str">
        <f ca="1">IF($A1473=0,"-",CONCATENATE(C1473&amp;".",IF(AND($A$5&gt;=2,$A1473&gt;=2),D1473&amp;".",""),IF(AND($A$5&gt;=3,$A1473&gt;=3),E1473&amp;".",""),IF(AND($A$5&gt;=4,$A1473&gt;=4),F1473&amp;".",""),IF($A1473="S",G1473&amp;".","")))</f>
        <v>18.3.1.</v>
      </c>
      <c r="L1473" s="137" t="str">
        <f ca="1">IF(NOT(ISERROR($Y1473)),IF($Y1473&lt;&gt;FALSE,INDEX(Banco,$Y1473,4),""),"")</f>
        <v>CRESS</v>
      </c>
      <c r="M1473" s="122" t="s">
        <v>78</v>
      </c>
      <c r="N1473" s="139" t="s">
        <v>149</v>
      </c>
      <c r="O1473" s="137" t="str">
        <f ca="1">IF(NOT(ISERROR($Y1473)),IF($Y1473&lt;&gt;FALSE,INDEX(Banco,$Y1473,5),""),"")</f>
        <v>Responsável Técnica</v>
      </c>
      <c r="P1473" s="138" t="str">
        <f ca="1">IF(NOT(ISERROR($Y1473)),IF($Y1473&lt;&gt;FALSE,INDEX(Banco,$Y1473,6),""),"")</f>
        <v>Horas</v>
      </c>
      <c r="Q1473" s="134">
        <v>8</v>
      </c>
      <c r="R1473" s="124">
        <f ca="1">IF(NOT(ISERROR($Y1473)),IF($Y1473&lt;&gt;FALSE,INDEX(Banco,$Y1473,7),0),0)</f>
        <v>150.28</v>
      </c>
      <c r="S1473" s="136" t="s">
        <v>62</v>
      </c>
      <c r="T1473" s="123">
        <f ca="1">IF($J1473=$G$2,ROUND(ROUND($R1473,2)*IF($R$9="Preço Unitário (R$)",1,1+$AA1473),2),0)</f>
        <v>187.85</v>
      </c>
      <c r="U1473" s="126">
        <f ca="1">IF($A1473="S",VTOTAL1,IF($A1473=0,0,ROUND(SomaAgrup,2)))</f>
        <v>1502.8</v>
      </c>
      <c r="V1473" s="1"/>
      <c r="W1473" s="39" t="str">
        <f ca="1">IF(OR($A1473=0,$A1473="S",$A1473&gt;CFF!$A$9),"",MAX(W$11:OFFSET(W1473,-1,0))+1)</f>
        <v/>
      </c>
      <c r="X1473" s="4" t="str">
        <f>IF(AND($J1473=$G$2,$N1473&lt;&gt;"",$M1473&lt;&gt;""),CONCATENATE($M1473,"-",$N1473))</f>
        <v>Rec. Humanos-001</v>
      </c>
      <c r="Y1473" s="39">
        <f t="shared" ca="1" si="1884"/>
        <v>3</v>
      </c>
      <c r="Z1473" s="1"/>
      <c r="AA1473" s="133">
        <f>IF($J1473=$G$2,ROUND(IF(ISNUMBER(S1473),S1473,IF(LEFT(S1473,2)="DI",HLOOKUP(S1473,DADOS!$T$29:$X$30,2,FALSE),0)),4),"")</f>
        <v>0.25</v>
      </c>
      <c r="AB1473" s="2"/>
    </row>
    <row r="1474" spans="1:28">
      <c r="A1474" t="str">
        <f t="shared" ref="A1474:A1483" si="1885">CHOOSE(1+LOG(1+2*(J1474=$C$2)+4*(J1474=$D$2)+8*(J1474=$E$2)+16*(J1474=$F$2)+32*(J1474=$G$2),2),0,1,2,3,4,"S")</f>
        <v>S</v>
      </c>
      <c r="B1474">
        <f t="shared" ref="B1474:B1483" si="1886">IF(OR(A1474="S",A1474=0),0,IF(ISERROR(I1474),H1474,SMALL(H1474:I1474,1)))</f>
        <v>0</v>
      </c>
      <c r="C1474">
        <f ca="1">IF($A1474=1,OFFSET(C1474,-1,0)+1,OFFSET(C1474,-1,0))</f>
        <v>18</v>
      </c>
      <c r="D1474">
        <f ca="1">IF($A1474=1,0,IF($A1474=2,OFFSET(D1474,-1,0)+1,OFFSET(D1474,-1,0)))</f>
        <v>3</v>
      </c>
      <c r="E1474">
        <f ca="1">IF(AND($A1474&lt;=2,$A1474&lt;&gt;0),0,IF($A1474=3,OFFSET(E1474,-1,0)+1,OFFSET(E1474,-1,0)))</f>
        <v>0</v>
      </c>
      <c r="F1474">
        <f ca="1">IF(AND($A1474&lt;=3,$A1474&lt;&gt;0),0,IF($A1474=4,OFFSET(F1474,-1,0)+1,OFFSET(F1474,-1,0)))</f>
        <v>0</v>
      </c>
      <c r="G1474">
        <f ca="1">IF(AND($A1474&lt;=4,$A1474&lt;&gt;0),0,IF($A1474="S",OFFSET(G1474,-1,0)+1,OFFSET(G1474,-1,0)))</f>
        <v>2</v>
      </c>
      <c r="H1474">
        <f ca="1">IF(OR($A1474="S",$A1474=0),0,MATCH(0,OFFSET($B1474,1,$A1474,ROW($A$1504)-ROW($A1474)),0))</f>
        <v>0</v>
      </c>
      <c r="I1474">
        <f ca="1">IF(OR($A1474="S",$A1474=0),0,MATCH(OFFSET($B1474,0,$A1474)+1,OFFSET($B1474,1,$A1474,ROW($A$1504)-ROW($A1474)),0))</f>
        <v>0</v>
      </c>
      <c r="J1474" s="132" t="s">
        <v>29</v>
      </c>
      <c r="K1474" s="121" t="str">
        <f ca="1">IF($A1474=0,"-",CONCATENATE(C1474&amp;".",IF(AND($A$5&gt;=2,$A1474&gt;=2),D1474&amp;".",""),IF(AND($A$5&gt;=3,$A1474&gt;=3),E1474&amp;".",""),IF(AND($A$5&gt;=4,$A1474&gt;=4),F1474&amp;".",""),IF($A1474="S",G1474&amp;".","")))</f>
        <v>18.3.2.</v>
      </c>
      <c r="L1474" s="137" t="str">
        <f ca="1">IF(NOT(ISERROR($Y1474)),IF($Y1474&lt;&gt;FALSE,INDEX(Banco,$Y1474,4),""),"")</f>
        <v>CRESS</v>
      </c>
      <c r="M1474" s="122" t="s">
        <v>78</v>
      </c>
      <c r="N1474" s="139" t="s">
        <v>152</v>
      </c>
      <c r="O1474" s="137" t="str">
        <f ca="1">IF(NOT(ISERROR($Y1474)),IF($Y1474&lt;&gt;FALSE,INDEX(Banco,$Y1474,5),""),"")</f>
        <v>Assistente Social</v>
      </c>
      <c r="P1474" s="138" t="str">
        <f ca="1">IF(NOT(ISERROR($Y1474)),IF($Y1474&lt;&gt;FALSE,INDEX(Banco,$Y1474,6),""),"")</f>
        <v>Horas</v>
      </c>
      <c r="Q1474" s="134">
        <v>14</v>
      </c>
      <c r="R1474" s="124">
        <f ca="1">IF(NOT(ISERROR($Y1474)),IF($Y1474&lt;&gt;FALSE,INDEX(Banco,$Y1474,7),0),0)</f>
        <v>133.81</v>
      </c>
      <c r="S1474" s="136" t="s">
        <v>62</v>
      </c>
      <c r="T1474" s="123">
        <f ca="1">IF($J1474=$G$2,ROUND(ROUND($R1474,2)*IF($R$9="Preço Unitário (R$)",1,1+$AA1474),2),0)</f>
        <v>167.26</v>
      </c>
      <c r="U1474" s="126">
        <f ca="1">IF($A1474="S",VTOTAL1,IF($A1474=0,0,ROUND(SomaAgrup,2)))</f>
        <v>2341.64</v>
      </c>
      <c r="V1474" s="1"/>
      <c r="W1474" s="39" t="str">
        <f ca="1">IF(OR($A1474=0,$A1474="S",$A1474&gt;CFF!$A$9),"",MAX(W$11:OFFSET(W1474,-1,0))+1)</f>
        <v/>
      </c>
      <c r="X1474" s="4" t="str">
        <f>IF(AND($J1474=$G$2,$N1474&lt;&gt;"",$M1474&lt;&gt;""),CONCATENATE($M1474,"-",$N1474))</f>
        <v>Rec. Humanos-002</v>
      </c>
      <c r="Y1474" s="39">
        <f t="shared" ref="Y1474:Y1483" ca="1" si="1887">IF(X1474&lt;&gt;FALSE,MATCH(X1474,OFFSET(Banco,0,0,,1),0))</f>
        <v>4</v>
      </c>
      <c r="Z1474" s="1"/>
      <c r="AA1474" s="133">
        <f>IF($J1474=$G$2,ROUND(IF(ISNUMBER(S1474),S1474,IF(LEFT(S1474,2)="DI",HLOOKUP(S1474,DADOS!$T$29:$X$30,2,FALSE),0)),4),"")</f>
        <v>0.25</v>
      </c>
      <c r="AB1474" s="2"/>
    </row>
    <row r="1475" spans="1:28">
      <c r="A1475" t="str">
        <f t="shared" si="1885"/>
        <v>S</v>
      </c>
      <c r="B1475">
        <f t="shared" si="1886"/>
        <v>0</v>
      </c>
      <c r="C1475">
        <f ca="1">IF($A1475=1,OFFSET(C1475,-1,0)+1,OFFSET(C1475,-1,0))</f>
        <v>18</v>
      </c>
      <c r="D1475">
        <f ca="1">IF($A1475=1,0,IF($A1475=2,OFFSET(D1475,-1,0)+1,OFFSET(D1475,-1,0)))</f>
        <v>3</v>
      </c>
      <c r="E1475">
        <f ca="1">IF(AND($A1475&lt;=2,$A1475&lt;&gt;0),0,IF($A1475=3,OFFSET(E1475,-1,0)+1,OFFSET(E1475,-1,0)))</f>
        <v>0</v>
      </c>
      <c r="F1475">
        <f ca="1">IF(AND($A1475&lt;=3,$A1475&lt;&gt;0),0,IF($A1475=4,OFFSET(F1475,-1,0)+1,OFFSET(F1475,-1,0)))</f>
        <v>0</v>
      </c>
      <c r="G1475">
        <f ca="1">IF(AND($A1475&lt;=4,$A1475&lt;&gt;0),0,IF($A1475="S",OFFSET(G1475,-1,0)+1,OFFSET(G1475,-1,0)))</f>
        <v>3</v>
      </c>
      <c r="H1475">
        <f ca="1">IF(OR($A1475="S",$A1475=0),0,MATCH(0,OFFSET($B1475,1,$A1475,ROW($A$1504)-ROW($A1475)),0))</f>
        <v>0</v>
      </c>
      <c r="I1475">
        <f ca="1">IF(OR($A1475="S",$A1475=0),0,MATCH(OFFSET($B1475,0,$A1475)+1,OFFSET($B1475,1,$A1475,ROW($A$1504)-ROW($A1475)),0))</f>
        <v>0</v>
      </c>
      <c r="J1475" s="132" t="s">
        <v>29</v>
      </c>
      <c r="K1475" s="121" t="str">
        <f ca="1">IF($A1475=0,"-",CONCATENATE(C1475&amp;".",IF(AND($A$5&gt;=2,$A1475&gt;=2),D1475&amp;".",""),IF(AND($A$5&gt;=3,$A1475&gt;=3),E1475&amp;".",""),IF(AND($A$5&gt;=4,$A1475&gt;=4),F1475&amp;".",""),IF($A1475="S",G1475&amp;".","")))</f>
        <v>18.3.3.</v>
      </c>
      <c r="L1475" s="137" t="str">
        <f ca="1">IF(NOT(ISERROR($Y1475)),IF($Y1475&lt;&gt;FALSE,INDEX(Banco,$Y1475,4),""),"")</f>
        <v>Cotação</v>
      </c>
      <c r="M1475" s="122" t="s">
        <v>78</v>
      </c>
      <c r="N1475" s="139" t="s">
        <v>151</v>
      </c>
      <c r="O1475" s="137" t="str">
        <f ca="1">IF(NOT(ISERROR($Y1475)),IF($Y1475&lt;&gt;FALSE,INDEX(Banco,$Y1475,5),""),"")</f>
        <v xml:space="preserve">Administrador (Técnico de Apoio) </v>
      </c>
      <c r="P1475" s="138" t="str">
        <f ca="1">IF(NOT(ISERROR($Y1475)),IF($Y1475&lt;&gt;FALSE,INDEX(Banco,$Y1475,6),""),"")</f>
        <v>Horas</v>
      </c>
      <c r="Q1475" s="134">
        <v>4</v>
      </c>
      <c r="R1475" s="124">
        <f ca="1">IF(NOT(ISERROR($Y1475)),IF($Y1475&lt;&gt;FALSE,INDEX(Banco,$Y1475,7),0),0)</f>
        <v>103.65</v>
      </c>
      <c r="S1475" s="136" t="s">
        <v>62</v>
      </c>
      <c r="T1475" s="123">
        <f ca="1">IF($J1475=$G$2,ROUND(ROUND($R1475,2)*IF($R$9="Preço Unitário (R$)",1,1+$AA1475),2),0)</f>
        <v>129.56</v>
      </c>
      <c r="U1475" s="126">
        <f ca="1">IF($A1475="S",VTOTAL1,IF($A1475=0,0,ROUND(SomaAgrup,2)))</f>
        <v>518.24</v>
      </c>
      <c r="V1475" s="1"/>
      <c r="W1475" s="39" t="str">
        <f ca="1">IF(OR($A1475=0,$A1475="S",$A1475&gt;CFF!$A$9),"",MAX(W$11:OFFSET(W1475,-1,0))+1)</f>
        <v/>
      </c>
      <c r="X1475" s="4" t="str">
        <f>IF(AND($J1475=$G$2,$N1475&lt;&gt;"",$M1475&lt;&gt;""),CONCATENATE($M1475,"-",$N1475))</f>
        <v>Rec. Humanos-003</v>
      </c>
      <c r="Y1475" s="39">
        <f t="shared" ca="1" si="1887"/>
        <v>5</v>
      </c>
      <c r="Z1475" s="1"/>
      <c r="AA1475" s="133">
        <f>IF($J1475=$G$2,ROUND(IF(ISNUMBER(S1475),S1475,IF(LEFT(S1475,2)="DI",HLOOKUP(S1475,DADOS!$T$29:$X$30,2,FALSE),0)),4),"")</f>
        <v>0.25</v>
      </c>
      <c r="AB1475" s="2"/>
    </row>
    <row r="1476" spans="1:28">
      <c r="A1476" t="str">
        <f t="shared" si="1885"/>
        <v>S</v>
      </c>
      <c r="B1476">
        <f t="shared" si="1886"/>
        <v>0</v>
      </c>
      <c r="C1476">
        <f ca="1">IF($A1476=1,OFFSET(C1476,-1,0)+1,OFFSET(C1476,-1,0))</f>
        <v>18</v>
      </c>
      <c r="D1476">
        <f ca="1">IF($A1476=1,0,IF($A1476=2,OFFSET(D1476,-1,0)+1,OFFSET(D1476,-1,0)))</f>
        <v>3</v>
      </c>
      <c r="E1476">
        <f ca="1">IF(AND($A1476&lt;=2,$A1476&lt;&gt;0),0,IF($A1476=3,OFFSET(E1476,-1,0)+1,OFFSET(E1476,-1,0)))</f>
        <v>0</v>
      </c>
      <c r="F1476">
        <f ca="1">IF(AND($A1476&lt;=3,$A1476&lt;&gt;0),0,IF($A1476=4,OFFSET(F1476,-1,0)+1,OFFSET(F1476,-1,0)))</f>
        <v>0</v>
      </c>
      <c r="G1476">
        <f ca="1">IF(AND($A1476&lt;=4,$A1476&lt;&gt;0),0,IF($A1476="S",OFFSET(G1476,-1,0)+1,OFFSET(G1476,-1,0)))</f>
        <v>4</v>
      </c>
      <c r="H1476">
        <f ca="1">IF(OR($A1476="S",$A1476=0),0,MATCH(0,OFFSET($B1476,1,$A1476,ROW($A$1504)-ROW($A1476)),0))</f>
        <v>0</v>
      </c>
      <c r="I1476">
        <f ca="1">IF(OR($A1476="S",$A1476=0),0,MATCH(OFFSET($B1476,0,$A1476)+1,OFFSET($B1476,1,$A1476,ROW($A$1504)-ROW($A1476)),0))</f>
        <v>0</v>
      </c>
      <c r="J1476" s="132" t="s">
        <v>29</v>
      </c>
      <c r="K1476" s="121" t="str">
        <f ca="1">IF($A1476=0,"-",CONCATENATE(C1476&amp;".",IF(AND($A$5&gt;=2,$A1476&gt;=2),D1476&amp;".",""),IF(AND($A$5&gt;=3,$A1476&gt;=3),E1476&amp;".",""),IF(AND($A$5&gt;=4,$A1476&gt;=4),F1476&amp;".",""),IF($A1476="S",G1476&amp;".","")))</f>
        <v>18.3.4.</v>
      </c>
      <c r="L1476" s="137" t="str">
        <f ca="1">IF(NOT(ISERROR($Y1476)),IF($Y1476&lt;&gt;FALSE,INDEX(Banco,$Y1476,4),""),"")</f>
        <v>SINE</v>
      </c>
      <c r="M1476" s="122" t="s">
        <v>78</v>
      </c>
      <c r="N1476" s="139" t="s">
        <v>153</v>
      </c>
      <c r="O1476" s="137" t="str">
        <f ca="1">IF(NOT(ISERROR($Y1476)),IF($Y1476&lt;&gt;FALSE,INDEX(Banco,$Y1476,5),""),"")</f>
        <v>Estagiários</v>
      </c>
      <c r="P1476" s="138" t="str">
        <f ca="1">IF(NOT(ISERROR($Y1476)),IF($Y1476&lt;&gt;FALSE,INDEX(Banco,$Y1476,6),""),"")</f>
        <v>Horas</v>
      </c>
      <c r="Q1476" s="134">
        <v>8</v>
      </c>
      <c r="R1476" s="124">
        <f ca="1">IF(NOT(ISERROR($Y1476)),IF($Y1476&lt;&gt;FALSE,INDEX(Banco,$Y1476,7),0),0)</f>
        <v>9.7899999999999991</v>
      </c>
      <c r="S1476" s="136" t="s">
        <v>62</v>
      </c>
      <c r="T1476" s="123">
        <f ca="1">IF($J1476=$G$2,ROUND(ROUND($R1476,2)*IF($R$9="Preço Unitário (R$)",1,1+$AA1476),2),0)</f>
        <v>12.24</v>
      </c>
      <c r="U1476" s="126">
        <f ca="1">IF($A1476="S",VTOTAL1,IF($A1476=0,0,ROUND(SomaAgrup,2)))</f>
        <v>97.92</v>
      </c>
      <c r="V1476" s="1"/>
      <c r="W1476" s="39" t="str">
        <f ca="1">IF(OR($A1476=0,$A1476="S",$A1476&gt;CFF!$A$9),"",MAX(W$11:OFFSET(W1476,-1,0))+1)</f>
        <v/>
      </c>
      <c r="X1476" s="4" t="str">
        <f>IF(AND($J1476=$G$2,$N1476&lt;&gt;"",$M1476&lt;&gt;""),CONCATENATE($M1476,"-",$N1476))</f>
        <v>Rec. Humanos-004</v>
      </c>
      <c r="Y1476" s="39">
        <f t="shared" ca="1" si="1887"/>
        <v>6</v>
      </c>
      <c r="Z1476" s="1"/>
      <c r="AA1476" s="133">
        <f>IF($J1476=$G$2,ROUND(IF(ISNUMBER(S1476),S1476,IF(LEFT(S1476,2)="DI",HLOOKUP(S1476,DADOS!$T$29:$X$30,2,FALSE),0)),4),"")</f>
        <v>0.25</v>
      </c>
      <c r="AB1476" s="2"/>
    </row>
    <row r="1477" spans="1:28">
      <c r="A1477" t="str">
        <f t="shared" si="1885"/>
        <v>S</v>
      </c>
      <c r="B1477">
        <f t="shared" si="1886"/>
        <v>0</v>
      </c>
      <c r="C1477">
        <f ca="1">IF($A1477=1,OFFSET(C1477,-1,0)+1,OFFSET(C1477,-1,0))</f>
        <v>18</v>
      </c>
      <c r="D1477">
        <f ca="1">IF($A1477=1,0,IF($A1477=2,OFFSET(D1477,-1,0)+1,OFFSET(D1477,-1,0)))</f>
        <v>3</v>
      </c>
      <c r="E1477">
        <f ca="1">IF(AND($A1477&lt;=2,$A1477&lt;&gt;0),0,IF($A1477=3,OFFSET(E1477,-1,0)+1,OFFSET(E1477,-1,0)))</f>
        <v>0</v>
      </c>
      <c r="F1477">
        <f ca="1">IF(AND($A1477&lt;=3,$A1477&lt;&gt;0),0,IF($A1477=4,OFFSET(F1477,-1,0)+1,OFFSET(F1477,-1,0)))</f>
        <v>0</v>
      </c>
      <c r="G1477">
        <f ca="1">IF(AND($A1477&lt;=4,$A1477&lt;&gt;0),0,IF($A1477="S",OFFSET(G1477,-1,0)+1,OFFSET(G1477,-1,0)))</f>
        <v>5</v>
      </c>
      <c r="H1477">
        <f ca="1">IF(OR($A1477="S",$A1477=0),0,MATCH(0,OFFSET($B1477,1,$A1477,ROW($A$1504)-ROW($A1477)),0))</f>
        <v>0</v>
      </c>
      <c r="I1477">
        <f ca="1">IF(OR($A1477="S",$A1477=0),0,MATCH(OFFSET($B1477,0,$A1477)+1,OFFSET($B1477,1,$A1477,ROW($A$1504)-ROW($A1477)),0))</f>
        <v>0</v>
      </c>
      <c r="J1477" s="132" t="s">
        <v>29</v>
      </c>
      <c r="K1477" s="121" t="str">
        <f ca="1">IF($A1477=0,"-",CONCATENATE(C1477&amp;".",IF(AND($A$5&gt;=2,$A1477&gt;=2),D1477&amp;".",""),IF(AND($A$5&gt;=3,$A1477&gt;=3),E1477&amp;".",""),IF(AND($A$5&gt;=4,$A1477&gt;=4),F1477&amp;".",""),IF($A1477="S",G1477&amp;".","")))</f>
        <v>18.3.5.</v>
      </c>
      <c r="L1477" s="137" t="str">
        <f ca="1">IF(NOT(ISERROR($Y1477)),IF($Y1477&lt;&gt;FALSE,INDEX(Banco,$Y1477,4),""),"")</f>
        <v>Cotação</v>
      </c>
      <c r="M1477" s="122" t="s">
        <v>80</v>
      </c>
      <c r="N1477" s="139" t="s">
        <v>149</v>
      </c>
      <c r="O1477" s="137" t="str">
        <f ca="1">IF(NOT(ISERROR($Y1477)),IF($Y1477&lt;&gt;FALSE,INDEX(Banco,$Y1477,5),""),"")</f>
        <v>Fotocópias</v>
      </c>
      <c r="P1477" s="138" t="str">
        <f ca="1">IF(NOT(ISERROR($Y1477)),IF($Y1477&lt;&gt;FALSE,INDEX(Banco,$Y1477,6),""),"")</f>
        <v>Unidade</v>
      </c>
      <c r="Q1477" s="134">
        <v>285.41000000000003</v>
      </c>
      <c r="R1477" s="124">
        <f ca="1">IF(NOT(ISERROR($Y1477)),IF($Y1477&lt;&gt;FALSE,INDEX(Banco,$Y1477,7),0),0)</f>
        <v>0.3</v>
      </c>
      <c r="S1477" s="136" t="s">
        <v>62</v>
      </c>
      <c r="T1477" s="123">
        <f ca="1">IF($J1477=$G$2,ROUND(ROUND($R1477,2)*IF($R$9="Preço Unitário (R$)",1,1+$AA1477),2),0)</f>
        <v>0.38</v>
      </c>
      <c r="U1477" s="126">
        <f ca="1">IF($A1477="S",VTOTAL1,IF($A1477=0,0,ROUND(SomaAgrup,2)))</f>
        <v>108.46</v>
      </c>
      <c r="V1477" s="1"/>
      <c r="W1477" s="39" t="str">
        <f ca="1">IF(OR($A1477=0,$A1477="S",$A1477&gt;CFF!$A$9),"",MAX(W$11:OFFSET(W1477,-1,0))+1)</f>
        <v/>
      </c>
      <c r="X1477" s="4" t="str">
        <f>IF(AND($J1477=$G$2,$N1477&lt;&gt;"",$M1477&lt;&gt;""),CONCATENATE($M1477,"-",$N1477))</f>
        <v>Serv. Terc.-001</v>
      </c>
      <c r="Y1477" s="39">
        <f t="shared" ca="1" si="1887"/>
        <v>81</v>
      </c>
      <c r="Z1477" s="1"/>
      <c r="AA1477" s="133">
        <f>IF($J1477=$G$2,ROUND(IF(ISNUMBER(S1477),S1477,IF(LEFT(S1477,2)="DI",HLOOKUP(S1477,DADOS!$T$29:$X$30,2,FALSE),0)),4),"")</f>
        <v>0.25</v>
      </c>
      <c r="AB1477" s="2"/>
    </row>
    <row r="1478" spans="1:28">
      <c r="A1478" t="str">
        <f>CHOOSE(1+LOG(1+2*(J1478=$C$2)+4*(J1478=$D$2)+8*(J1478=$E$2)+16*(J1478=$F$2)+32*(J1478=$G$2),2),0,1,2,3,4,"S")</f>
        <v>S</v>
      </c>
      <c r="B1478">
        <f>IF(OR(A1478="S",A1478=0),0,IF(ISERROR(I1478),H1478,SMALL(H1478:I1478,1)))</f>
        <v>0</v>
      </c>
      <c r="C1478">
        <f ca="1">IF($A1478=1,OFFSET(C1478,-1,0)+1,OFFSET(C1478,-1,0))</f>
        <v>18</v>
      </c>
      <c r="D1478">
        <f ca="1">IF($A1478=1,0,IF($A1478=2,OFFSET(D1478,-1,0)+1,OFFSET(D1478,-1,0)))</f>
        <v>3</v>
      </c>
      <c r="E1478">
        <f ca="1">IF(AND($A1478&lt;=2,$A1478&lt;&gt;0),0,IF($A1478=3,OFFSET(E1478,-1,0)+1,OFFSET(E1478,-1,0)))</f>
        <v>0</v>
      </c>
      <c r="F1478">
        <f ca="1">IF(AND($A1478&lt;=3,$A1478&lt;&gt;0),0,IF($A1478=4,OFFSET(F1478,-1,0)+1,OFFSET(F1478,-1,0)))</f>
        <v>0</v>
      </c>
      <c r="G1478">
        <f ca="1">IF(AND($A1478&lt;=4,$A1478&lt;&gt;0),0,IF($A1478="S",OFFSET(G1478,-1,0)+1,OFFSET(G1478,-1,0)))</f>
        <v>6</v>
      </c>
      <c r="H1478">
        <f ca="1">IF(OR($A1478="S",$A1478=0),0,MATCH(0,OFFSET($B1478,1,$A1478,ROW($A$1504)-ROW($A1478)),0))</f>
        <v>0</v>
      </c>
      <c r="I1478">
        <f ca="1">IF(OR($A1478="S",$A1478=0),0,MATCH(OFFSET($B1478,0,$A1478)+1,OFFSET($B1478,1,$A1478,ROW($A$1504)-ROW($A1478)),0))</f>
        <v>0</v>
      </c>
      <c r="J1478" s="132" t="s">
        <v>29</v>
      </c>
      <c r="K1478" s="121" t="str">
        <f ca="1">IF($A1478=0,"-",CONCATENATE(C1478&amp;".",IF(AND($A$5&gt;=2,$A1478&gt;=2),D1478&amp;".",""),IF(AND($A$5&gt;=3,$A1478&gt;=3),E1478&amp;".",""),IF(AND($A$5&gt;=4,$A1478&gt;=4),F1478&amp;".",""),IF($A1478="S",G1478&amp;".","")))</f>
        <v>18.3.6.</v>
      </c>
      <c r="L1478" s="137" t="str">
        <f ca="1">IF(NOT(ISERROR($Y1478)),IF($Y1478&lt;&gt;FALSE,INDEX(Banco,$Y1478,4),""),"")</f>
        <v>Cotação</v>
      </c>
      <c r="M1478" s="122" t="s">
        <v>80</v>
      </c>
      <c r="N1478" s="139" t="s">
        <v>256</v>
      </c>
      <c r="O1478" s="137" t="str">
        <f ca="1">IF(NOT(ISERROR($Y1478)),IF($Y1478&lt;&gt;FALSE,INDEX(Banco,$Y1478,5),""),"")</f>
        <v>Instrutor/Monitor (Educação Fisíca)</v>
      </c>
      <c r="P1478" s="138" t="str">
        <f ca="1">IF(NOT(ISERROR($Y1478)),IF($Y1478&lt;&gt;FALSE,INDEX(Banco,$Y1478,6),""),"")</f>
        <v>Horas</v>
      </c>
      <c r="Q1478" s="134">
        <v>3</v>
      </c>
      <c r="R1478" s="124">
        <f ca="1">IF(NOT(ISERROR($Y1478)),IF($Y1478&lt;&gt;FALSE,INDEX(Banco,$Y1478,7),0),0)</f>
        <v>100</v>
      </c>
      <c r="S1478" s="136" t="s">
        <v>62</v>
      </c>
      <c r="T1478" s="123">
        <f ca="1">IF($J1478=$G$2,ROUND(ROUND($R1478,2)*IF($R$9="Preço Unitário (R$)",1,1+$AA1478),2),0)</f>
        <v>125</v>
      </c>
      <c r="U1478" s="126">
        <f ca="1">IF($A1478="S",VTOTAL1,IF($A1478=0,0,ROUND(SomaAgrup,2)))</f>
        <v>375</v>
      </c>
      <c r="V1478" s="1"/>
      <c r="W1478" s="39" t="str">
        <f ca="1">IF(OR($A1478=0,$A1478="S",$A1478&gt;CFF!$A$9),"",MAX(W$11:OFFSET(W1478,-1,0))+1)</f>
        <v/>
      </c>
      <c r="X1478" s="4" t="str">
        <f>IF(AND($J1478=$G$2,$N1478&lt;&gt;"",$M1478&lt;&gt;""),CONCATENATE($M1478,"-",$N1478))</f>
        <v>Serv. Terc.-017</v>
      </c>
      <c r="Y1478" s="39">
        <f ca="1">IF(X1478&lt;&gt;FALSE,MATCH(X1478,OFFSET(Banco,0,0,,1),0))</f>
        <v>97</v>
      </c>
      <c r="Z1478" s="1"/>
      <c r="AA1478" s="133">
        <f>IF($J1478=$G$2,ROUND(IF(ISNUMBER(S1478),S1478,IF(LEFT(S1478,2)="DI",HLOOKUP(S1478,DADOS!$T$29:$X$30,2,FALSE),0)),4),"")</f>
        <v>0.25</v>
      </c>
      <c r="AB1478" s="2"/>
    </row>
    <row r="1479" spans="1:28">
      <c r="A1479" t="str">
        <f t="shared" si="1885"/>
        <v>S</v>
      </c>
      <c r="B1479">
        <f t="shared" si="1886"/>
        <v>0</v>
      </c>
      <c r="C1479">
        <f ca="1">IF($A1479=1,OFFSET(C1479,-1,0)+1,OFFSET(C1479,-1,0))</f>
        <v>18</v>
      </c>
      <c r="D1479">
        <f ca="1">IF($A1479=1,0,IF($A1479=2,OFFSET(D1479,-1,0)+1,OFFSET(D1479,-1,0)))</f>
        <v>3</v>
      </c>
      <c r="E1479">
        <f ca="1">IF(AND($A1479&lt;=2,$A1479&lt;&gt;0),0,IF($A1479=3,OFFSET(E1479,-1,0)+1,OFFSET(E1479,-1,0)))</f>
        <v>0</v>
      </c>
      <c r="F1479">
        <f ca="1">IF(AND($A1479&lt;=3,$A1479&lt;&gt;0),0,IF($A1479=4,OFFSET(F1479,-1,0)+1,OFFSET(F1479,-1,0)))</f>
        <v>0</v>
      </c>
      <c r="G1479">
        <f ca="1">IF(AND($A1479&lt;=4,$A1479&lt;&gt;0),0,IF($A1479="S",OFFSET(G1479,-1,0)+1,OFFSET(G1479,-1,0)))</f>
        <v>7</v>
      </c>
      <c r="H1479">
        <f ca="1">IF(OR($A1479="S",$A1479=0),0,MATCH(0,OFFSET($B1479,1,$A1479,ROW($A$1504)-ROW($A1479)),0))</f>
        <v>0</v>
      </c>
      <c r="I1479">
        <f ca="1">IF(OR($A1479="S",$A1479=0),0,MATCH(OFFSET($B1479,0,$A1479)+1,OFFSET($B1479,1,$A1479,ROW($A$1504)-ROW($A1479)),0))</f>
        <v>0</v>
      </c>
      <c r="J1479" s="132" t="s">
        <v>29</v>
      </c>
      <c r="K1479" s="121" t="str">
        <f ca="1">IF($A1479=0,"-",CONCATENATE(C1479&amp;".",IF(AND($A$5&gt;=2,$A1479&gt;=2),D1479&amp;".",""),IF(AND($A$5&gt;=3,$A1479&gt;=3),E1479&amp;".",""),IF(AND($A$5&gt;=4,$A1479&gt;=4),F1479&amp;".",""),IF($A1479="S",G1479&amp;".","")))</f>
        <v>18.3.7.</v>
      </c>
      <c r="L1479" s="137" t="str">
        <f ca="1">IF(NOT(ISERROR($Y1479)),IF($Y1479&lt;&gt;FALSE,INDEX(Banco,$Y1479,4),""),"")</f>
        <v>Cotação</v>
      </c>
      <c r="M1479" s="122" t="s">
        <v>80</v>
      </c>
      <c r="N1479" s="139" t="s">
        <v>152</v>
      </c>
      <c r="O1479" s="137" t="str">
        <f ca="1">IF(NOT(ISERROR($Y1479)),IF($Y1479&lt;&gt;FALSE,INDEX(Banco,$Y1479,5),""),"")</f>
        <v>Carro de som com gravação de vinheta</v>
      </c>
      <c r="P1479" s="138" t="str">
        <f ca="1">IF(NOT(ISERROR($Y1479)),IF($Y1479&lt;&gt;FALSE,INDEX(Banco,$Y1479,6),""),"")</f>
        <v>Horas</v>
      </c>
      <c r="Q1479" s="134">
        <v>3</v>
      </c>
      <c r="R1479" s="124">
        <f ca="1">IF(NOT(ISERROR($Y1479)),IF($Y1479&lt;&gt;FALSE,INDEX(Banco,$Y1479,7),0),0)</f>
        <v>200</v>
      </c>
      <c r="S1479" s="136" t="s">
        <v>62</v>
      </c>
      <c r="T1479" s="123">
        <f ca="1">IF($J1479=$G$2,ROUND(ROUND($R1479,2)*IF($R$9="Preço Unitário (R$)",1,1+$AA1479),2),0)</f>
        <v>250</v>
      </c>
      <c r="U1479" s="126">
        <f ca="1">IF($A1479="S",VTOTAL1,IF($A1479=0,0,ROUND(SomaAgrup,2)))</f>
        <v>750</v>
      </c>
      <c r="V1479" s="1"/>
      <c r="W1479" s="39" t="str">
        <f ca="1">IF(OR($A1479=0,$A1479="S",$A1479&gt;CFF!$A$9),"",MAX(W$11:OFFSET(W1479,-1,0))+1)</f>
        <v/>
      </c>
      <c r="X1479" s="4" t="str">
        <f>IF(AND($J1479=$G$2,$N1479&lt;&gt;"",$M1479&lt;&gt;""),CONCATENATE($M1479,"-",$N1479))</f>
        <v>Serv. Terc.-002</v>
      </c>
      <c r="Y1479" s="39">
        <f t="shared" ca="1" si="1887"/>
        <v>82</v>
      </c>
      <c r="Z1479" s="1"/>
      <c r="AA1479" s="133">
        <f>IF($J1479=$G$2,ROUND(IF(ISNUMBER(S1479),S1479,IF(LEFT(S1479,2)="DI",HLOOKUP(S1479,DADOS!$T$29:$X$30,2,FALSE),0)),4),"")</f>
        <v>0.25</v>
      </c>
      <c r="AB1479" s="2"/>
    </row>
    <row r="1480" spans="1:28">
      <c r="A1480" t="str">
        <f t="shared" si="1885"/>
        <v>S</v>
      </c>
      <c r="B1480">
        <f t="shared" si="1886"/>
        <v>0</v>
      </c>
      <c r="C1480">
        <f ca="1">IF($A1480=1,OFFSET(C1480,-1,0)+1,OFFSET(C1480,-1,0))</f>
        <v>18</v>
      </c>
      <c r="D1480">
        <f ca="1">IF($A1480=1,0,IF($A1480=2,OFFSET(D1480,-1,0)+1,OFFSET(D1480,-1,0)))</f>
        <v>3</v>
      </c>
      <c r="E1480">
        <f ca="1">IF(AND($A1480&lt;=2,$A1480&lt;&gt;0),0,IF($A1480=3,OFFSET(E1480,-1,0)+1,OFFSET(E1480,-1,0)))</f>
        <v>0</v>
      </c>
      <c r="F1480">
        <f ca="1">IF(AND($A1480&lt;=3,$A1480&lt;&gt;0),0,IF($A1480=4,OFFSET(F1480,-1,0)+1,OFFSET(F1480,-1,0)))</f>
        <v>0</v>
      </c>
      <c r="G1480">
        <f ca="1">IF(AND($A1480&lt;=4,$A1480&lt;&gt;0),0,IF($A1480="S",OFFSET(G1480,-1,0)+1,OFFSET(G1480,-1,0)))</f>
        <v>8</v>
      </c>
      <c r="H1480">
        <f ca="1">IF(OR($A1480="S",$A1480=0),0,MATCH(0,OFFSET($B1480,1,$A1480,ROW($A$1504)-ROW($A1480)),0))</f>
        <v>0</v>
      </c>
      <c r="I1480">
        <f ca="1">IF(OR($A1480="S",$A1480=0),0,MATCH(OFFSET($B1480,0,$A1480)+1,OFFSET($B1480,1,$A1480,ROW($A$1504)-ROW($A1480)),0))</f>
        <v>0</v>
      </c>
      <c r="J1480" s="132" t="s">
        <v>29</v>
      </c>
      <c r="K1480" s="121" t="str">
        <f ca="1">IF($A1480=0,"-",CONCATENATE(C1480&amp;".",IF(AND($A$5&gt;=2,$A1480&gt;=2),D1480&amp;".",""),IF(AND($A$5&gt;=3,$A1480&gt;=3),E1480&amp;".",""),IF(AND($A$5&gt;=4,$A1480&gt;=4),F1480&amp;".",""),IF($A1480="S",G1480&amp;".","")))</f>
        <v>18.3.8.</v>
      </c>
      <c r="L1480" s="137" t="str">
        <f ca="1">IF(NOT(ISERROR($Y1480)),IF($Y1480&lt;&gt;FALSE,INDEX(Banco,$Y1480,4),""),"")</f>
        <v>Cotação</v>
      </c>
      <c r="M1480" s="122" t="s">
        <v>80</v>
      </c>
      <c r="N1480" s="139" t="s">
        <v>154</v>
      </c>
      <c r="O1480" s="137" t="str">
        <f ca="1">IF(NOT(ISERROR($Y1480)),IF($Y1480&lt;&gt;FALSE,INDEX(Banco,$Y1480,5),""),"")</f>
        <v>Locação de caixa térmica</v>
      </c>
      <c r="P1480" s="138" t="str">
        <f ca="1">IF(NOT(ISERROR($Y1480)),IF($Y1480&lt;&gt;FALSE,INDEX(Banco,$Y1480,6),""),"")</f>
        <v>Unidade</v>
      </c>
      <c r="Q1480" s="134">
        <v>2</v>
      </c>
      <c r="R1480" s="124">
        <f ca="1">IF(NOT(ISERROR($Y1480)),IF($Y1480&lt;&gt;FALSE,INDEX(Banco,$Y1480,7),0),0)</f>
        <v>40</v>
      </c>
      <c r="S1480" s="136" t="s">
        <v>62</v>
      </c>
      <c r="T1480" s="123">
        <f ca="1">IF($J1480=$G$2,ROUND(ROUND($R1480,2)*IF($R$9="Preço Unitário (R$)",1,1+$AA1480),2),0)</f>
        <v>50</v>
      </c>
      <c r="U1480" s="126">
        <f ca="1">IF($A1480="S",VTOTAL1,IF($A1480=0,0,ROUND(SomaAgrup,2)))</f>
        <v>100</v>
      </c>
      <c r="V1480" s="1"/>
      <c r="W1480" s="39" t="str">
        <f ca="1">IF(OR($A1480=0,$A1480="S",$A1480&gt;CFF!$A$9),"",MAX(W$11:OFFSET(W1480,-1,0))+1)</f>
        <v/>
      </c>
      <c r="X1480" s="4" t="str">
        <f>IF(AND($J1480=$G$2,$N1480&lt;&gt;"",$M1480&lt;&gt;""),CONCATENATE($M1480,"-",$N1480))</f>
        <v>Serv. Terc.-005</v>
      </c>
      <c r="Y1480" s="39">
        <f t="shared" ca="1" si="1887"/>
        <v>85</v>
      </c>
      <c r="Z1480" s="1"/>
      <c r="AA1480" s="133">
        <f>IF($J1480=$G$2,ROUND(IF(ISNUMBER(S1480),S1480,IF(LEFT(S1480,2)="DI",HLOOKUP(S1480,DADOS!$T$29:$X$30,2,FALSE),0)),4),"")</f>
        <v>0.25</v>
      </c>
      <c r="AB1480" s="2"/>
    </row>
    <row r="1481" spans="1:28">
      <c r="A1481" t="str">
        <f t="shared" si="1885"/>
        <v>S</v>
      </c>
      <c r="B1481">
        <f t="shared" si="1886"/>
        <v>0</v>
      </c>
      <c r="C1481">
        <f ca="1">IF($A1481=1,OFFSET(C1481,-1,0)+1,OFFSET(C1481,-1,0))</f>
        <v>18</v>
      </c>
      <c r="D1481">
        <f ca="1">IF($A1481=1,0,IF($A1481=2,OFFSET(D1481,-1,0)+1,OFFSET(D1481,-1,0)))</f>
        <v>3</v>
      </c>
      <c r="E1481">
        <f ca="1">IF(AND($A1481&lt;=2,$A1481&lt;&gt;0),0,IF($A1481=3,OFFSET(E1481,-1,0)+1,OFFSET(E1481,-1,0)))</f>
        <v>0</v>
      </c>
      <c r="F1481">
        <f ca="1">IF(AND($A1481&lt;=3,$A1481&lt;&gt;0),0,IF($A1481=4,OFFSET(F1481,-1,0)+1,OFFSET(F1481,-1,0)))</f>
        <v>0</v>
      </c>
      <c r="G1481">
        <f ca="1">IF(AND($A1481&lt;=4,$A1481&lt;&gt;0),0,IF($A1481="S",OFFSET(G1481,-1,0)+1,OFFSET(G1481,-1,0)))</f>
        <v>9</v>
      </c>
      <c r="H1481">
        <f ca="1">IF(OR($A1481="S",$A1481=0),0,MATCH(0,OFFSET($B1481,1,$A1481,ROW($A$1504)-ROW($A1481)),0))</f>
        <v>0</v>
      </c>
      <c r="I1481">
        <f ca="1">IF(OR($A1481="S",$A1481=0),0,MATCH(OFFSET($B1481,0,$A1481)+1,OFFSET($B1481,1,$A1481,ROW($A$1504)-ROW($A1481)),0))</f>
        <v>0</v>
      </c>
      <c r="J1481" s="132" t="s">
        <v>29</v>
      </c>
      <c r="K1481" s="121" t="str">
        <f ca="1">IF($A1481=0,"-",CONCATENATE(C1481&amp;".",IF(AND($A$5&gt;=2,$A1481&gt;=2),D1481&amp;".",""),IF(AND($A$5&gt;=3,$A1481&gt;=3),E1481&amp;".",""),IF(AND($A$5&gt;=4,$A1481&gt;=4),F1481&amp;".",""),IF($A1481="S",G1481&amp;".","")))</f>
        <v>18.3.9.</v>
      </c>
      <c r="L1481" s="137" t="str">
        <f ca="1">IF(NOT(ISERROR($Y1481)),IF($Y1481&lt;&gt;FALSE,INDEX(Banco,$Y1481,4),""),"")</f>
        <v>Cotação</v>
      </c>
      <c r="M1481" s="122" t="s">
        <v>80</v>
      </c>
      <c r="N1481" s="139" t="s">
        <v>157</v>
      </c>
      <c r="O1481" s="137" t="str">
        <f ca="1">IF(NOT(ISERROR($Y1481)),IF($Y1481&lt;&gt;FALSE,INDEX(Banco,$Y1481,5),""),"")</f>
        <v>Locação de pula-pula com monitor</v>
      </c>
      <c r="P1481" s="138" t="str">
        <f ca="1">IF(NOT(ISERROR($Y1481)),IF($Y1481&lt;&gt;FALSE,INDEX(Banco,$Y1481,6),""),"")</f>
        <v>Unidade</v>
      </c>
      <c r="Q1481" s="134">
        <v>2</v>
      </c>
      <c r="R1481" s="124">
        <f ca="1">IF(NOT(ISERROR($Y1481)),IF($Y1481&lt;&gt;FALSE,INDEX(Banco,$Y1481,7),0),0)</f>
        <v>220</v>
      </c>
      <c r="S1481" s="136" t="s">
        <v>62</v>
      </c>
      <c r="T1481" s="123">
        <f ca="1">IF($J1481=$G$2,ROUND(ROUND($R1481,2)*IF($R$9="Preço Unitário (R$)",1,1+$AA1481),2),0)</f>
        <v>275</v>
      </c>
      <c r="U1481" s="126">
        <f ca="1">IF($A1481="S",VTOTAL1,IF($A1481=0,0,ROUND(SomaAgrup,2)))</f>
        <v>550</v>
      </c>
      <c r="V1481" s="1"/>
      <c r="W1481" s="39" t="str">
        <f ca="1">IF(OR($A1481=0,$A1481="S",$A1481&gt;CFF!$A$9),"",MAX(W$11:OFFSET(W1481,-1,0))+1)</f>
        <v/>
      </c>
      <c r="X1481" s="4" t="str">
        <f>IF(AND($J1481=$G$2,$N1481&lt;&gt;"",$M1481&lt;&gt;""),CONCATENATE($M1481,"-",$N1481))</f>
        <v>Serv. Terc.-008</v>
      </c>
      <c r="Y1481" s="39">
        <f t="shared" ca="1" si="1887"/>
        <v>88</v>
      </c>
      <c r="Z1481" s="1"/>
      <c r="AA1481" s="133">
        <f>IF($J1481=$G$2,ROUND(IF(ISNUMBER(S1481),S1481,IF(LEFT(S1481,2)="DI",HLOOKUP(S1481,DADOS!$T$29:$X$30,2,FALSE),0)),4),"")</f>
        <v>0.25</v>
      </c>
      <c r="AB1481" s="2"/>
    </row>
    <row r="1482" spans="1:28">
      <c r="A1482" t="str">
        <f t="shared" si="1885"/>
        <v>S</v>
      </c>
      <c r="B1482">
        <f t="shared" si="1886"/>
        <v>0</v>
      </c>
      <c r="C1482">
        <f ca="1">IF($A1482=1,OFFSET(C1482,-1,0)+1,OFFSET(C1482,-1,0))</f>
        <v>18</v>
      </c>
      <c r="D1482">
        <f ca="1">IF($A1482=1,0,IF($A1482=2,OFFSET(D1482,-1,0)+1,OFFSET(D1482,-1,0)))</f>
        <v>3</v>
      </c>
      <c r="E1482">
        <f ca="1">IF(AND($A1482&lt;=2,$A1482&lt;&gt;0),0,IF($A1482=3,OFFSET(E1482,-1,0)+1,OFFSET(E1482,-1,0)))</f>
        <v>0</v>
      </c>
      <c r="F1482">
        <f ca="1">IF(AND($A1482&lt;=3,$A1482&lt;&gt;0),0,IF($A1482=4,OFFSET(F1482,-1,0)+1,OFFSET(F1482,-1,0)))</f>
        <v>0</v>
      </c>
      <c r="G1482">
        <f ca="1">IF(AND($A1482&lt;=4,$A1482&lt;&gt;0),0,IF($A1482="S",OFFSET(G1482,-1,0)+1,OFFSET(G1482,-1,0)))</f>
        <v>10</v>
      </c>
      <c r="H1482">
        <f ca="1">IF(OR($A1482="S",$A1482=0),0,MATCH(0,OFFSET($B1482,1,$A1482,ROW($A$1504)-ROW($A1482)),0))</f>
        <v>0</v>
      </c>
      <c r="I1482">
        <f ca="1">IF(OR($A1482="S",$A1482=0),0,MATCH(OFFSET($B1482,0,$A1482)+1,OFFSET($B1482,1,$A1482,ROW($A$1504)-ROW($A1482)),0))</f>
        <v>0</v>
      </c>
      <c r="J1482" s="132" t="s">
        <v>29</v>
      </c>
      <c r="K1482" s="121" t="str">
        <f ca="1">IF($A1482=0,"-",CONCATENATE(C1482&amp;".",IF(AND($A$5&gt;=2,$A1482&gt;=2),D1482&amp;".",""),IF(AND($A$5&gt;=3,$A1482&gt;=3),E1482&amp;".",""),IF(AND($A$5&gt;=4,$A1482&gt;=4),F1482&amp;".",""),IF($A1482="S",G1482&amp;".","")))</f>
        <v>18.3.10.</v>
      </c>
      <c r="L1482" s="137" t="str">
        <f ca="1">IF(NOT(ISERROR($Y1482)),IF($Y1482&lt;&gt;FALSE,INDEX(Banco,$Y1482,4),""),"")</f>
        <v xml:space="preserve">Cotação </v>
      </c>
      <c r="M1482" s="122" t="s">
        <v>80</v>
      </c>
      <c r="N1482" s="139" t="s">
        <v>160</v>
      </c>
      <c r="O1482" s="137" t="str">
        <f ca="1">IF(NOT(ISERROR($Y1482)),IF($Y1482&lt;&gt;FALSE,INDEX(Banco,$Y1482,5),""),"")</f>
        <v>Barra de gelo</v>
      </c>
      <c r="P1482" s="138" t="str">
        <f ca="1">IF(NOT(ISERROR($Y1482)),IF($Y1482&lt;&gt;FALSE,INDEX(Banco,$Y1482,6),""),"")</f>
        <v>Unidade</v>
      </c>
      <c r="Q1482" s="134">
        <v>4</v>
      </c>
      <c r="R1482" s="124">
        <f ca="1">IF(NOT(ISERROR($Y1482)),IF($Y1482&lt;&gt;FALSE,INDEX(Banco,$Y1482,7),0),0)</f>
        <v>12</v>
      </c>
      <c r="S1482" s="136" t="s">
        <v>62</v>
      </c>
      <c r="T1482" s="123">
        <f ca="1">IF($J1482=$G$2,ROUND(ROUND($R1482,2)*IF($R$9="Preço Unitário (R$)",1,1+$AA1482),2),0)</f>
        <v>15</v>
      </c>
      <c r="U1482" s="126">
        <f ca="1">IF($A1482="S",VTOTAL1,IF($A1482=0,0,ROUND(SomaAgrup,2)))</f>
        <v>60</v>
      </c>
      <c r="V1482" s="1"/>
      <c r="W1482" s="39" t="str">
        <f ca="1">IF(OR($A1482=0,$A1482="S",$A1482&gt;CFF!$A$9),"",MAX(W$11:OFFSET(W1482,-1,0))+1)</f>
        <v/>
      </c>
      <c r="X1482" s="4" t="str">
        <f>IF(AND($J1482=$G$2,$N1482&lt;&gt;"",$M1482&lt;&gt;""),CONCATENATE($M1482,"-",$N1482))</f>
        <v>Serv. Terc.-011</v>
      </c>
      <c r="Y1482" s="39">
        <f t="shared" ca="1" si="1887"/>
        <v>91</v>
      </c>
      <c r="Z1482" s="1"/>
      <c r="AA1482" s="133">
        <f>IF($J1482=$G$2,ROUND(IF(ISNUMBER(S1482),S1482,IF(LEFT(S1482,2)="DI",HLOOKUP(S1482,DADOS!$T$29:$X$30,2,FALSE),0)),4),"")</f>
        <v>0.25</v>
      </c>
      <c r="AB1482" s="2"/>
    </row>
    <row r="1483" spans="1:28">
      <c r="A1483" t="str">
        <f t="shared" si="1885"/>
        <v>S</v>
      </c>
      <c r="B1483">
        <f t="shared" si="1886"/>
        <v>0</v>
      </c>
      <c r="C1483">
        <f ca="1">IF($A1483=1,OFFSET(C1483,-1,0)+1,OFFSET(C1483,-1,0))</f>
        <v>18</v>
      </c>
      <c r="D1483">
        <f ca="1">IF($A1483=1,0,IF($A1483=2,OFFSET(D1483,-1,0)+1,OFFSET(D1483,-1,0)))</f>
        <v>3</v>
      </c>
      <c r="E1483">
        <f ca="1">IF(AND($A1483&lt;=2,$A1483&lt;&gt;0),0,IF($A1483=3,OFFSET(E1483,-1,0)+1,OFFSET(E1483,-1,0)))</f>
        <v>0</v>
      </c>
      <c r="F1483">
        <f ca="1">IF(AND($A1483&lt;=3,$A1483&lt;&gt;0),0,IF($A1483=4,OFFSET(F1483,-1,0)+1,OFFSET(F1483,-1,0)))</f>
        <v>0</v>
      </c>
      <c r="G1483">
        <f ca="1">IF(AND($A1483&lt;=4,$A1483&lt;&gt;0),0,IF($A1483="S",OFFSET(G1483,-1,0)+1,OFFSET(G1483,-1,0)))</f>
        <v>11</v>
      </c>
      <c r="H1483">
        <f ca="1">IF(OR($A1483="S",$A1483=0),0,MATCH(0,OFFSET($B1483,1,$A1483,ROW($A$1504)-ROW($A1483)),0))</f>
        <v>0</v>
      </c>
      <c r="I1483">
        <f ca="1">IF(OR($A1483="S",$A1483=0),0,MATCH(OFFSET($B1483,0,$A1483)+1,OFFSET($B1483,1,$A1483,ROW($A$1504)-ROW($A1483)),0))</f>
        <v>0</v>
      </c>
      <c r="J1483" s="132" t="s">
        <v>29</v>
      </c>
      <c r="K1483" s="121" t="str">
        <f ca="1">IF($A1483=0,"-",CONCATENATE(C1483&amp;".",IF(AND($A$5&gt;=2,$A1483&gt;=2),D1483&amp;".",""),IF(AND($A$5&gt;=3,$A1483&gt;=3),E1483&amp;".",""),IF(AND($A$5&gt;=4,$A1483&gt;=4),F1483&amp;".",""),IF($A1483="S",G1483&amp;".","")))</f>
        <v>18.3.11.</v>
      </c>
      <c r="L1483" s="137" t="str">
        <f ca="1">IF(NOT(ISERROR($Y1483)),IF($Y1483&lt;&gt;FALSE,INDEX(Banco,$Y1483,4),""),"")</f>
        <v>Cotação</v>
      </c>
      <c r="M1483" s="122" t="s">
        <v>80</v>
      </c>
      <c r="N1483" s="139" t="s">
        <v>150</v>
      </c>
      <c r="O1483" s="137" t="str">
        <f ca="1">IF(NOT(ISERROR($Y1483)),IF($Y1483&lt;&gt;FALSE,INDEX(Banco,$Y1483,5),""),"")</f>
        <v>Sucos</v>
      </c>
      <c r="P1483" s="138" t="str">
        <f ca="1">IF(NOT(ISERROR($Y1483)),IF($Y1483&lt;&gt;FALSE,INDEX(Banco,$Y1483,6),""),"")</f>
        <v>Unidade</v>
      </c>
      <c r="Q1483" s="134">
        <v>12</v>
      </c>
      <c r="R1483" s="124">
        <f ca="1">IF(NOT(ISERROR($Y1483)),IF($Y1483&lt;&gt;FALSE,INDEX(Banco,$Y1483,7),0),0)</f>
        <v>6.4</v>
      </c>
      <c r="S1483" s="136" t="s">
        <v>62</v>
      </c>
      <c r="T1483" s="123">
        <f ca="1">IF($J1483=$G$2,ROUND(ROUND($R1483,2)*IF($R$9="Preço Unitário (R$)",1,1+$AA1483),2),0)</f>
        <v>8</v>
      </c>
      <c r="U1483" s="126">
        <f ca="1">IF($A1483="S",VTOTAL1,IF($A1483=0,0,ROUND(SomaAgrup,2)))</f>
        <v>96</v>
      </c>
      <c r="V1483" s="1"/>
      <c r="W1483" s="39" t="str">
        <f ca="1">IF(OR($A1483=0,$A1483="S",$A1483&gt;CFF!$A$9),"",MAX(W$11:OFFSET(W1483,-1,0))+1)</f>
        <v/>
      </c>
      <c r="X1483" s="4" t="str">
        <f>IF(AND($J1483=$G$2,$N1483&lt;&gt;"",$M1483&lt;&gt;""),CONCATENATE($M1483,"-",$N1483))</f>
        <v>Serv. Terc.-013</v>
      </c>
      <c r="Y1483" s="39">
        <f t="shared" ca="1" si="1887"/>
        <v>93</v>
      </c>
      <c r="Z1483" s="1"/>
      <c r="AA1483" s="133">
        <f>IF($J1483=$G$2,ROUND(IF(ISNUMBER(S1483),S1483,IF(LEFT(S1483,2)="DI",HLOOKUP(S1483,DADOS!$T$29:$X$30,2,FALSE),0)),4),"")</f>
        <v>0.25</v>
      </c>
      <c r="AB1483" s="2"/>
    </row>
    <row r="1484" spans="1:28">
      <c r="A1484" t="str">
        <f t="shared" ref="A1484:A1503" si="1888">CHOOSE(1+LOG(1+2*(J1484=$C$2)+4*(J1484=$D$2)+8*(J1484=$E$2)+16*(J1484=$F$2)+32*(J1484=$G$2),2),0,1,2,3,4,"S")</f>
        <v>S</v>
      </c>
      <c r="B1484">
        <f t="shared" ref="B1484:B1503" si="1889">IF(OR(A1484="S",A1484=0),0,IF(ISERROR(I1484),H1484,SMALL(H1484:I1484,1)))</f>
        <v>0</v>
      </c>
      <c r="C1484">
        <f ca="1">IF($A1484=1,OFFSET(C1484,-1,0)+1,OFFSET(C1484,-1,0))</f>
        <v>18</v>
      </c>
      <c r="D1484">
        <f ca="1">IF($A1484=1,0,IF($A1484=2,OFFSET(D1484,-1,0)+1,OFFSET(D1484,-1,0)))</f>
        <v>3</v>
      </c>
      <c r="E1484">
        <f ca="1">IF(AND($A1484&lt;=2,$A1484&lt;&gt;0),0,IF($A1484=3,OFFSET(E1484,-1,0)+1,OFFSET(E1484,-1,0)))</f>
        <v>0</v>
      </c>
      <c r="F1484">
        <f ca="1">IF(AND($A1484&lt;=3,$A1484&lt;&gt;0),0,IF($A1484=4,OFFSET(F1484,-1,0)+1,OFFSET(F1484,-1,0)))</f>
        <v>0</v>
      </c>
      <c r="G1484">
        <f ca="1">IF(AND($A1484&lt;=4,$A1484&lt;&gt;0),0,IF($A1484="S",OFFSET(G1484,-1,0)+1,OFFSET(G1484,-1,0)))</f>
        <v>12</v>
      </c>
      <c r="H1484">
        <f ca="1">IF(OR($A1484="S",$A1484=0),0,MATCH(0,OFFSET($B1484,1,$A1484,ROW($A$1504)-ROW($A1484)),0))</f>
        <v>0</v>
      </c>
      <c r="I1484">
        <f ca="1">IF(OR($A1484="S",$A1484=0),0,MATCH(OFFSET($B1484,0,$A1484)+1,OFFSET($B1484,1,$A1484,ROW($A$1504)-ROW($A1484)),0))</f>
        <v>0</v>
      </c>
      <c r="J1484" s="132" t="s">
        <v>29</v>
      </c>
      <c r="K1484" s="121" t="str">
        <f ca="1">IF($A1484=0,"-",CONCATENATE(C1484&amp;".",IF(AND($A$5&gt;=2,$A1484&gt;=2),D1484&amp;".",""),IF(AND($A$5&gt;=3,$A1484&gt;=3),E1484&amp;".",""),IF(AND($A$5&gt;=4,$A1484&gt;=4),F1484&amp;".",""),IF($A1484="S",G1484&amp;".","")))</f>
        <v>18.3.12.</v>
      </c>
      <c r="L1484" s="137" t="str">
        <f ca="1">IF(NOT(ISERROR($Y1484)),IF($Y1484&lt;&gt;FALSE,INDEX(Banco,$Y1484,4),""),"")</f>
        <v>Cotação</v>
      </c>
      <c r="M1484" s="122" t="s">
        <v>80</v>
      </c>
      <c r="N1484" s="139" t="s">
        <v>171</v>
      </c>
      <c r="O1484" s="137" t="str">
        <f ca="1">IF(NOT(ISERROR($Y1484)),IF($Y1484&lt;&gt;FALSE,INDEX(Banco,$Y1484,5),""),"")</f>
        <v xml:space="preserve">Refrigerantes (02 litros) </v>
      </c>
      <c r="P1484" s="138" t="str">
        <f ca="1">IF(NOT(ISERROR($Y1484)),IF($Y1484&lt;&gt;FALSE,INDEX(Banco,$Y1484,6),""),"")</f>
        <v>Unidade</v>
      </c>
      <c r="Q1484" s="134">
        <v>20</v>
      </c>
      <c r="R1484" s="124">
        <f ca="1">IF(NOT(ISERROR($Y1484)),IF($Y1484&lt;&gt;FALSE,INDEX(Banco,$Y1484,7),0),0)</f>
        <v>6</v>
      </c>
      <c r="S1484" s="136" t="s">
        <v>62</v>
      </c>
      <c r="T1484" s="123">
        <f ca="1">IF($J1484=$G$2,ROUND(ROUND($R1484,2)*IF($R$9="Preço Unitário (R$)",1,1+$AA1484),2),0)</f>
        <v>7.5</v>
      </c>
      <c r="U1484" s="126">
        <f ca="1">IF($A1484="S",VTOTAL1,IF($A1484=0,0,ROUND(SomaAgrup,2)))</f>
        <v>150</v>
      </c>
      <c r="V1484" s="1"/>
      <c r="W1484" s="39" t="str">
        <f ca="1">IF(OR($A1484=0,$A1484="S",$A1484&gt;CFF!$A$9),"",MAX(W$11:OFFSET(W1484,-1,0))+1)</f>
        <v/>
      </c>
      <c r="X1484" s="4" t="str">
        <f>IF(AND($J1484=$G$2,$N1484&lt;&gt;"",$M1484&lt;&gt;""),CONCATENATE($M1484,"-",$N1484))</f>
        <v>Serv. Terc.-027</v>
      </c>
      <c r="Y1484" s="39">
        <f t="shared" ref="Y1484:Y1503" ca="1" si="1890">IF(X1484&lt;&gt;FALSE,MATCH(X1484,OFFSET(Banco,0,0,,1),0))</f>
        <v>107</v>
      </c>
      <c r="Z1484" s="1"/>
      <c r="AA1484" s="133">
        <f>IF($J1484=$G$2,ROUND(IF(ISNUMBER(S1484),S1484,IF(LEFT(S1484,2)="DI",HLOOKUP(S1484,DADOS!$T$29:$X$30,2,FALSE),0)),4),"")</f>
        <v>0.25</v>
      </c>
      <c r="AB1484" s="2"/>
    </row>
    <row r="1485" spans="1:28">
      <c r="A1485" t="str">
        <f t="shared" si="1888"/>
        <v>S</v>
      </c>
      <c r="B1485">
        <f t="shared" si="1889"/>
        <v>0</v>
      </c>
      <c r="C1485">
        <f ca="1">IF($A1485=1,OFFSET(C1485,-1,0)+1,OFFSET(C1485,-1,0))</f>
        <v>18</v>
      </c>
      <c r="D1485">
        <f ca="1">IF($A1485=1,0,IF($A1485=2,OFFSET(D1485,-1,0)+1,OFFSET(D1485,-1,0)))</f>
        <v>3</v>
      </c>
      <c r="E1485">
        <f ca="1">IF(AND($A1485&lt;=2,$A1485&lt;&gt;0),0,IF($A1485=3,OFFSET(E1485,-1,0)+1,OFFSET(E1485,-1,0)))</f>
        <v>0</v>
      </c>
      <c r="F1485">
        <f ca="1">IF(AND($A1485&lt;=3,$A1485&lt;&gt;0),0,IF($A1485=4,OFFSET(F1485,-1,0)+1,OFFSET(F1485,-1,0)))</f>
        <v>0</v>
      </c>
      <c r="G1485">
        <f ca="1">IF(AND($A1485&lt;=4,$A1485&lt;&gt;0),0,IF($A1485="S",OFFSET(G1485,-1,0)+1,OFFSET(G1485,-1,0)))</f>
        <v>13</v>
      </c>
      <c r="H1485">
        <f ca="1">IF(OR($A1485="S",$A1485=0),0,MATCH(0,OFFSET($B1485,1,$A1485,ROW($A$1504)-ROW($A1485)),0))</f>
        <v>0</v>
      </c>
      <c r="I1485">
        <f ca="1">IF(OR($A1485="S",$A1485=0),0,MATCH(OFFSET($B1485,0,$A1485)+1,OFFSET($B1485,1,$A1485,ROW($A$1504)-ROW($A1485)),0))</f>
        <v>0</v>
      </c>
      <c r="J1485" s="132" t="s">
        <v>29</v>
      </c>
      <c r="K1485" s="121" t="str">
        <f ca="1">IF($A1485=0,"-",CONCATENATE(C1485&amp;".",IF(AND($A$5&gt;=2,$A1485&gt;=2),D1485&amp;".",""),IF(AND($A$5&gt;=3,$A1485&gt;=3),E1485&amp;".",""),IF(AND($A$5&gt;=4,$A1485&gt;=4),F1485&amp;".",""),IF($A1485="S",G1485&amp;".","")))</f>
        <v>18.3.13.</v>
      </c>
      <c r="L1485" s="137" t="str">
        <f ca="1">IF(NOT(ISERROR($Y1485)),IF($Y1485&lt;&gt;FALSE,INDEX(Banco,$Y1485,4),""),"")</f>
        <v xml:space="preserve">Cotação </v>
      </c>
      <c r="M1485" s="122" t="s">
        <v>80</v>
      </c>
      <c r="N1485" s="139" t="s">
        <v>159</v>
      </c>
      <c r="O1485" s="137" t="str">
        <f ca="1">IF(NOT(ISERROR($Y1485)),IF($Y1485&lt;&gt;FALSE,INDEX(Banco,$Y1485,5),""),"")</f>
        <v>Brindes ( descrição nos orçamentos e PTS)</v>
      </c>
      <c r="P1485" s="138" t="str">
        <f ca="1">IF(NOT(ISERROR($Y1485)),IF($Y1485&lt;&gt;FALSE,INDEX(Banco,$Y1485,6),""),"")</f>
        <v>Unidade</v>
      </c>
      <c r="Q1485" s="134">
        <v>4</v>
      </c>
      <c r="R1485" s="124">
        <f ca="1">IF(NOT(ISERROR($Y1485)),IF($Y1485&lt;&gt;FALSE,INDEX(Banco,$Y1485,7),0),0)</f>
        <v>120</v>
      </c>
      <c r="S1485" s="136" t="s">
        <v>62</v>
      </c>
      <c r="T1485" s="123">
        <f ca="1">IF($J1485=$G$2,ROUND(ROUND($R1485,2)*IF($R$9="Preço Unitário (R$)",1,1+$AA1485),2),0)</f>
        <v>150</v>
      </c>
      <c r="U1485" s="126">
        <f ca="1">IF($A1485="S",VTOTAL1,IF($A1485=0,0,ROUND(SomaAgrup,2)))</f>
        <v>600</v>
      </c>
      <c r="V1485" s="1"/>
      <c r="W1485" s="39" t="str">
        <f ca="1">IF(OR($A1485=0,$A1485="S",$A1485&gt;CFF!$A$9),"",MAX(W$11:OFFSET(W1485,-1,0))+1)</f>
        <v/>
      </c>
      <c r="X1485" s="4" t="str">
        <f>IF(AND($J1485=$G$2,$N1485&lt;&gt;"",$M1485&lt;&gt;""),CONCATENATE($M1485,"-",$N1485))</f>
        <v>Serv. Terc.-010</v>
      </c>
      <c r="Y1485" s="39">
        <f t="shared" ca="1" si="1890"/>
        <v>90</v>
      </c>
      <c r="Z1485" s="1"/>
      <c r="AA1485" s="133">
        <f>IF($J1485=$G$2,ROUND(IF(ISNUMBER(S1485),S1485,IF(LEFT(S1485,2)="DI",HLOOKUP(S1485,DADOS!$T$29:$X$30,2,FALSE),0)),4),"")</f>
        <v>0.25</v>
      </c>
      <c r="AB1485" s="2"/>
    </row>
    <row r="1486" spans="1:28">
      <c r="A1486" t="str">
        <f t="shared" si="1888"/>
        <v>S</v>
      </c>
      <c r="B1486">
        <f t="shared" si="1889"/>
        <v>0</v>
      </c>
      <c r="C1486">
        <f ca="1">IF($A1486=1,OFFSET(C1486,-1,0)+1,OFFSET(C1486,-1,0))</f>
        <v>18</v>
      </c>
      <c r="D1486">
        <f ca="1">IF($A1486=1,0,IF($A1486=2,OFFSET(D1486,-1,0)+1,OFFSET(D1486,-1,0)))</f>
        <v>3</v>
      </c>
      <c r="E1486">
        <f ca="1">IF(AND($A1486&lt;=2,$A1486&lt;&gt;0),0,IF($A1486=3,OFFSET(E1486,-1,0)+1,OFFSET(E1486,-1,0)))</f>
        <v>0</v>
      </c>
      <c r="F1486">
        <f ca="1">IF(AND($A1486&lt;=3,$A1486&lt;&gt;0),0,IF($A1486=4,OFFSET(F1486,-1,0)+1,OFFSET(F1486,-1,0)))</f>
        <v>0</v>
      </c>
      <c r="G1486">
        <f ca="1">IF(AND($A1486&lt;=4,$A1486&lt;&gt;0),0,IF($A1486="S",OFFSET(G1486,-1,0)+1,OFFSET(G1486,-1,0)))</f>
        <v>14</v>
      </c>
      <c r="H1486">
        <f ca="1">IF(OR($A1486="S",$A1486=0),0,MATCH(0,OFFSET($B1486,1,$A1486,ROW($A$1504)-ROW($A1486)),0))</f>
        <v>0</v>
      </c>
      <c r="I1486">
        <f ca="1">IF(OR($A1486="S",$A1486=0),0,MATCH(OFFSET($B1486,0,$A1486)+1,OFFSET($B1486,1,$A1486,ROW($A$1504)-ROW($A1486)),0))</f>
        <v>0</v>
      </c>
      <c r="J1486" s="132" t="s">
        <v>29</v>
      </c>
      <c r="K1486" s="121" t="str">
        <f ca="1">IF($A1486=0,"-",CONCATENATE(C1486&amp;".",IF(AND($A$5&gt;=2,$A1486&gt;=2),D1486&amp;".",""),IF(AND($A$5&gt;=3,$A1486&gt;=3),E1486&amp;".",""),IF(AND($A$5&gt;=4,$A1486&gt;=4),F1486&amp;".",""),IF($A1486="S",G1486&amp;".","")))</f>
        <v>18.3.14.</v>
      </c>
      <c r="L1486" s="137" t="str">
        <f ca="1">IF(NOT(ISERROR($Y1486)),IF($Y1486&lt;&gt;FALSE,INDEX(Banco,$Y1486,4),""),"")</f>
        <v>Cotação</v>
      </c>
      <c r="M1486" s="122" t="s">
        <v>80</v>
      </c>
      <c r="N1486" s="139" t="s">
        <v>162</v>
      </c>
      <c r="O1486" s="137" t="str">
        <f ca="1">IF(NOT(ISERROR($Y1486)),IF($Y1486&lt;&gt;FALSE,INDEX(Banco,$Y1486,5),""),"")</f>
        <v>Coffee break (salgados)</v>
      </c>
      <c r="P1486" s="138" t="str">
        <f ca="1">IF(NOT(ISERROR($Y1486)),IF($Y1486&lt;&gt;FALSE,INDEX(Banco,$Y1486,6),""),"")</f>
        <v>Centro</v>
      </c>
      <c r="Q1486" s="134">
        <v>15</v>
      </c>
      <c r="R1486" s="124">
        <f ca="1">IF(NOT(ISERROR($Y1486)),IF($Y1486&lt;&gt;FALSE,INDEX(Banco,$Y1486,7),0),0)</f>
        <v>65</v>
      </c>
      <c r="S1486" s="136" t="s">
        <v>62</v>
      </c>
      <c r="T1486" s="123">
        <f ca="1">IF($J1486=$G$2,ROUND(ROUND($R1486,2)*IF($R$9="Preço Unitário (R$)",1,1+$AA1486),2),0)</f>
        <v>81.25</v>
      </c>
      <c r="U1486" s="126">
        <f ca="1">IF($A1486="S",VTOTAL1,IF($A1486=0,0,ROUND(SomaAgrup,2)))</f>
        <v>1218.75</v>
      </c>
      <c r="V1486" s="1"/>
      <c r="W1486" s="39" t="str">
        <f ca="1">IF(OR($A1486=0,$A1486="S",$A1486&gt;CFF!$A$9),"",MAX(W$11:OFFSET(W1486,-1,0))+1)</f>
        <v/>
      </c>
      <c r="X1486" s="4" t="str">
        <f>IF(AND($J1486=$G$2,$N1486&lt;&gt;"",$M1486&lt;&gt;""),CONCATENATE($M1486,"-",$N1486))</f>
        <v>Serv. Terc.-015</v>
      </c>
      <c r="Y1486" s="39">
        <f t="shared" ca="1" si="1890"/>
        <v>95</v>
      </c>
      <c r="Z1486" s="1"/>
      <c r="AA1486" s="133">
        <f>IF($J1486=$G$2,ROUND(IF(ISNUMBER(S1486),S1486,IF(LEFT(S1486,2)="DI",HLOOKUP(S1486,DADOS!$T$29:$X$30,2,FALSE),0)),4),"")</f>
        <v>0.25</v>
      </c>
      <c r="AB1486" s="2"/>
    </row>
    <row r="1487" spans="1:28">
      <c r="A1487" t="str">
        <f t="shared" si="1888"/>
        <v>S</v>
      </c>
      <c r="B1487">
        <f t="shared" si="1889"/>
        <v>0</v>
      </c>
      <c r="C1487">
        <f ca="1">IF($A1487=1,OFFSET(C1487,-1,0)+1,OFFSET(C1487,-1,0))</f>
        <v>18</v>
      </c>
      <c r="D1487">
        <f ca="1">IF($A1487=1,0,IF($A1487=2,OFFSET(D1487,-1,0)+1,OFFSET(D1487,-1,0)))</f>
        <v>3</v>
      </c>
      <c r="E1487">
        <f ca="1">IF(AND($A1487&lt;=2,$A1487&lt;&gt;0),0,IF($A1487=3,OFFSET(E1487,-1,0)+1,OFFSET(E1487,-1,0)))</f>
        <v>0</v>
      </c>
      <c r="F1487">
        <f ca="1">IF(AND($A1487&lt;=3,$A1487&lt;&gt;0),0,IF($A1487=4,OFFSET(F1487,-1,0)+1,OFFSET(F1487,-1,0)))</f>
        <v>0</v>
      </c>
      <c r="G1487">
        <f ca="1">IF(AND($A1487&lt;=4,$A1487&lt;&gt;0),0,IF($A1487="S",OFFSET(G1487,-1,0)+1,OFFSET(G1487,-1,0)))</f>
        <v>15</v>
      </c>
      <c r="H1487">
        <f ca="1">IF(OR($A1487="S",$A1487=0),0,MATCH(0,OFFSET($B1487,1,$A1487,ROW($A$1504)-ROW($A1487)),0))</f>
        <v>0</v>
      </c>
      <c r="I1487">
        <f ca="1">IF(OR($A1487="S",$A1487=0),0,MATCH(OFFSET($B1487,0,$A1487)+1,OFFSET($B1487,1,$A1487,ROW($A$1504)-ROW($A1487)),0))</f>
        <v>0</v>
      </c>
      <c r="J1487" s="132" t="s">
        <v>29</v>
      </c>
      <c r="K1487" s="121" t="str">
        <f ca="1">IF($A1487=0,"-",CONCATENATE(C1487&amp;".",IF(AND($A$5&gt;=2,$A1487&gt;=2),D1487&amp;".",""),IF(AND($A$5&gt;=3,$A1487&gt;=3),E1487&amp;".",""),IF(AND($A$5&gt;=4,$A1487&gt;=4),F1487&amp;".",""),IF($A1487="S",G1487&amp;".","")))</f>
        <v>18.3.15.</v>
      </c>
      <c r="L1487" s="137" t="str">
        <f ca="1">IF(NOT(ISERROR($Y1487)),IF($Y1487&lt;&gt;FALSE,INDEX(Banco,$Y1487,4),""),"")</f>
        <v>Cotação</v>
      </c>
      <c r="M1487" s="122" t="s">
        <v>79</v>
      </c>
      <c r="N1487" s="139" t="s">
        <v>163</v>
      </c>
      <c r="O1487" s="137" t="str">
        <f ca="1">IF(NOT(ISERROR($Y1487)),IF($Y1487&lt;&gt;FALSE,INDEX(Banco,$Y1487,5),""),"")</f>
        <v>Guloseimas (balas e pirulito)</v>
      </c>
      <c r="P1487" s="138" t="str">
        <f ca="1">IF(NOT(ISERROR($Y1487)),IF($Y1487&lt;&gt;FALSE,INDEX(Banco,$Y1487,6),""),"")</f>
        <v>Pacote</v>
      </c>
      <c r="Q1487" s="134">
        <v>4</v>
      </c>
      <c r="R1487" s="124">
        <f ca="1">IF(NOT(ISERROR($Y1487)),IF($Y1487&lt;&gt;FALSE,INDEX(Banco,$Y1487,7),0),0)</f>
        <v>12</v>
      </c>
      <c r="S1487" s="136" t="s">
        <v>62</v>
      </c>
      <c r="T1487" s="123">
        <f ca="1">IF($J1487=$G$2,ROUND(ROUND($R1487,2)*IF($R$9="Preço Unitário (R$)",1,1+$AA1487),2),0)</f>
        <v>15</v>
      </c>
      <c r="U1487" s="126">
        <f ca="1">IF($A1487="S",VTOTAL1,IF($A1487=0,0,ROUND(SomaAgrup,2)))</f>
        <v>60</v>
      </c>
      <c r="V1487" s="1"/>
      <c r="W1487" s="39" t="str">
        <f ca="1">IF(OR($A1487=0,$A1487="S",$A1487&gt;CFF!$A$9),"",MAX(W$11:OFFSET(W1487,-1,0))+1)</f>
        <v/>
      </c>
      <c r="X1487" s="4" t="str">
        <f>IF(AND($J1487=$G$2,$N1487&lt;&gt;"",$M1487&lt;&gt;""),CONCATENATE($M1487,"-",$N1487))</f>
        <v>Rec. Materiais-020</v>
      </c>
      <c r="Y1487" s="39">
        <f t="shared" ca="1" si="1890"/>
        <v>29</v>
      </c>
      <c r="Z1487" s="1"/>
      <c r="AA1487" s="133">
        <f>IF($J1487=$G$2,ROUND(IF(ISNUMBER(S1487),S1487,IF(LEFT(S1487,2)="DI",HLOOKUP(S1487,DADOS!$T$29:$X$30,2,FALSE),0)),4),"")</f>
        <v>0.25</v>
      </c>
      <c r="AB1487" s="2"/>
    </row>
    <row r="1488" spans="1:28">
      <c r="A1488" t="str">
        <f t="shared" si="1888"/>
        <v>S</v>
      </c>
      <c r="B1488">
        <f t="shared" si="1889"/>
        <v>0</v>
      </c>
      <c r="C1488">
        <f ca="1">IF($A1488=1,OFFSET(C1488,-1,0)+1,OFFSET(C1488,-1,0))</f>
        <v>18</v>
      </c>
      <c r="D1488">
        <f ca="1">IF($A1488=1,0,IF($A1488=2,OFFSET(D1488,-1,0)+1,OFFSET(D1488,-1,0)))</f>
        <v>3</v>
      </c>
      <c r="E1488">
        <f ca="1">IF(AND($A1488&lt;=2,$A1488&lt;&gt;0),0,IF($A1488=3,OFFSET(E1488,-1,0)+1,OFFSET(E1488,-1,0)))</f>
        <v>0</v>
      </c>
      <c r="F1488">
        <f ca="1">IF(AND($A1488&lt;=3,$A1488&lt;&gt;0),0,IF($A1488=4,OFFSET(F1488,-1,0)+1,OFFSET(F1488,-1,0)))</f>
        <v>0</v>
      </c>
      <c r="G1488">
        <f ca="1">IF(AND($A1488&lt;=4,$A1488&lt;&gt;0),0,IF($A1488="S",OFFSET(G1488,-1,0)+1,OFFSET(G1488,-1,0)))</f>
        <v>16</v>
      </c>
      <c r="H1488">
        <f ca="1">IF(OR($A1488="S",$A1488=0),0,MATCH(0,OFFSET($B1488,1,$A1488,ROW($A$1504)-ROW($A1488)),0))</f>
        <v>0</v>
      </c>
      <c r="I1488">
        <f ca="1">IF(OR($A1488="S",$A1488=0),0,MATCH(OFFSET($B1488,0,$A1488)+1,OFFSET($B1488,1,$A1488,ROW($A$1504)-ROW($A1488)),0))</f>
        <v>0</v>
      </c>
      <c r="J1488" s="132" t="s">
        <v>29</v>
      </c>
      <c r="K1488" s="121" t="str">
        <f ca="1">IF($A1488=0,"-",CONCATENATE(C1488&amp;".",IF(AND($A$5&gt;=2,$A1488&gt;=2),D1488&amp;".",""),IF(AND($A$5&gt;=3,$A1488&gt;=3),E1488&amp;".",""),IF(AND($A$5&gt;=4,$A1488&gt;=4),F1488&amp;".",""),IF($A1488="S",G1488&amp;".","")))</f>
        <v>18.3.16.</v>
      </c>
      <c r="L1488" s="137" t="str">
        <f ca="1">IF(NOT(ISERROR($Y1488)),IF($Y1488&lt;&gt;FALSE,INDEX(Banco,$Y1488,4),""),"")</f>
        <v>Cotação</v>
      </c>
      <c r="M1488" s="122" t="s">
        <v>79</v>
      </c>
      <c r="N1488" s="139" t="s">
        <v>165</v>
      </c>
      <c r="O1488" s="137" t="str">
        <f ca="1">IF(NOT(ISERROR($Y1488)),IF($Y1488&lt;&gt;FALSE,INDEX(Banco,$Y1488,5),""),"")</f>
        <v>Papel de presente</v>
      </c>
      <c r="P1488" s="138" t="str">
        <f ca="1">IF(NOT(ISERROR($Y1488)),IF($Y1488&lt;&gt;FALSE,INDEX(Banco,$Y1488,6),""),"")</f>
        <v>Folhas</v>
      </c>
      <c r="Q1488" s="134">
        <v>9</v>
      </c>
      <c r="R1488" s="124">
        <f ca="1">IF(NOT(ISERROR($Y1488)),IF($Y1488&lt;&gt;FALSE,INDEX(Banco,$Y1488,7),0),0)</f>
        <v>1.5</v>
      </c>
      <c r="S1488" s="136" t="s">
        <v>62</v>
      </c>
      <c r="T1488" s="123">
        <f ca="1">IF($J1488=$G$2,ROUND(ROUND($R1488,2)*IF($R$9="Preço Unitário (R$)",1,1+$AA1488),2),0)</f>
        <v>1.88</v>
      </c>
      <c r="U1488" s="126">
        <f ca="1">IF($A1488="S",VTOTAL1,IF($A1488=0,0,ROUND(SomaAgrup,2)))</f>
        <v>16.920000000000002</v>
      </c>
      <c r="V1488" s="1"/>
      <c r="W1488" s="39" t="str">
        <f ca="1">IF(OR($A1488=0,$A1488="S",$A1488&gt;CFF!$A$9),"",MAX(W$11:OFFSET(W1488,-1,0))+1)</f>
        <v/>
      </c>
      <c r="X1488" s="4" t="str">
        <f>IF(AND($J1488=$G$2,$N1488&lt;&gt;"",$M1488&lt;&gt;""),CONCATENATE($M1488,"-",$N1488))</f>
        <v>Rec. Materiais-021</v>
      </c>
      <c r="Y1488" s="39">
        <f t="shared" ca="1" si="1890"/>
        <v>30</v>
      </c>
      <c r="Z1488" s="1"/>
      <c r="AA1488" s="133">
        <f>IF($J1488=$G$2,ROUND(IF(ISNUMBER(S1488),S1488,IF(LEFT(S1488,2)="DI",HLOOKUP(S1488,DADOS!$T$29:$X$30,2,FALSE),0)),4),"")</f>
        <v>0.25</v>
      </c>
      <c r="AB1488" s="2"/>
    </row>
    <row r="1489" spans="1:28">
      <c r="A1489" t="str">
        <f t="shared" si="1888"/>
        <v>S</v>
      </c>
      <c r="B1489">
        <f t="shared" si="1889"/>
        <v>0</v>
      </c>
      <c r="C1489">
        <f ca="1">IF($A1489=1,OFFSET(C1489,-1,0)+1,OFFSET(C1489,-1,0))</f>
        <v>18</v>
      </c>
      <c r="D1489">
        <f ca="1">IF($A1489=1,0,IF($A1489=2,OFFSET(D1489,-1,0)+1,OFFSET(D1489,-1,0)))</f>
        <v>3</v>
      </c>
      <c r="E1489">
        <f ca="1">IF(AND($A1489&lt;=2,$A1489&lt;&gt;0),0,IF($A1489=3,OFFSET(E1489,-1,0)+1,OFFSET(E1489,-1,0)))</f>
        <v>0</v>
      </c>
      <c r="F1489">
        <f ca="1">IF(AND($A1489&lt;=3,$A1489&lt;&gt;0),0,IF($A1489=4,OFFSET(F1489,-1,0)+1,OFFSET(F1489,-1,0)))</f>
        <v>0</v>
      </c>
      <c r="G1489">
        <f ca="1">IF(AND($A1489&lt;=4,$A1489&lt;&gt;0),0,IF($A1489="S",OFFSET(G1489,-1,0)+1,OFFSET(G1489,-1,0)))</f>
        <v>17</v>
      </c>
      <c r="H1489">
        <f ca="1">IF(OR($A1489="S",$A1489=0),0,MATCH(0,OFFSET($B1489,1,$A1489,ROW($A$1504)-ROW($A1489)),0))</f>
        <v>0</v>
      </c>
      <c r="I1489">
        <f ca="1">IF(OR($A1489="S",$A1489=0),0,MATCH(OFFSET($B1489,0,$A1489)+1,OFFSET($B1489,1,$A1489,ROW($A$1504)-ROW($A1489)),0))</f>
        <v>0</v>
      </c>
      <c r="J1489" s="132" t="s">
        <v>29</v>
      </c>
      <c r="K1489" s="121" t="str">
        <f ca="1">IF($A1489=0,"-",CONCATENATE(C1489&amp;".",IF(AND($A$5&gt;=2,$A1489&gt;=2),D1489&amp;".",""),IF(AND($A$5&gt;=3,$A1489&gt;=3),E1489&amp;".",""),IF(AND($A$5&gt;=4,$A1489&gt;=4),F1489&amp;".",""),IF($A1489="S",G1489&amp;".","")))</f>
        <v>18.3.17.</v>
      </c>
      <c r="L1489" s="137" t="str">
        <f ca="1">IF(NOT(ISERROR($Y1489)),IF($Y1489&lt;&gt;FALSE,INDEX(Banco,$Y1489,4),""),"")</f>
        <v>Cotação</v>
      </c>
      <c r="M1489" s="122" t="s">
        <v>79</v>
      </c>
      <c r="N1489" s="139" t="s">
        <v>170</v>
      </c>
      <c r="O1489" s="137" t="str">
        <f ca="1">IF(NOT(ISERROR($Y1489)),IF($Y1489&lt;&gt;FALSE,INDEX(Banco,$Y1489,5),""),"")</f>
        <v>Saco de lixo (100 litros)</v>
      </c>
      <c r="P1489" s="138" t="str">
        <f ca="1">IF(NOT(ISERROR($Y1489)),IF($Y1489&lt;&gt;FALSE,INDEX(Banco,$Y1489,6),""),"")</f>
        <v>Pacote</v>
      </c>
      <c r="Q1489" s="134">
        <v>2</v>
      </c>
      <c r="R1489" s="124">
        <f ca="1">IF(NOT(ISERROR($Y1489)),IF($Y1489&lt;&gt;FALSE,INDEX(Banco,$Y1489,7),0),0)</f>
        <v>15</v>
      </c>
      <c r="S1489" s="136" t="s">
        <v>62</v>
      </c>
      <c r="T1489" s="123">
        <f ca="1">IF($J1489=$G$2,ROUND(ROUND($R1489,2)*IF($R$9="Preço Unitário (R$)",1,1+$AA1489),2),0)</f>
        <v>18.75</v>
      </c>
      <c r="U1489" s="126">
        <f ca="1">IF($A1489="S",VTOTAL1,IF($A1489=0,0,ROUND(SomaAgrup,2)))</f>
        <v>37.5</v>
      </c>
      <c r="V1489" s="1"/>
      <c r="W1489" s="39" t="str">
        <f ca="1">IF(OR($A1489=0,$A1489="S",$A1489&gt;CFF!$A$9),"",MAX(W$11:OFFSET(W1489,-1,0))+1)</f>
        <v/>
      </c>
      <c r="X1489" s="4" t="str">
        <f>IF(AND($J1489=$G$2,$N1489&lt;&gt;"",$M1489&lt;&gt;""),CONCATENATE($M1489,"-",$N1489))</f>
        <v>Rec. Materiais-026</v>
      </c>
      <c r="Y1489" s="39">
        <f t="shared" ca="1" si="1890"/>
        <v>35</v>
      </c>
      <c r="Z1489" s="1"/>
      <c r="AA1489" s="133">
        <f>IF($J1489=$G$2,ROUND(IF(ISNUMBER(S1489),S1489,IF(LEFT(S1489,2)="DI",HLOOKUP(S1489,DADOS!$T$29:$X$30,2,FALSE),0)),4),"")</f>
        <v>0.25</v>
      </c>
      <c r="AB1489" s="2"/>
    </row>
    <row r="1490" spans="1:28" ht="25.5">
      <c r="A1490">
        <f>CHOOSE(1+LOG(1+2*(J1490=$C$2)+4*(J1490=$D$2)+8*(J1490=$E$2)+16*(J1490=$F$2)+32*(J1490=$G$2),2),0,1,2,3,4,"S")</f>
        <v>2</v>
      </c>
      <c r="B1490">
        <f ca="1">IF(OR(A1490="S",A1490=0),0,IF(ISERROR(I1490),H1490,SMALL(H1490:I1490,1)))</f>
        <v>14</v>
      </c>
      <c r="C1490">
        <f ca="1">IF($A1490=1,OFFSET(C1490,-1,0)+1,OFFSET(C1490,-1,0))</f>
        <v>18</v>
      </c>
      <c r="D1490">
        <f ca="1">IF($A1490=1,0,IF($A1490=2,OFFSET(D1490,-1,0)+1,OFFSET(D1490,-1,0)))</f>
        <v>4</v>
      </c>
      <c r="E1490">
        <f ca="1">IF(AND($A1490&lt;=2,$A1490&lt;&gt;0),0,IF($A1490=3,OFFSET(E1490,-1,0)+1,OFFSET(E1490,-1,0)))</f>
        <v>0</v>
      </c>
      <c r="F1490">
        <f ca="1">IF(AND($A1490&lt;=3,$A1490&lt;&gt;0),0,IF($A1490=4,OFFSET(F1490,-1,0)+1,OFFSET(F1490,-1,0)))</f>
        <v>0</v>
      </c>
      <c r="G1490">
        <f ca="1">IF(AND($A1490&lt;=4,$A1490&lt;&gt;0),0,IF($A1490="S",OFFSET(G1490,-1,0)+1,OFFSET(G1490,-1,0)))</f>
        <v>0</v>
      </c>
      <c r="H1490">
        <f ca="1">IF(OR($A1490="S",$A1490=0),0,MATCH(0,OFFSET($B1490,1,$A1490,ROW($A$1504)-ROW($A1490)),0))</f>
        <v>14</v>
      </c>
      <c r="I1490" t="e">
        <f ca="1">IF(OR($A1490="S",$A1490=0),0,MATCH(OFFSET($B1490,0,$A1490)+1,OFFSET($B1490,1,$A1490,ROW($A$1504)-ROW($A1490)),0))</f>
        <v>#N/A</v>
      </c>
      <c r="J1490" s="132" t="s">
        <v>68</v>
      </c>
      <c r="K1490" s="121" t="str">
        <f ca="1">IF($A1490=0,"-",CONCATENATE(C1490&amp;".",IF(AND($A$5&gt;=2,$A1490&gt;=2),D1490&amp;".",""),IF(AND($A$5&gt;=3,$A1490&gt;=3),E1490&amp;".",""),IF(AND($A$5&gt;=4,$A1490&gt;=4),F1490&amp;".",""),IF($A1490="S",G1490&amp;".","")))</f>
        <v>18.4.</v>
      </c>
      <c r="L1490" s="137" t="str">
        <f ca="1">IF(NOT(ISERROR($Y1490)),IF($Y1490&lt;&gt;FALSE,INDEX(Banco,$Y1490,4),""),"")</f>
        <v/>
      </c>
      <c r="M1490" s="122"/>
      <c r="N1490" s="139"/>
      <c r="O1490" s="137" t="s">
        <v>465</v>
      </c>
      <c r="P1490" s="138" t="str">
        <f ca="1">IF(NOT(ISERROR($Y1490)),IF($Y1490&lt;&gt;FALSE,INDEX(Banco,$Y1490,6),""),"")</f>
        <v/>
      </c>
      <c r="Q1490" s="134"/>
      <c r="R1490" s="124">
        <f ca="1">IF(NOT(ISERROR($Y1490)),IF($Y1490&lt;&gt;FALSE,INDEX(Banco,$Y1490,7),0),0)</f>
        <v>0</v>
      </c>
      <c r="S1490" s="136" t="s">
        <v>62</v>
      </c>
      <c r="T1490" s="123">
        <f>IF($J1490=$G$2,ROUND(ROUND($R1490,2)*IF($R$9="Preço Unitário (R$)",1,1+$AA1490),2),0)</f>
        <v>0</v>
      </c>
      <c r="U1490" s="126">
        <f ca="1">IF($A1490="S",VTOTAL1,IF($A1490=0,0,ROUND(SomaAgrup,2)))</f>
        <v>7250.66</v>
      </c>
      <c r="V1490" s="1"/>
      <c r="W1490" s="39">
        <f ca="1">IF(OR($A1490=0,$A1490="S",$A1490&gt;CFF!$A$9),"",MAX(W$11:OFFSET(W1490,-1,0))+1)</f>
        <v>134</v>
      </c>
      <c r="X1490" s="4" t="b">
        <f>IF(AND($J1490=$G$2,$N1490&lt;&gt;"",$M1490&lt;&gt;""),CONCATENATE($M1490,"-",$N1490))</f>
        <v>0</v>
      </c>
      <c r="Y1490" s="39" t="b">
        <f ca="1">IF(X1490&lt;&gt;FALSE,MATCH(X1490,OFFSET(Banco,0,0,,1),0))</f>
        <v>0</v>
      </c>
      <c r="Z1490" s="1"/>
      <c r="AA1490" s="133" t="str">
        <f>IF($J1490=$G$2,ROUND(IF(ISNUMBER(S1490),S1490,IF(LEFT(S1490,2)="DI",HLOOKUP(S1490,DADOS!$T$29:$X$30,2,FALSE),0)),4),"")</f>
        <v/>
      </c>
      <c r="AB1490" s="2"/>
    </row>
    <row r="1491" spans="1:28">
      <c r="A1491" t="str">
        <f t="shared" si="1888"/>
        <v>S</v>
      </c>
      <c r="B1491">
        <f t="shared" si="1889"/>
        <v>0</v>
      </c>
      <c r="C1491">
        <f ca="1">IF($A1491=1,OFFSET(C1491,-1,0)+1,OFFSET(C1491,-1,0))</f>
        <v>18</v>
      </c>
      <c r="D1491">
        <f ca="1">IF($A1491=1,0,IF($A1491=2,OFFSET(D1491,-1,0)+1,OFFSET(D1491,-1,0)))</f>
        <v>4</v>
      </c>
      <c r="E1491">
        <f ca="1">IF(AND($A1491&lt;=2,$A1491&lt;&gt;0),0,IF($A1491=3,OFFSET(E1491,-1,0)+1,OFFSET(E1491,-1,0)))</f>
        <v>0</v>
      </c>
      <c r="F1491">
        <f ca="1">IF(AND($A1491&lt;=3,$A1491&lt;&gt;0),0,IF($A1491=4,OFFSET(F1491,-1,0)+1,OFFSET(F1491,-1,0)))</f>
        <v>0</v>
      </c>
      <c r="G1491">
        <f ca="1">IF(AND($A1491&lt;=4,$A1491&lt;&gt;0),0,IF($A1491="S",OFFSET(G1491,-1,0)+1,OFFSET(G1491,-1,0)))</f>
        <v>1</v>
      </c>
      <c r="H1491">
        <f ca="1">IF(OR($A1491="S",$A1491=0),0,MATCH(0,OFFSET($B1491,1,$A1491,ROW($A$1504)-ROW($A1491)),0))</f>
        <v>0</v>
      </c>
      <c r="I1491">
        <f ca="1">IF(OR($A1491="S",$A1491=0),0,MATCH(OFFSET($B1491,0,$A1491)+1,OFFSET($B1491,1,$A1491,ROW($A$1504)-ROW($A1491)),0))</f>
        <v>0</v>
      </c>
      <c r="J1491" s="132" t="s">
        <v>29</v>
      </c>
      <c r="K1491" s="121" t="str">
        <f ca="1">IF($A1491=0,"-",CONCATENATE(C1491&amp;".",IF(AND($A$5&gt;=2,$A1491&gt;=2),D1491&amp;".",""),IF(AND($A$5&gt;=3,$A1491&gt;=3),E1491&amp;".",""),IF(AND($A$5&gt;=4,$A1491&gt;=4),F1491&amp;".",""),IF($A1491="S",G1491&amp;".","")))</f>
        <v>18.4.1.</v>
      </c>
      <c r="L1491" s="137" t="str">
        <f ca="1">IF(NOT(ISERROR($Y1491)),IF($Y1491&lt;&gt;FALSE,INDEX(Banco,$Y1491,4),""),"")</f>
        <v>CRESS</v>
      </c>
      <c r="M1491" s="122" t="s">
        <v>78</v>
      </c>
      <c r="N1491" s="139" t="s">
        <v>149</v>
      </c>
      <c r="O1491" s="137" t="str">
        <f ca="1">IF(NOT(ISERROR($Y1491)),IF($Y1491&lt;&gt;FALSE,INDEX(Banco,$Y1491,5),""),"")</f>
        <v>Responsável Técnica</v>
      </c>
      <c r="P1491" s="138" t="str">
        <f ca="1">IF(NOT(ISERROR($Y1491)),IF($Y1491&lt;&gt;FALSE,INDEX(Banco,$Y1491,6),""),"")</f>
        <v>Horas</v>
      </c>
      <c r="Q1491" s="134">
        <v>8</v>
      </c>
      <c r="R1491" s="124">
        <f ca="1">IF(NOT(ISERROR($Y1491)),IF($Y1491&lt;&gt;FALSE,INDEX(Banco,$Y1491,7),0),0)</f>
        <v>150.28</v>
      </c>
      <c r="S1491" s="136" t="s">
        <v>62</v>
      </c>
      <c r="T1491" s="123">
        <f ca="1">IF($J1491=$G$2,ROUND(ROUND($R1491,2)*IF($R$9="Preço Unitário (R$)",1,1+$AA1491),2),0)</f>
        <v>187.85</v>
      </c>
      <c r="U1491" s="126">
        <f ca="1">IF($A1491="S",VTOTAL1,IF($A1491=0,0,ROUND(SomaAgrup,2)))</f>
        <v>1502.8</v>
      </c>
      <c r="V1491" s="1"/>
      <c r="W1491" s="39" t="str">
        <f ca="1">IF(OR($A1491=0,$A1491="S",$A1491&gt;CFF!$A$9),"",MAX(W$11:OFFSET(W1491,-1,0))+1)</f>
        <v/>
      </c>
      <c r="X1491" s="4" t="str">
        <f>IF(AND($J1491=$G$2,$N1491&lt;&gt;"",$M1491&lt;&gt;""),CONCATENATE($M1491,"-",$N1491))</f>
        <v>Rec. Humanos-001</v>
      </c>
      <c r="Y1491" s="39">
        <f t="shared" ca="1" si="1890"/>
        <v>3</v>
      </c>
      <c r="Z1491" s="1"/>
      <c r="AA1491" s="133">
        <f>IF($J1491=$G$2,ROUND(IF(ISNUMBER(S1491),S1491,IF(LEFT(S1491,2)="DI",HLOOKUP(S1491,DADOS!$T$29:$X$30,2,FALSE),0)),4),"")</f>
        <v>0.25</v>
      </c>
      <c r="AB1491" s="2"/>
    </row>
    <row r="1492" spans="1:28">
      <c r="A1492" t="str">
        <f t="shared" si="1888"/>
        <v>S</v>
      </c>
      <c r="B1492">
        <f t="shared" si="1889"/>
        <v>0</v>
      </c>
      <c r="C1492">
        <f ca="1">IF($A1492=1,OFFSET(C1492,-1,0)+1,OFFSET(C1492,-1,0))</f>
        <v>18</v>
      </c>
      <c r="D1492">
        <f ca="1">IF($A1492=1,0,IF($A1492=2,OFFSET(D1492,-1,0)+1,OFFSET(D1492,-1,0)))</f>
        <v>4</v>
      </c>
      <c r="E1492">
        <f ca="1">IF(AND($A1492&lt;=2,$A1492&lt;&gt;0),0,IF($A1492=3,OFFSET(E1492,-1,0)+1,OFFSET(E1492,-1,0)))</f>
        <v>0</v>
      </c>
      <c r="F1492">
        <f ca="1">IF(AND($A1492&lt;=3,$A1492&lt;&gt;0),0,IF($A1492=4,OFFSET(F1492,-1,0)+1,OFFSET(F1492,-1,0)))</f>
        <v>0</v>
      </c>
      <c r="G1492">
        <f ca="1">IF(AND($A1492&lt;=4,$A1492&lt;&gt;0),0,IF($A1492="S",OFFSET(G1492,-1,0)+1,OFFSET(G1492,-1,0)))</f>
        <v>2</v>
      </c>
      <c r="H1492">
        <f ca="1">IF(OR($A1492="S",$A1492=0),0,MATCH(0,OFFSET($B1492,1,$A1492,ROW($A$1504)-ROW($A1492)),0))</f>
        <v>0</v>
      </c>
      <c r="I1492">
        <f ca="1">IF(OR($A1492="S",$A1492=0),0,MATCH(OFFSET($B1492,0,$A1492)+1,OFFSET($B1492,1,$A1492,ROW($A$1504)-ROW($A1492)),0))</f>
        <v>0</v>
      </c>
      <c r="J1492" s="132" t="s">
        <v>29</v>
      </c>
      <c r="K1492" s="121" t="str">
        <f ca="1">IF($A1492=0,"-",CONCATENATE(C1492&amp;".",IF(AND($A$5&gt;=2,$A1492&gt;=2),D1492&amp;".",""),IF(AND($A$5&gt;=3,$A1492&gt;=3),E1492&amp;".",""),IF(AND($A$5&gt;=4,$A1492&gt;=4),F1492&amp;".",""),IF($A1492="S",G1492&amp;".","")))</f>
        <v>18.4.2.</v>
      </c>
      <c r="L1492" s="137" t="str">
        <f ca="1">IF(NOT(ISERROR($Y1492)),IF($Y1492&lt;&gt;FALSE,INDEX(Banco,$Y1492,4),""),"")</f>
        <v>CRESS</v>
      </c>
      <c r="M1492" s="122" t="s">
        <v>78</v>
      </c>
      <c r="N1492" s="139" t="s">
        <v>152</v>
      </c>
      <c r="O1492" s="137" t="str">
        <f ca="1">IF(NOT(ISERROR($Y1492)),IF($Y1492&lt;&gt;FALSE,INDEX(Banco,$Y1492,5),""),"")</f>
        <v>Assistente Social</v>
      </c>
      <c r="P1492" s="138" t="str">
        <f ca="1">IF(NOT(ISERROR($Y1492)),IF($Y1492&lt;&gt;FALSE,INDEX(Banco,$Y1492,6),""),"")</f>
        <v>Horas</v>
      </c>
      <c r="Q1492" s="134">
        <v>14</v>
      </c>
      <c r="R1492" s="124">
        <f ca="1">IF(NOT(ISERROR($Y1492)),IF($Y1492&lt;&gt;FALSE,INDEX(Banco,$Y1492,7),0),0)</f>
        <v>133.81</v>
      </c>
      <c r="S1492" s="136" t="s">
        <v>62</v>
      </c>
      <c r="T1492" s="123">
        <f ca="1">IF($J1492=$G$2,ROUND(ROUND($R1492,2)*IF($R$9="Preço Unitário (R$)",1,1+$AA1492),2),0)</f>
        <v>167.26</v>
      </c>
      <c r="U1492" s="126">
        <f ca="1">IF($A1492="S",VTOTAL1,IF($A1492=0,0,ROUND(SomaAgrup,2)))</f>
        <v>2341.64</v>
      </c>
      <c r="V1492" s="1"/>
      <c r="W1492" s="39" t="str">
        <f ca="1">IF(OR($A1492=0,$A1492="S",$A1492&gt;CFF!$A$9),"",MAX(W$11:OFFSET(W1492,-1,0))+1)</f>
        <v/>
      </c>
      <c r="X1492" s="4" t="str">
        <f>IF(AND($J1492=$G$2,$N1492&lt;&gt;"",$M1492&lt;&gt;""),CONCATENATE($M1492,"-",$N1492))</f>
        <v>Rec. Humanos-002</v>
      </c>
      <c r="Y1492" s="39">
        <f t="shared" ca="1" si="1890"/>
        <v>4</v>
      </c>
      <c r="Z1492" s="1"/>
      <c r="AA1492" s="133">
        <f>IF($J1492=$G$2,ROUND(IF(ISNUMBER(S1492),S1492,IF(LEFT(S1492,2)="DI",HLOOKUP(S1492,DADOS!$T$29:$X$30,2,FALSE),0)),4),"")</f>
        <v>0.25</v>
      </c>
      <c r="AB1492" s="2"/>
    </row>
    <row r="1493" spans="1:28">
      <c r="A1493" t="str">
        <f t="shared" si="1888"/>
        <v>S</v>
      </c>
      <c r="B1493">
        <f t="shared" si="1889"/>
        <v>0</v>
      </c>
      <c r="C1493">
        <f ca="1">IF($A1493=1,OFFSET(C1493,-1,0)+1,OFFSET(C1493,-1,0))</f>
        <v>18</v>
      </c>
      <c r="D1493">
        <f ca="1">IF($A1493=1,0,IF($A1493=2,OFFSET(D1493,-1,0)+1,OFFSET(D1493,-1,0)))</f>
        <v>4</v>
      </c>
      <c r="E1493">
        <f ca="1">IF(AND($A1493&lt;=2,$A1493&lt;&gt;0),0,IF($A1493=3,OFFSET(E1493,-1,0)+1,OFFSET(E1493,-1,0)))</f>
        <v>0</v>
      </c>
      <c r="F1493">
        <f ca="1">IF(AND($A1493&lt;=3,$A1493&lt;&gt;0),0,IF($A1493=4,OFFSET(F1493,-1,0)+1,OFFSET(F1493,-1,0)))</f>
        <v>0</v>
      </c>
      <c r="G1493">
        <f ca="1">IF(AND($A1493&lt;=4,$A1493&lt;&gt;0),0,IF($A1493="S",OFFSET(G1493,-1,0)+1,OFFSET(G1493,-1,0)))</f>
        <v>3</v>
      </c>
      <c r="H1493">
        <f ca="1">IF(OR($A1493="S",$A1493=0),0,MATCH(0,OFFSET($B1493,1,$A1493,ROW($A$1504)-ROW($A1493)),0))</f>
        <v>0</v>
      </c>
      <c r="I1493">
        <f ca="1">IF(OR($A1493="S",$A1493=0),0,MATCH(OFFSET($B1493,0,$A1493)+1,OFFSET($B1493,1,$A1493,ROW($A$1504)-ROW($A1493)),0))</f>
        <v>0</v>
      </c>
      <c r="J1493" s="132" t="s">
        <v>29</v>
      </c>
      <c r="K1493" s="121" t="str">
        <f ca="1">IF($A1493=0,"-",CONCATENATE(C1493&amp;".",IF(AND($A$5&gt;=2,$A1493&gt;=2),D1493&amp;".",""),IF(AND($A$5&gt;=3,$A1493&gt;=3),E1493&amp;".",""),IF(AND($A$5&gt;=4,$A1493&gt;=4),F1493&amp;".",""),IF($A1493="S",G1493&amp;".","")))</f>
        <v>18.4.3.</v>
      </c>
      <c r="L1493" s="137" t="str">
        <f ca="1">IF(NOT(ISERROR($Y1493)),IF($Y1493&lt;&gt;FALSE,INDEX(Banco,$Y1493,4),""),"")</f>
        <v>Cotação</v>
      </c>
      <c r="M1493" s="122" t="s">
        <v>78</v>
      </c>
      <c r="N1493" s="139" t="s">
        <v>151</v>
      </c>
      <c r="O1493" s="137" t="str">
        <f ca="1">IF(NOT(ISERROR($Y1493)),IF($Y1493&lt;&gt;FALSE,INDEX(Banco,$Y1493,5),""),"")</f>
        <v xml:space="preserve">Administrador (Técnico de Apoio) </v>
      </c>
      <c r="P1493" s="138" t="str">
        <f ca="1">IF(NOT(ISERROR($Y1493)),IF($Y1493&lt;&gt;FALSE,INDEX(Banco,$Y1493,6),""),"")</f>
        <v>Horas</v>
      </c>
      <c r="Q1493" s="134">
        <v>4</v>
      </c>
      <c r="R1493" s="124">
        <f ca="1">IF(NOT(ISERROR($Y1493)),IF($Y1493&lt;&gt;FALSE,INDEX(Banco,$Y1493,7),0),0)</f>
        <v>103.65</v>
      </c>
      <c r="S1493" s="136" t="s">
        <v>62</v>
      </c>
      <c r="T1493" s="123">
        <f ca="1">IF($J1493=$G$2,ROUND(ROUND($R1493,2)*IF($R$9="Preço Unitário (R$)",1,1+$AA1493),2),0)</f>
        <v>129.56</v>
      </c>
      <c r="U1493" s="126">
        <f ca="1">IF($A1493="S",VTOTAL1,IF($A1493=0,0,ROUND(SomaAgrup,2)))</f>
        <v>518.24</v>
      </c>
      <c r="V1493" s="1"/>
      <c r="W1493" s="39" t="str">
        <f ca="1">IF(OR($A1493=0,$A1493="S",$A1493&gt;CFF!$A$9),"",MAX(W$11:OFFSET(W1493,-1,0))+1)</f>
        <v/>
      </c>
      <c r="X1493" s="4" t="str">
        <f>IF(AND($J1493=$G$2,$N1493&lt;&gt;"",$M1493&lt;&gt;""),CONCATENATE($M1493,"-",$N1493))</f>
        <v>Rec. Humanos-003</v>
      </c>
      <c r="Y1493" s="39">
        <f t="shared" ca="1" si="1890"/>
        <v>5</v>
      </c>
      <c r="Z1493" s="1"/>
      <c r="AA1493" s="133">
        <f>IF($J1493=$G$2,ROUND(IF(ISNUMBER(S1493),S1493,IF(LEFT(S1493,2)="DI",HLOOKUP(S1493,DADOS!$T$29:$X$30,2,FALSE),0)),4),"")</f>
        <v>0.25</v>
      </c>
      <c r="AB1493" s="2"/>
    </row>
    <row r="1494" spans="1:28">
      <c r="A1494" t="str">
        <f t="shared" si="1888"/>
        <v>S</v>
      </c>
      <c r="B1494">
        <f t="shared" si="1889"/>
        <v>0</v>
      </c>
      <c r="C1494">
        <f ca="1">IF($A1494=1,OFFSET(C1494,-1,0)+1,OFFSET(C1494,-1,0))</f>
        <v>18</v>
      </c>
      <c r="D1494">
        <f ca="1">IF($A1494=1,0,IF($A1494=2,OFFSET(D1494,-1,0)+1,OFFSET(D1494,-1,0)))</f>
        <v>4</v>
      </c>
      <c r="E1494">
        <f ca="1">IF(AND($A1494&lt;=2,$A1494&lt;&gt;0),0,IF($A1494=3,OFFSET(E1494,-1,0)+1,OFFSET(E1494,-1,0)))</f>
        <v>0</v>
      </c>
      <c r="F1494">
        <f ca="1">IF(AND($A1494&lt;=3,$A1494&lt;&gt;0),0,IF($A1494=4,OFFSET(F1494,-1,0)+1,OFFSET(F1494,-1,0)))</f>
        <v>0</v>
      </c>
      <c r="G1494">
        <f ca="1">IF(AND($A1494&lt;=4,$A1494&lt;&gt;0),0,IF($A1494="S",OFFSET(G1494,-1,0)+1,OFFSET(G1494,-1,0)))</f>
        <v>4</v>
      </c>
      <c r="H1494">
        <f ca="1">IF(OR($A1494="S",$A1494=0),0,MATCH(0,OFFSET($B1494,1,$A1494,ROW($A$1504)-ROW($A1494)),0))</f>
        <v>0</v>
      </c>
      <c r="I1494">
        <f ca="1">IF(OR($A1494="S",$A1494=0),0,MATCH(OFFSET($B1494,0,$A1494)+1,OFFSET($B1494,1,$A1494,ROW($A$1504)-ROW($A1494)),0))</f>
        <v>0</v>
      </c>
      <c r="J1494" s="132" t="s">
        <v>29</v>
      </c>
      <c r="K1494" s="121" t="str">
        <f ca="1">IF($A1494=0,"-",CONCATENATE(C1494&amp;".",IF(AND($A$5&gt;=2,$A1494&gt;=2),D1494&amp;".",""),IF(AND($A$5&gt;=3,$A1494&gt;=3),E1494&amp;".",""),IF(AND($A$5&gt;=4,$A1494&gt;=4),F1494&amp;".",""),IF($A1494="S",G1494&amp;".","")))</f>
        <v>18.4.4.</v>
      </c>
      <c r="L1494" s="137" t="str">
        <f ca="1">IF(NOT(ISERROR($Y1494)),IF($Y1494&lt;&gt;FALSE,INDEX(Banco,$Y1494,4),""),"")</f>
        <v>SINE</v>
      </c>
      <c r="M1494" s="122" t="s">
        <v>78</v>
      </c>
      <c r="N1494" s="139" t="s">
        <v>153</v>
      </c>
      <c r="O1494" s="137" t="str">
        <f ca="1">IF(NOT(ISERROR($Y1494)),IF($Y1494&lt;&gt;FALSE,INDEX(Banco,$Y1494,5),""),"")</f>
        <v>Estagiários</v>
      </c>
      <c r="P1494" s="138" t="str">
        <f ca="1">IF(NOT(ISERROR($Y1494)),IF($Y1494&lt;&gt;FALSE,INDEX(Banco,$Y1494,6),""),"")</f>
        <v>Horas</v>
      </c>
      <c r="Q1494" s="134">
        <v>8</v>
      </c>
      <c r="R1494" s="124">
        <f ca="1">IF(NOT(ISERROR($Y1494)),IF($Y1494&lt;&gt;FALSE,INDEX(Banco,$Y1494,7),0),0)</f>
        <v>9.7899999999999991</v>
      </c>
      <c r="S1494" s="136" t="s">
        <v>62</v>
      </c>
      <c r="T1494" s="123">
        <f ca="1">IF($J1494=$G$2,ROUND(ROUND($R1494,2)*IF($R$9="Preço Unitário (R$)",1,1+$AA1494),2),0)</f>
        <v>12.24</v>
      </c>
      <c r="U1494" s="126">
        <f ca="1">IF($A1494="S",VTOTAL1,IF($A1494=0,0,ROUND(SomaAgrup,2)))</f>
        <v>97.92</v>
      </c>
      <c r="V1494" s="1"/>
      <c r="W1494" s="39" t="str">
        <f ca="1">IF(OR($A1494=0,$A1494="S",$A1494&gt;CFF!$A$9),"",MAX(W$11:OFFSET(W1494,-1,0))+1)</f>
        <v/>
      </c>
      <c r="X1494" s="4" t="str">
        <f>IF(AND($J1494=$G$2,$N1494&lt;&gt;"",$M1494&lt;&gt;""),CONCATENATE($M1494,"-",$N1494))</f>
        <v>Rec. Humanos-004</v>
      </c>
      <c r="Y1494" s="39">
        <f t="shared" ca="1" si="1890"/>
        <v>6</v>
      </c>
      <c r="Z1494" s="1"/>
      <c r="AA1494" s="133">
        <f>IF($J1494=$G$2,ROUND(IF(ISNUMBER(S1494),S1494,IF(LEFT(S1494,2)="DI",HLOOKUP(S1494,DADOS!$T$29:$X$30,2,FALSE),0)),4),"")</f>
        <v>0.25</v>
      </c>
      <c r="AB1494" s="2"/>
    </row>
    <row r="1495" spans="1:28">
      <c r="A1495" t="str">
        <f t="shared" si="1888"/>
        <v>S</v>
      </c>
      <c r="B1495">
        <f t="shared" si="1889"/>
        <v>0</v>
      </c>
      <c r="C1495">
        <f ca="1">IF($A1495=1,OFFSET(C1495,-1,0)+1,OFFSET(C1495,-1,0))</f>
        <v>18</v>
      </c>
      <c r="D1495">
        <f ca="1">IF($A1495=1,0,IF($A1495=2,OFFSET(D1495,-1,0)+1,OFFSET(D1495,-1,0)))</f>
        <v>4</v>
      </c>
      <c r="E1495">
        <f ca="1">IF(AND($A1495&lt;=2,$A1495&lt;&gt;0),0,IF($A1495=3,OFFSET(E1495,-1,0)+1,OFFSET(E1495,-1,0)))</f>
        <v>0</v>
      </c>
      <c r="F1495">
        <f ca="1">IF(AND($A1495&lt;=3,$A1495&lt;&gt;0),0,IF($A1495=4,OFFSET(F1495,-1,0)+1,OFFSET(F1495,-1,0)))</f>
        <v>0</v>
      </c>
      <c r="G1495">
        <f ca="1">IF(AND($A1495&lt;=4,$A1495&lt;&gt;0),0,IF($A1495="S",OFFSET(G1495,-1,0)+1,OFFSET(G1495,-1,0)))</f>
        <v>5</v>
      </c>
      <c r="H1495">
        <f ca="1">IF(OR($A1495="S",$A1495=0),0,MATCH(0,OFFSET($B1495,1,$A1495,ROW($A$1504)-ROW($A1495)),0))</f>
        <v>0</v>
      </c>
      <c r="I1495">
        <f ca="1">IF(OR($A1495="S",$A1495=0),0,MATCH(OFFSET($B1495,0,$A1495)+1,OFFSET($B1495,1,$A1495,ROW($A$1504)-ROW($A1495)),0))</f>
        <v>0</v>
      </c>
      <c r="J1495" s="132" t="s">
        <v>29</v>
      </c>
      <c r="K1495" s="121" t="str">
        <f ca="1">IF($A1495=0,"-",CONCATENATE(C1495&amp;".",IF(AND($A$5&gt;=2,$A1495&gt;=2),D1495&amp;".",""),IF(AND($A$5&gt;=3,$A1495&gt;=3),E1495&amp;".",""),IF(AND($A$5&gt;=4,$A1495&gt;=4),F1495&amp;".",""),IF($A1495="S",G1495&amp;".","")))</f>
        <v>18.4.5.</v>
      </c>
      <c r="L1495" s="137" t="str">
        <f ca="1">IF(NOT(ISERROR($Y1495)),IF($Y1495&lt;&gt;FALSE,INDEX(Banco,$Y1495,4),""),"")</f>
        <v>Cotação</v>
      </c>
      <c r="M1495" s="122" t="s">
        <v>80</v>
      </c>
      <c r="N1495" s="139" t="s">
        <v>149</v>
      </c>
      <c r="O1495" s="137" t="str">
        <f ca="1">IF(NOT(ISERROR($Y1495)),IF($Y1495&lt;&gt;FALSE,INDEX(Banco,$Y1495,5),""),"")</f>
        <v>Fotocópias</v>
      </c>
      <c r="P1495" s="138" t="str">
        <f ca="1">IF(NOT(ISERROR($Y1495)),IF($Y1495&lt;&gt;FALSE,INDEX(Banco,$Y1495,6),""),"")</f>
        <v>Unidade</v>
      </c>
      <c r="Q1495" s="134">
        <v>287</v>
      </c>
      <c r="R1495" s="124">
        <f ca="1">IF(NOT(ISERROR($Y1495)),IF($Y1495&lt;&gt;FALSE,INDEX(Banco,$Y1495,7),0),0)</f>
        <v>0.3</v>
      </c>
      <c r="S1495" s="136" t="s">
        <v>62</v>
      </c>
      <c r="T1495" s="123">
        <f ca="1">IF($J1495=$G$2,ROUND(ROUND($R1495,2)*IF($R$9="Preço Unitário (R$)",1,1+$AA1495),2),0)</f>
        <v>0.38</v>
      </c>
      <c r="U1495" s="126">
        <f ca="1">IF($A1495="S",VTOTAL1,IF($A1495=0,0,ROUND(SomaAgrup,2)))</f>
        <v>109.06</v>
      </c>
      <c r="V1495" s="1"/>
      <c r="W1495" s="39" t="str">
        <f ca="1">IF(OR($A1495=0,$A1495="S",$A1495&gt;CFF!$A$9),"",MAX(W$11:OFFSET(W1495,-1,0))+1)</f>
        <v/>
      </c>
      <c r="X1495" s="4" t="str">
        <f>IF(AND($J1495=$G$2,$N1495&lt;&gt;"",$M1495&lt;&gt;""),CONCATENATE($M1495,"-",$N1495))</f>
        <v>Serv. Terc.-001</v>
      </c>
      <c r="Y1495" s="39">
        <f t="shared" ca="1" si="1890"/>
        <v>81</v>
      </c>
      <c r="Z1495" s="1"/>
      <c r="AA1495" s="133">
        <f>IF($J1495=$G$2,ROUND(IF(ISNUMBER(S1495),S1495,IF(LEFT(S1495,2)="DI",HLOOKUP(S1495,DADOS!$T$29:$X$30,2,FALSE),0)),4),"")</f>
        <v>0.25</v>
      </c>
      <c r="AB1495" s="2"/>
    </row>
    <row r="1496" spans="1:28">
      <c r="A1496" t="str">
        <f t="shared" si="1888"/>
        <v>S</v>
      </c>
      <c r="B1496">
        <f t="shared" si="1889"/>
        <v>0</v>
      </c>
      <c r="C1496">
        <f ca="1">IF($A1496=1,OFFSET(C1496,-1,0)+1,OFFSET(C1496,-1,0))</f>
        <v>18</v>
      </c>
      <c r="D1496">
        <f ca="1">IF($A1496=1,0,IF($A1496=2,OFFSET(D1496,-1,0)+1,OFFSET(D1496,-1,0)))</f>
        <v>4</v>
      </c>
      <c r="E1496">
        <f ca="1">IF(AND($A1496&lt;=2,$A1496&lt;&gt;0),0,IF($A1496=3,OFFSET(E1496,-1,0)+1,OFFSET(E1496,-1,0)))</f>
        <v>0</v>
      </c>
      <c r="F1496">
        <f ca="1">IF(AND($A1496&lt;=3,$A1496&lt;&gt;0),0,IF($A1496=4,OFFSET(F1496,-1,0)+1,OFFSET(F1496,-1,0)))</f>
        <v>0</v>
      </c>
      <c r="G1496">
        <f ca="1">IF(AND($A1496&lt;=4,$A1496&lt;&gt;0),0,IF($A1496="S",OFFSET(G1496,-1,0)+1,OFFSET(G1496,-1,0)))</f>
        <v>6</v>
      </c>
      <c r="H1496">
        <f ca="1">IF(OR($A1496="S",$A1496=0),0,MATCH(0,OFFSET($B1496,1,$A1496,ROW($A$1504)-ROW($A1496)),0))</f>
        <v>0</v>
      </c>
      <c r="I1496">
        <f ca="1">IF(OR($A1496="S",$A1496=0),0,MATCH(OFFSET($B1496,0,$A1496)+1,OFFSET($B1496,1,$A1496,ROW($A$1504)-ROW($A1496)),0))</f>
        <v>0</v>
      </c>
      <c r="J1496" s="132" t="s">
        <v>29</v>
      </c>
      <c r="K1496" s="121" t="str">
        <f ca="1">IF($A1496=0,"-",CONCATENATE(C1496&amp;".",IF(AND($A$5&gt;=2,$A1496&gt;=2),D1496&amp;".",""),IF(AND($A$5&gt;=3,$A1496&gt;=3),E1496&amp;".",""),IF(AND($A$5&gt;=4,$A1496&gt;=4),F1496&amp;".",""),IF($A1496="S",G1496&amp;".","")))</f>
        <v>18.4.6.</v>
      </c>
      <c r="L1496" s="137" t="str">
        <f ca="1">IF(NOT(ISERROR($Y1496)),IF($Y1496&lt;&gt;FALSE,INDEX(Banco,$Y1496,4),""),"")</f>
        <v>Cotação</v>
      </c>
      <c r="M1496" s="122" t="s">
        <v>80</v>
      </c>
      <c r="N1496" s="139" t="s">
        <v>256</v>
      </c>
      <c r="O1496" s="137" t="str">
        <f ca="1">IF(NOT(ISERROR($Y1496)),IF($Y1496&lt;&gt;FALSE,INDEX(Banco,$Y1496,5),""),"")</f>
        <v>Instrutor/Monitor (Educação Fisíca)</v>
      </c>
      <c r="P1496" s="138" t="str">
        <f ca="1">IF(NOT(ISERROR($Y1496)),IF($Y1496&lt;&gt;FALSE,INDEX(Banco,$Y1496,6),""),"")</f>
        <v>Horas</v>
      </c>
      <c r="Q1496" s="134">
        <v>3</v>
      </c>
      <c r="R1496" s="124">
        <f ca="1">IF(NOT(ISERROR($Y1496)),IF($Y1496&lt;&gt;FALSE,INDEX(Banco,$Y1496,7),0),0)</f>
        <v>100</v>
      </c>
      <c r="S1496" s="136" t="s">
        <v>62</v>
      </c>
      <c r="T1496" s="123">
        <f ca="1">IF($J1496=$G$2,ROUND(ROUND($R1496,2)*IF($R$9="Preço Unitário (R$)",1,1+$AA1496),2),0)</f>
        <v>125</v>
      </c>
      <c r="U1496" s="126">
        <f ca="1">IF($A1496="S",VTOTAL1,IF($A1496=0,0,ROUND(SomaAgrup,2)))</f>
        <v>375</v>
      </c>
      <c r="V1496" s="1"/>
      <c r="W1496" s="39" t="str">
        <f ca="1">IF(OR($A1496=0,$A1496="S",$A1496&gt;CFF!$A$9),"",MAX(W$11:OFFSET(W1496,-1,0))+1)</f>
        <v/>
      </c>
      <c r="X1496" s="4" t="str">
        <f>IF(AND($J1496=$G$2,$N1496&lt;&gt;"",$M1496&lt;&gt;""),CONCATENATE($M1496,"-",$N1496))</f>
        <v>Serv. Terc.-017</v>
      </c>
      <c r="Y1496" s="39">
        <f t="shared" ca="1" si="1890"/>
        <v>97</v>
      </c>
      <c r="Z1496" s="1"/>
      <c r="AA1496" s="133">
        <f>IF($J1496=$G$2,ROUND(IF(ISNUMBER(S1496),S1496,IF(LEFT(S1496,2)="DI",HLOOKUP(S1496,DADOS!$T$29:$X$30,2,FALSE),0)),4),"")</f>
        <v>0.25</v>
      </c>
      <c r="AB1496" s="2"/>
    </row>
    <row r="1497" spans="1:28">
      <c r="A1497" t="str">
        <f t="shared" si="1888"/>
        <v>S</v>
      </c>
      <c r="B1497">
        <f t="shared" si="1889"/>
        <v>0</v>
      </c>
      <c r="C1497">
        <f ca="1">IF($A1497=1,OFFSET(C1497,-1,0)+1,OFFSET(C1497,-1,0))</f>
        <v>18</v>
      </c>
      <c r="D1497">
        <f ca="1">IF($A1497=1,0,IF($A1497=2,OFFSET(D1497,-1,0)+1,OFFSET(D1497,-1,0)))</f>
        <v>4</v>
      </c>
      <c r="E1497">
        <f ca="1">IF(AND($A1497&lt;=2,$A1497&lt;&gt;0),0,IF($A1497=3,OFFSET(E1497,-1,0)+1,OFFSET(E1497,-1,0)))</f>
        <v>0</v>
      </c>
      <c r="F1497">
        <f ca="1">IF(AND($A1497&lt;=3,$A1497&lt;&gt;0),0,IF($A1497=4,OFFSET(F1497,-1,0)+1,OFFSET(F1497,-1,0)))</f>
        <v>0</v>
      </c>
      <c r="G1497">
        <f ca="1">IF(AND($A1497&lt;=4,$A1497&lt;&gt;0),0,IF($A1497="S",OFFSET(G1497,-1,0)+1,OFFSET(G1497,-1,0)))</f>
        <v>7</v>
      </c>
      <c r="H1497">
        <f ca="1">IF(OR($A1497="S",$A1497=0),0,MATCH(0,OFFSET($B1497,1,$A1497,ROW($A$1504)-ROW($A1497)),0))</f>
        <v>0</v>
      </c>
      <c r="I1497">
        <f ca="1">IF(OR($A1497="S",$A1497=0),0,MATCH(OFFSET($B1497,0,$A1497)+1,OFFSET($B1497,1,$A1497,ROW($A$1504)-ROW($A1497)),0))</f>
        <v>0</v>
      </c>
      <c r="J1497" s="132" t="s">
        <v>29</v>
      </c>
      <c r="K1497" s="121" t="str">
        <f ca="1">IF($A1497=0,"-",CONCATENATE(C1497&amp;".",IF(AND($A$5&gt;=2,$A1497&gt;=2),D1497&amp;".",""),IF(AND($A$5&gt;=3,$A1497&gt;=3),E1497&amp;".",""),IF(AND($A$5&gt;=4,$A1497&gt;=4),F1497&amp;".",""),IF($A1497="S",G1497&amp;".","")))</f>
        <v>18.4.7.</v>
      </c>
      <c r="L1497" s="137" t="str">
        <f ca="1">IF(NOT(ISERROR($Y1497)),IF($Y1497&lt;&gt;FALSE,INDEX(Banco,$Y1497,4),""),"")</f>
        <v>Cotação</v>
      </c>
      <c r="M1497" s="122" t="s">
        <v>80</v>
      </c>
      <c r="N1497" s="139" t="s">
        <v>152</v>
      </c>
      <c r="O1497" s="137" t="str">
        <f ca="1">IF(NOT(ISERROR($Y1497)),IF($Y1497&lt;&gt;FALSE,INDEX(Banco,$Y1497,5),""),"")</f>
        <v>Carro de som com gravação de vinheta</v>
      </c>
      <c r="P1497" s="138" t="str">
        <f ca="1">IF(NOT(ISERROR($Y1497)),IF($Y1497&lt;&gt;FALSE,INDEX(Banco,$Y1497,6),""),"")</f>
        <v>Horas</v>
      </c>
      <c r="Q1497" s="134">
        <v>3</v>
      </c>
      <c r="R1497" s="124">
        <f ca="1">IF(NOT(ISERROR($Y1497)),IF($Y1497&lt;&gt;FALSE,INDEX(Banco,$Y1497,7),0),0)</f>
        <v>200</v>
      </c>
      <c r="S1497" s="136" t="s">
        <v>62</v>
      </c>
      <c r="T1497" s="123">
        <f ca="1">IF($J1497=$G$2,ROUND(ROUND($R1497,2)*IF($R$9="Preço Unitário (R$)",1,1+$AA1497),2),0)</f>
        <v>250</v>
      </c>
      <c r="U1497" s="126">
        <f ca="1">IF($A1497="S",VTOTAL1,IF($A1497=0,0,ROUND(SomaAgrup,2)))</f>
        <v>750</v>
      </c>
      <c r="V1497" s="1"/>
      <c r="W1497" s="39" t="str">
        <f ca="1">IF(OR($A1497=0,$A1497="S",$A1497&gt;CFF!$A$9),"",MAX(W$11:OFFSET(W1497,-1,0))+1)</f>
        <v/>
      </c>
      <c r="X1497" s="4" t="str">
        <f>IF(AND($J1497=$G$2,$N1497&lt;&gt;"",$M1497&lt;&gt;""),CONCATENATE($M1497,"-",$N1497))</f>
        <v>Serv. Terc.-002</v>
      </c>
      <c r="Y1497" s="39">
        <f t="shared" ca="1" si="1890"/>
        <v>82</v>
      </c>
      <c r="Z1497" s="1"/>
      <c r="AA1497" s="133">
        <f>IF($J1497=$G$2,ROUND(IF(ISNUMBER(S1497),S1497,IF(LEFT(S1497,2)="DI",HLOOKUP(S1497,DADOS!$T$29:$X$30,2,FALSE),0)),4),"")</f>
        <v>0.25</v>
      </c>
      <c r="AB1497" s="2"/>
    </row>
    <row r="1498" spans="1:28">
      <c r="A1498" t="str">
        <f t="shared" si="1888"/>
        <v>S</v>
      </c>
      <c r="B1498">
        <f t="shared" si="1889"/>
        <v>0</v>
      </c>
      <c r="C1498">
        <f ca="1">IF($A1498=1,OFFSET(C1498,-1,0)+1,OFFSET(C1498,-1,0))</f>
        <v>18</v>
      </c>
      <c r="D1498">
        <f ca="1">IF($A1498=1,0,IF($A1498=2,OFFSET(D1498,-1,0)+1,OFFSET(D1498,-1,0)))</f>
        <v>4</v>
      </c>
      <c r="E1498">
        <f ca="1">IF(AND($A1498&lt;=2,$A1498&lt;&gt;0),0,IF($A1498=3,OFFSET(E1498,-1,0)+1,OFFSET(E1498,-1,0)))</f>
        <v>0</v>
      </c>
      <c r="F1498">
        <f ca="1">IF(AND($A1498&lt;=3,$A1498&lt;&gt;0),0,IF($A1498=4,OFFSET(F1498,-1,0)+1,OFFSET(F1498,-1,0)))</f>
        <v>0</v>
      </c>
      <c r="G1498">
        <f ca="1">IF(AND($A1498&lt;=4,$A1498&lt;&gt;0),0,IF($A1498="S",OFFSET(G1498,-1,0)+1,OFFSET(G1498,-1,0)))</f>
        <v>8</v>
      </c>
      <c r="H1498">
        <f ca="1">IF(OR($A1498="S",$A1498=0),0,MATCH(0,OFFSET($B1498,1,$A1498,ROW($A$1504)-ROW($A1498)),0))</f>
        <v>0</v>
      </c>
      <c r="I1498">
        <f ca="1">IF(OR($A1498="S",$A1498=0),0,MATCH(OFFSET($B1498,0,$A1498)+1,OFFSET($B1498,1,$A1498,ROW($A$1504)-ROW($A1498)),0))</f>
        <v>0</v>
      </c>
      <c r="J1498" s="132" t="s">
        <v>29</v>
      </c>
      <c r="K1498" s="121" t="str">
        <f ca="1">IF($A1498=0,"-",CONCATENATE(C1498&amp;".",IF(AND($A$5&gt;=2,$A1498&gt;=2),D1498&amp;".",""),IF(AND($A$5&gt;=3,$A1498&gt;=3),E1498&amp;".",""),IF(AND($A$5&gt;=4,$A1498&gt;=4),F1498&amp;".",""),IF($A1498="S",G1498&amp;".","")))</f>
        <v>18.4.8.</v>
      </c>
      <c r="L1498" s="137" t="str">
        <f ca="1">IF(NOT(ISERROR($Y1498)),IF($Y1498&lt;&gt;FALSE,INDEX(Banco,$Y1498,4),""),"")</f>
        <v>Cotação</v>
      </c>
      <c r="M1498" s="122" t="s">
        <v>80</v>
      </c>
      <c r="N1498" s="139" t="s">
        <v>154</v>
      </c>
      <c r="O1498" s="137" t="str">
        <f ca="1">IF(NOT(ISERROR($Y1498)),IF($Y1498&lt;&gt;FALSE,INDEX(Banco,$Y1498,5),""),"")</f>
        <v>Locação de caixa térmica</v>
      </c>
      <c r="P1498" s="138" t="str">
        <f ca="1">IF(NOT(ISERROR($Y1498)),IF($Y1498&lt;&gt;FALSE,INDEX(Banco,$Y1498,6),""),"")</f>
        <v>Unidade</v>
      </c>
      <c r="Q1498" s="134">
        <v>2</v>
      </c>
      <c r="R1498" s="124">
        <f ca="1">IF(NOT(ISERROR($Y1498)),IF($Y1498&lt;&gt;FALSE,INDEX(Banco,$Y1498,7),0),0)</f>
        <v>40</v>
      </c>
      <c r="S1498" s="136" t="s">
        <v>62</v>
      </c>
      <c r="T1498" s="123">
        <f ca="1">IF($J1498=$G$2,ROUND(ROUND($R1498,2)*IF($R$9="Preço Unitário (R$)",1,1+$AA1498),2),0)</f>
        <v>50</v>
      </c>
      <c r="U1498" s="126">
        <f ca="1">IF($A1498="S",VTOTAL1,IF($A1498=0,0,ROUND(SomaAgrup,2)))</f>
        <v>100</v>
      </c>
      <c r="V1498" s="1"/>
      <c r="W1498" s="39" t="str">
        <f ca="1">IF(OR($A1498=0,$A1498="S",$A1498&gt;CFF!$A$9),"",MAX(W$11:OFFSET(W1498,-1,0))+1)</f>
        <v/>
      </c>
      <c r="X1498" s="4" t="str">
        <f>IF(AND($J1498=$G$2,$N1498&lt;&gt;"",$M1498&lt;&gt;""),CONCATENATE($M1498,"-",$N1498))</f>
        <v>Serv. Terc.-005</v>
      </c>
      <c r="Y1498" s="39">
        <f t="shared" ca="1" si="1890"/>
        <v>85</v>
      </c>
      <c r="Z1498" s="1"/>
      <c r="AA1498" s="133">
        <f>IF($J1498=$G$2,ROUND(IF(ISNUMBER(S1498),S1498,IF(LEFT(S1498,2)="DI",HLOOKUP(S1498,DADOS!$T$29:$X$30,2,FALSE),0)),4),"")</f>
        <v>0.25</v>
      </c>
      <c r="AB1498" s="2"/>
    </row>
    <row r="1499" spans="1:28">
      <c r="A1499" t="str">
        <f t="shared" si="1888"/>
        <v>S</v>
      </c>
      <c r="B1499">
        <f t="shared" si="1889"/>
        <v>0</v>
      </c>
      <c r="C1499">
        <f ca="1">IF($A1499=1,OFFSET(C1499,-1,0)+1,OFFSET(C1499,-1,0))</f>
        <v>18</v>
      </c>
      <c r="D1499">
        <f ca="1">IF($A1499=1,0,IF($A1499=2,OFFSET(D1499,-1,0)+1,OFFSET(D1499,-1,0)))</f>
        <v>4</v>
      </c>
      <c r="E1499">
        <f ca="1">IF(AND($A1499&lt;=2,$A1499&lt;&gt;0),0,IF($A1499=3,OFFSET(E1499,-1,0)+1,OFFSET(E1499,-1,0)))</f>
        <v>0</v>
      </c>
      <c r="F1499">
        <f ca="1">IF(AND($A1499&lt;=3,$A1499&lt;&gt;0),0,IF($A1499=4,OFFSET(F1499,-1,0)+1,OFFSET(F1499,-1,0)))</f>
        <v>0</v>
      </c>
      <c r="G1499">
        <f ca="1">IF(AND($A1499&lt;=4,$A1499&lt;&gt;0),0,IF($A1499="S",OFFSET(G1499,-1,0)+1,OFFSET(G1499,-1,0)))</f>
        <v>9</v>
      </c>
      <c r="H1499">
        <f ca="1">IF(OR($A1499="S",$A1499=0),0,MATCH(0,OFFSET($B1499,1,$A1499,ROW($A$1504)-ROW($A1499)),0))</f>
        <v>0</v>
      </c>
      <c r="I1499">
        <f ca="1">IF(OR($A1499="S",$A1499=0),0,MATCH(OFFSET($B1499,0,$A1499)+1,OFFSET($B1499,1,$A1499,ROW($A$1504)-ROW($A1499)),0))</f>
        <v>0</v>
      </c>
      <c r="J1499" s="132" t="s">
        <v>29</v>
      </c>
      <c r="K1499" s="121" t="str">
        <f ca="1">IF($A1499=0,"-",CONCATENATE(C1499&amp;".",IF(AND($A$5&gt;=2,$A1499&gt;=2),D1499&amp;".",""),IF(AND($A$5&gt;=3,$A1499&gt;=3),E1499&amp;".",""),IF(AND($A$5&gt;=4,$A1499&gt;=4),F1499&amp;".",""),IF($A1499="S",G1499&amp;".","")))</f>
        <v>18.4.9.</v>
      </c>
      <c r="L1499" s="137" t="str">
        <f ca="1">IF(NOT(ISERROR($Y1499)),IF($Y1499&lt;&gt;FALSE,INDEX(Banco,$Y1499,4),""),"")</f>
        <v>Cotação</v>
      </c>
      <c r="M1499" s="122" t="s">
        <v>80</v>
      </c>
      <c r="N1499" s="139" t="s">
        <v>157</v>
      </c>
      <c r="O1499" s="137" t="str">
        <f ca="1">IF(NOT(ISERROR($Y1499)),IF($Y1499&lt;&gt;FALSE,INDEX(Banco,$Y1499,5),""),"")</f>
        <v>Locação de pula-pula com monitor</v>
      </c>
      <c r="P1499" s="138" t="str">
        <f ca="1">IF(NOT(ISERROR($Y1499)),IF($Y1499&lt;&gt;FALSE,INDEX(Banco,$Y1499,6),""),"")</f>
        <v>Unidade</v>
      </c>
      <c r="Q1499" s="134">
        <v>2</v>
      </c>
      <c r="R1499" s="124">
        <f ca="1">IF(NOT(ISERROR($Y1499)),IF($Y1499&lt;&gt;FALSE,INDEX(Banco,$Y1499,7),0),0)</f>
        <v>220</v>
      </c>
      <c r="S1499" s="136" t="s">
        <v>62</v>
      </c>
      <c r="T1499" s="123">
        <f ca="1">IF($J1499=$G$2,ROUND(ROUND($R1499,2)*IF($R$9="Preço Unitário (R$)",1,1+$AA1499),2),0)</f>
        <v>275</v>
      </c>
      <c r="U1499" s="126">
        <f ca="1">IF($A1499="S",VTOTAL1,IF($A1499=0,0,ROUND(SomaAgrup,2)))</f>
        <v>550</v>
      </c>
      <c r="V1499" s="1"/>
      <c r="W1499" s="39" t="str">
        <f ca="1">IF(OR($A1499=0,$A1499="S",$A1499&gt;CFF!$A$9),"",MAX(W$11:OFFSET(W1499,-1,0))+1)</f>
        <v/>
      </c>
      <c r="X1499" s="4" t="str">
        <f>IF(AND($J1499=$G$2,$N1499&lt;&gt;"",$M1499&lt;&gt;""),CONCATENATE($M1499,"-",$N1499))</f>
        <v>Serv. Terc.-008</v>
      </c>
      <c r="Y1499" s="39">
        <f t="shared" ca="1" si="1890"/>
        <v>88</v>
      </c>
      <c r="Z1499" s="1"/>
      <c r="AA1499" s="133">
        <f>IF($J1499=$G$2,ROUND(IF(ISNUMBER(S1499),S1499,IF(LEFT(S1499,2)="DI",HLOOKUP(S1499,DADOS!$T$29:$X$30,2,FALSE),0)),4),"")</f>
        <v>0.25</v>
      </c>
      <c r="AB1499" s="2"/>
    </row>
    <row r="1500" spans="1:28">
      <c r="A1500" t="str">
        <f t="shared" si="1888"/>
        <v>S</v>
      </c>
      <c r="B1500">
        <f t="shared" si="1889"/>
        <v>0</v>
      </c>
      <c r="C1500">
        <f ca="1">IF($A1500=1,OFFSET(C1500,-1,0)+1,OFFSET(C1500,-1,0))</f>
        <v>18</v>
      </c>
      <c r="D1500">
        <f ca="1">IF($A1500=1,0,IF($A1500=2,OFFSET(D1500,-1,0)+1,OFFSET(D1500,-1,0)))</f>
        <v>4</v>
      </c>
      <c r="E1500">
        <f ca="1">IF(AND($A1500&lt;=2,$A1500&lt;&gt;0),0,IF($A1500=3,OFFSET(E1500,-1,0)+1,OFFSET(E1500,-1,0)))</f>
        <v>0</v>
      </c>
      <c r="F1500">
        <f ca="1">IF(AND($A1500&lt;=3,$A1500&lt;&gt;0),0,IF($A1500=4,OFFSET(F1500,-1,0)+1,OFFSET(F1500,-1,0)))</f>
        <v>0</v>
      </c>
      <c r="G1500">
        <f ca="1">IF(AND($A1500&lt;=4,$A1500&lt;&gt;0),0,IF($A1500="S",OFFSET(G1500,-1,0)+1,OFFSET(G1500,-1,0)))</f>
        <v>10</v>
      </c>
      <c r="H1500">
        <f ca="1">IF(OR($A1500="S",$A1500=0),0,MATCH(0,OFFSET($B1500,1,$A1500,ROW($A$1504)-ROW($A1500)),0))</f>
        <v>0</v>
      </c>
      <c r="I1500">
        <f ca="1">IF(OR($A1500="S",$A1500=0),0,MATCH(OFFSET($B1500,0,$A1500)+1,OFFSET($B1500,1,$A1500,ROW($A$1504)-ROW($A1500)),0))</f>
        <v>0</v>
      </c>
      <c r="J1500" s="132" t="s">
        <v>29</v>
      </c>
      <c r="K1500" s="121" t="str">
        <f ca="1">IF($A1500=0,"-",CONCATENATE(C1500&amp;".",IF(AND($A$5&gt;=2,$A1500&gt;=2),D1500&amp;".",""),IF(AND($A$5&gt;=3,$A1500&gt;=3),E1500&amp;".",""),IF(AND($A$5&gt;=4,$A1500&gt;=4),F1500&amp;".",""),IF($A1500="S",G1500&amp;".","")))</f>
        <v>18.4.10.</v>
      </c>
      <c r="L1500" s="137" t="str">
        <f ca="1">IF(NOT(ISERROR($Y1500)),IF($Y1500&lt;&gt;FALSE,INDEX(Banco,$Y1500,4),""),"")</f>
        <v xml:space="preserve">Cotação </v>
      </c>
      <c r="M1500" s="122" t="s">
        <v>80</v>
      </c>
      <c r="N1500" s="139" t="s">
        <v>160</v>
      </c>
      <c r="O1500" s="137" t="str">
        <f ca="1">IF(NOT(ISERROR($Y1500)),IF($Y1500&lt;&gt;FALSE,INDEX(Banco,$Y1500,5),""),"")</f>
        <v>Barra de gelo</v>
      </c>
      <c r="P1500" s="138" t="str">
        <f ca="1">IF(NOT(ISERROR($Y1500)),IF($Y1500&lt;&gt;FALSE,INDEX(Banco,$Y1500,6),""),"")</f>
        <v>Unidade</v>
      </c>
      <c r="Q1500" s="134">
        <v>4</v>
      </c>
      <c r="R1500" s="124">
        <f ca="1">IF(NOT(ISERROR($Y1500)),IF($Y1500&lt;&gt;FALSE,INDEX(Banco,$Y1500,7),0),0)</f>
        <v>12</v>
      </c>
      <c r="S1500" s="136" t="s">
        <v>62</v>
      </c>
      <c r="T1500" s="123">
        <f ca="1">IF($J1500=$G$2,ROUND(ROUND($R1500,2)*IF($R$9="Preço Unitário (R$)",1,1+$AA1500),2),0)</f>
        <v>15</v>
      </c>
      <c r="U1500" s="126">
        <f ca="1">IF($A1500="S",VTOTAL1,IF($A1500=0,0,ROUND(SomaAgrup,2)))</f>
        <v>60</v>
      </c>
      <c r="V1500" s="1"/>
      <c r="W1500" s="39" t="str">
        <f ca="1">IF(OR($A1500=0,$A1500="S",$A1500&gt;CFF!$A$9),"",MAX(W$11:OFFSET(W1500,-1,0))+1)</f>
        <v/>
      </c>
      <c r="X1500" s="4" t="str">
        <f>IF(AND($J1500=$G$2,$N1500&lt;&gt;"",$M1500&lt;&gt;""),CONCATENATE($M1500,"-",$N1500))</f>
        <v>Serv. Terc.-011</v>
      </c>
      <c r="Y1500" s="39">
        <f t="shared" ca="1" si="1890"/>
        <v>91</v>
      </c>
      <c r="Z1500" s="1"/>
      <c r="AA1500" s="133">
        <f>IF($J1500=$G$2,ROUND(IF(ISNUMBER(S1500),S1500,IF(LEFT(S1500,2)="DI",HLOOKUP(S1500,DADOS!$T$29:$X$30,2,FALSE),0)),4),"")</f>
        <v>0.25</v>
      </c>
      <c r="AB1500" s="2"/>
    </row>
    <row r="1501" spans="1:28">
      <c r="A1501" t="str">
        <f t="shared" si="1888"/>
        <v>S</v>
      </c>
      <c r="B1501">
        <f t="shared" si="1889"/>
        <v>0</v>
      </c>
      <c r="C1501">
        <f ca="1">IF($A1501=1,OFFSET(C1501,-1,0)+1,OFFSET(C1501,-1,0))</f>
        <v>18</v>
      </c>
      <c r="D1501">
        <f ca="1">IF($A1501=1,0,IF($A1501=2,OFFSET(D1501,-1,0)+1,OFFSET(D1501,-1,0)))</f>
        <v>4</v>
      </c>
      <c r="E1501">
        <f ca="1">IF(AND($A1501&lt;=2,$A1501&lt;&gt;0),0,IF($A1501=3,OFFSET(E1501,-1,0)+1,OFFSET(E1501,-1,0)))</f>
        <v>0</v>
      </c>
      <c r="F1501">
        <f ca="1">IF(AND($A1501&lt;=3,$A1501&lt;&gt;0),0,IF($A1501=4,OFFSET(F1501,-1,0)+1,OFFSET(F1501,-1,0)))</f>
        <v>0</v>
      </c>
      <c r="G1501">
        <f ca="1">IF(AND($A1501&lt;=4,$A1501&lt;&gt;0),0,IF($A1501="S",OFFSET(G1501,-1,0)+1,OFFSET(G1501,-1,0)))</f>
        <v>11</v>
      </c>
      <c r="H1501">
        <f ca="1">IF(OR($A1501="S",$A1501=0),0,MATCH(0,OFFSET($B1501,1,$A1501,ROW($A$1504)-ROW($A1501)),0))</f>
        <v>0</v>
      </c>
      <c r="I1501">
        <f ca="1">IF(OR($A1501="S",$A1501=0),0,MATCH(OFFSET($B1501,0,$A1501)+1,OFFSET($B1501,1,$A1501,ROW($A$1504)-ROW($A1501)),0))</f>
        <v>0</v>
      </c>
      <c r="J1501" s="132" t="s">
        <v>29</v>
      </c>
      <c r="K1501" s="121" t="str">
        <f ca="1">IF($A1501=0,"-",CONCATENATE(C1501&amp;".",IF(AND($A$5&gt;=2,$A1501&gt;=2),D1501&amp;".",""),IF(AND($A$5&gt;=3,$A1501&gt;=3),E1501&amp;".",""),IF(AND($A$5&gt;=4,$A1501&gt;=4),F1501&amp;".",""),IF($A1501="S",G1501&amp;".","")))</f>
        <v>18.4.11.</v>
      </c>
      <c r="L1501" s="137" t="str">
        <f ca="1">IF(NOT(ISERROR($Y1501)),IF($Y1501&lt;&gt;FALSE,INDEX(Banco,$Y1501,4),""),"")</f>
        <v>Cotação</v>
      </c>
      <c r="M1501" s="122" t="s">
        <v>80</v>
      </c>
      <c r="N1501" s="139" t="s">
        <v>150</v>
      </c>
      <c r="O1501" s="137" t="str">
        <f ca="1">IF(NOT(ISERROR($Y1501)),IF($Y1501&lt;&gt;FALSE,INDEX(Banco,$Y1501,5),""),"")</f>
        <v>Sucos</v>
      </c>
      <c r="P1501" s="138" t="str">
        <f ca="1">IF(NOT(ISERROR($Y1501)),IF($Y1501&lt;&gt;FALSE,INDEX(Banco,$Y1501,6),""),"")</f>
        <v>Unidade</v>
      </c>
      <c r="Q1501" s="134">
        <v>12</v>
      </c>
      <c r="R1501" s="124">
        <f ca="1">IF(NOT(ISERROR($Y1501)),IF($Y1501&lt;&gt;FALSE,INDEX(Banco,$Y1501,7),0),0)</f>
        <v>6.4</v>
      </c>
      <c r="S1501" s="136" t="s">
        <v>62</v>
      </c>
      <c r="T1501" s="123">
        <f ca="1">IF($J1501=$G$2,ROUND(ROUND($R1501,2)*IF($R$9="Preço Unitário (R$)",1,1+$AA1501),2),0)</f>
        <v>8</v>
      </c>
      <c r="U1501" s="126">
        <f ca="1">IF($A1501="S",VTOTAL1,IF($A1501=0,0,ROUND(SomaAgrup,2)))</f>
        <v>96</v>
      </c>
      <c r="V1501" s="1"/>
      <c r="W1501" s="39" t="str">
        <f ca="1">IF(OR($A1501=0,$A1501="S",$A1501&gt;CFF!$A$9),"",MAX(W$11:OFFSET(W1501,-1,0))+1)</f>
        <v/>
      </c>
      <c r="X1501" s="4" t="str">
        <f>IF(AND($J1501=$G$2,$N1501&lt;&gt;"",$M1501&lt;&gt;""),CONCATENATE($M1501,"-",$N1501))</f>
        <v>Serv. Terc.-013</v>
      </c>
      <c r="Y1501" s="39">
        <f t="shared" ca="1" si="1890"/>
        <v>93</v>
      </c>
      <c r="Z1501" s="1"/>
      <c r="AA1501" s="133">
        <f>IF($J1501=$G$2,ROUND(IF(ISNUMBER(S1501),S1501,IF(LEFT(S1501,2)="DI",HLOOKUP(S1501,DADOS!$T$29:$X$30,2,FALSE),0)),4),"")</f>
        <v>0.25</v>
      </c>
      <c r="AB1501" s="2"/>
    </row>
    <row r="1502" spans="1:28">
      <c r="A1502" t="str">
        <f t="shared" si="1888"/>
        <v>S</v>
      </c>
      <c r="B1502">
        <f t="shared" si="1889"/>
        <v>0</v>
      </c>
      <c r="C1502">
        <f ca="1">IF($A1502=1,OFFSET(C1502,-1,0)+1,OFFSET(C1502,-1,0))</f>
        <v>18</v>
      </c>
      <c r="D1502">
        <f ca="1">IF($A1502=1,0,IF($A1502=2,OFFSET(D1502,-1,0)+1,OFFSET(D1502,-1,0)))</f>
        <v>4</v>
      </c>
      <c r="E1502">
        <f ca="1">IF(AND($A1502&lt;=2,$A1502&lt;&gt;0),0,IF($A1502=3,OFFSET(E1502,-1,0)+1,OFFSET(E1502,-1,0)))</f>
        <v>0</v>
      </c>
      <c r="F1502">
        <f ca="1">IF(AND($A1502&lt;=3,$A1502&lt;&gt;0),0,IF($A1502=4,OFFSET(F1502,-1,0)+1,OFFSET(F1502,-1,0)))</f>
        <v>0</v>
      </c>
      <c r="G1502">
        <f ca="1">IF(AND($A1502&lt;=4,$A1502&lt;&gt;0),0,IF($A1502="S",OFFSET(G1502,-1,0)+1,OFFSET(G1502,-1,0)))</f>
        <v>12</v>
      </c>
      <c r="H1502">
        <f ca="1">IF(OR($A1502="S",$A1502=0),0,MATCH(0,OFFSET($B1502,1,$A1502,ROW($A$1504)-ROW($A1502)),0))</f>
        <v>0</v>
      </c>
      <c r="I1502">
        <f ca="1">IF(OR($A1502="S",$A1502=0),0,MATCH(OFFSET($B1502,0,$A1502)+1,OFFSET($B1502,1,$A1502,ROW($A$1504)-ROW($A1502)),0))</f>
        <v>0</v>
      </c>
      <c r="J1502" s="132" t="s">
        <v>29</v>
      </c>
      <c r="K1502" s="121" t="str">
        <f ca="1">IF($A1502=0,"-",CONCATENATE(C1502&amp;".",IF(AND($A$5&gt;=2,$A1502&gt;=2),D1502&amp;".",""),IF(AND($A$5&gt;=3,$A1502&gt;=3),E1502&amp;".",""),IF(AND($A$5&gt;=4,$A1502&gt;=4),F1502&amp;".",""),IF($A1502="S",G1502&amp;".","")))</f>
        <v>18.4.12.</v>
      </c>
      <c r="L1502" s="137" t="str">
        <f ca="1">IF(NOT(ISERROR($Y1502)),IF($Y1502&lt;&gt;FALSE,INDEX(Banco,$Y1502,4),""),"")</f>
        <v>Cotação</v>
      </c>
      <c r="M1502" s="122" t="s">
        <v>80</v>
      </c>
      <c r="N1502" s="139" t="s">
        <v>171</v>
      </c>
      <c r="O1502" s="137" t="str">
        <f ca="1">IF(NOT(ISERROR($Y1502)),IF($Y1502&lt;&gt;FALSE,INDEX(Banco,$Y1502,5),""),"")</f>
        <v xml:space="preserve">Refrigerantes (02 litros) </v>
      </c>
      <c r="P1502" s="138" t="str">
        <f ca="1">IF(NOT(ISERROR($Y1502)),IF($Y1502&lt;&gt;FALSE,INDEX(Banco,$Y1502,6),""),"")</f>
        <v>Unidade</v>
      </c>
      <c r="Q1502" s="134">
        <v>20</v>
      </c>
      <c r="R1502" s="124">
        <f ca="1">IF(NOT(ISERROR($Y1502)),IF($Y1502&lt;&gt;FALSE,INDEX(Banco,$Y1502,7),0),0)</f>
        <v>6</v>
      </c>
      <c r="S1502" s="136" t="s">
        <v>62</v>
      </c>
      <c r="T1502" s="123">
        <f ca="1">IF($J1502=$G$2,ROUND(ROUND($R1502,2)*IF($R$9="Preço Unitário (R$)",1,1+$AA1502),2),0)</f>
        <v>7.5</v>
      </c>
      <c r="U1502" s="126">
        <f ca="1">IF($A1502="S",VTOTAL1,IF($A1502=0,0,ROUND(SomaAgrup,2)))</f>
        <v>150</v>
      </c>
      <c r="V1502" s="1"/>
      <c r="W1502" s="39" t="str">
        <f ca="1">IF(OR($A1502=0,$A1502="S",$A1502&gt;CFF!$A$9),"",MAX(W$11:OFFSET(W1502,-1,0))+1)</f>
        <v/>
      </c>
      <c r="X1502" s="4" t="str">
        <f>IF(AND($J1502=$G$2,$N1502&lt;&gt;"",$M1502&lt;&gt;""),CONCATENATE($M1502,"-",$N1502))</f>
        <v>Serv. Terc.-027</v>
      </c>
      <c r="Y1502" s="39">
        <f t="shared" ca="1" si="1890"/>
        <v>107</v>
      </c>
      <c r="Z1502" s="1"/>
      <c r="AA1502" s="133">
        <f>IF($J1502=$G$2,ROUND(IF(ISNUMBER(S1502),S1502,IF(LEFT(S1502,2)="DI",HLOOKUP(S1502,DADOS!$T$29:$X$30,2,FALSE),0)),4),"")</f>
        <v>0.25</v>
      </c>
      <c r="AB1502" s="2"/>
    </row>
    <row r="1503" spans="1:28">
      <c r="A1503" t="str">
        <f t="shared" si="1888"/>
        <v>S</v>
      </c>
      <c r="B1503">
        <f t="shared" si="1889"/>
        <v>0</v>
      </c>
      <c r="C1503">
        <f ca="1">IF($A1503=1,OFFSET(C1503,-1,0)+1,OFFSET(C1503,-1,0))</f>
        <v>18</v>
      </c>
      <c r="D1503">
        <f ca="1">IF($A1503=1,0,IF($A1503=2,OFFSET(D1503,-1,0)+1,OFFSET(D1503,-1,0)))</f>
        <v>4</v>
      </c>
      <c r="E1503">
        <f ca="1">IF(AND($A1503&lt;=2,$A1503&lt;&gt;0),0,IF($A1503=3,OFFSET(E1503,-1,0)+1,OFFSET(E1503,-1,0)))</f>
        <v>0</v>
      </c>
      <c r="F1503">
        <f ca="1">IF(AND($A1503&lt;=3,$A1503&lt;&gt;0),0,IF($A1503=4,OFFSET(F1503,-1,0)+1,OFFSET(F1503,-1,0)))</f>
        <v>0</v>
      </c>
      <c r="G1503">
        <f ca="1">IF(AND($A1503&lt;=4,$A1503&lt;&gt;0),0,IF($A1503="S",OFFSET(G1503,-1,0)+1,OFFSET(G1503,-1,0)))</f>
        <v>13</v>
      </c>
      <c r="H1503">
        <f ca="1">IF(OR($A1503="S",$A1503=0),0,MATCH(0,OFFSET($B1503,1,$A1503,ROW($A$1504)-ROW($A1503)),0))</f>
        <v>0</v>
      </c>
      <c r="I1503">
        <f ca="1">IF(OR($A1503="S",$A1503=0),0,MATCH(OFFSET($B1503,0,$A1503)+1,OFFSET($B1503,1,$A1503,ROW($A$1504)-ROW($A1503)),0))</f>
        <v>0</v>
      </c>
      <c r="J1503" s="132" t="s">
        <v>29</v>
      </c>
      <c r="K1503" s="121" t="str">
        <f ca="1">IF($A1503=0,"-",CONCATENATE(C1503&amp;".",IF(AND($A$5&gt;=2,$A1503&gt;=2),D1503&amp;".",""),IF(AND($A$5&gt;=3,$A1503&gt;=3),E1503&amp;".",""),IF(AND($A$5&gt;=4,$A1503&gt;=4),F1503&amp;".",""),IF($A1503="S",G1503&amp;".","")))</f>
        <v>18.4.13.</v>
      </c>
      <c r="L1503" s="137" t="str">
        <f ca="1">IF(NOT(ISERROR($Y1503)),IF($Y1503&lt;&gt;FALSE,INDEX(Banco,$Y1503,4),""),"")</f>
        <v xml:space="preserve">Cotação </v>
      </c>
      <c r="M1503" s="122" t="s">
        <v>80</v>
      </c>
      <c r="N1503" s="139" t="s">
        <v>159</v>
      </c>
      <c r="O1503" s="137" t="str">
        <f ca="1">IF(NOT(ISERROR($Y1503)),IF($Y1503&lt;&gt;FALSE,INDEX(Banco,$Y1503,5),""),"")</f>
        <v>Brindes ( descrição nos orçamentos e PTS)</v>
      </c>
      <c r="P1503" s="138" t="str">
        <f ca="1">IF(NOT(ISERROR($Y1503)),IF($Y1503&lt;&gt;FALSE,INDEX(Banco,$Y1503,6),""),"")</f>
        <v>Unidade</v>
      </c>
      <c r="Q1503" s="134">
        <v>4</v>
      </c>
      <c r="R1503" s="124">
        <f ca="1">IF(NOT(ISERROR($Y1503)),IF($Y1503&lt;&gt;FALSE,INDEX(Banco,$Y1503,7),0),0)</f>
        <v>120</v>
      </c>
      <c r="S1503" s="136" t="s">
        <v>62</v>
      </c>
      <c r="T1503" s="123">
        <f ca="1">IF($J1503=$G$2,ROUND(ROUND($R1503,2)*IF($R$9="Preço Unitário (R$)",1,1+$AA1503),2),0)</f>
        <v>150</v>
      </c>
      <c r="U1503" s="126">
        <f ca="1">IF($A1503="S",VTOTAL1,IF($A1503=0,0,ROUND(SomaAgrup,2)))</f>
        <v>600</v>
      </c>
      <c r="V1503" s="1"/>
      <c r="W1503" s="39" t="str">
        <f ca="1">IF(OR($A1503=0,$A1503="S",$A1503&gt;CFF!$A$9),"",MAX(W$11:OFFSET(W1503,-1,0))+1)</f>
        <v/>
      </c>
      <c r="X1503" s="4" t="str">
        <f>IF(AND($J1503=$G$2,$N1503&lt;&gt;"",$M1503&lt;&gt;""),CONCATENATE($M1503,"-",$N1503))</f>
        <v>Serv. Terc.-010</v>
      </c>
      <c r="Y1503" s="39">
        <f t="shared" ca="1" si="1890"/>
        <v>90</v>
      </c>
      <c r="Z1503" s="1"/>
      <c r="AA1503" s="133">
        <f>IF($J1503=$G$2,ROUND(IF(ISNUMBER(S1503),S1503,IF(LEFT(S1503,2)="DI",HLOOKUP(S1503,DADOS!$T$29:$X$30,2,FALSE),0)),4),"")</f>
        <v>0.25</v>
      </c>
      <c r="AB1503" s="2"/>
    </row>
    <row r="1504" spans="1:28">
      <c r="A1504">
        <v>-1</v>
      </c>
      <c r="C1504">
        <v>0</v>
      </c>
      <c r="D1504">
        <v>0</v>
      </c>
      <c r="E1504">
        <v>0</v>
      </c>
      <c r="F1504">
        <v>0</v>
      </c>
      <c r="G1504">
        <v>0</v>
      </c>
      <c r="J1504" s="40"/>
      <c r="K1504" s="40"/>
      <c r="L1504" s="40"/>
      <c r="M1504" s="40"/>
      <c r="N1504" s="40"/>
      <c r="O1504" s="40"/>
      <c r="P1504" s="129"/>
      <c r="Q1504" s="40"/>
      <c r="R1504" s="40"/>
      <c r="S1504" s="40"/>
      <c r="T1504" s="40"/>
      <c r="U1504" s="40"/>
      <c r="W1504" s="2"/>
      <c r="X1504" s="2"/>
      <c r="Y1504" s="2"/>
      <c r="AA1504" s="2"/>
      <c r="AB1504" s="2"/>
    </row>
    <row r="1505" spans="1:28" ht="14.25">
      <c r="A1505" s="2"/>
      <c r="B1505" s="2"/>
      <c r="C1505" s="2"/>
      <c r="D1505" s="2"/>
      <c r="E1505" s="2"/>
      <c r="F1505" s="2"/>
      <c r="G1505" s="2"/>
      <c r="H1505" s="2"/>
      <c r="I1505" s="2"/>
      <c r="J1505" s="2"/>
      <c r="K1505" s="43" t="s">
        <v>8</v>
      </c>
      <c r="L1505" s="10"/>
      <c r="M1505" s="10"/>
      <c r="N1505" s="10"/>
      <c r="O1505" s="10"/>
      <c r="P1505" s="130"/>
      <c r="Q1505" s="10"/>
      <c r="R1505" s="10"/>
      <c r="S1505" s="10"/>
      <c r="T1505" s="10"/>
      <c r="U1505" s="42"/>
      <c r="W1505" s="2"/>
      <c r="X1505" s="2"/>
      <c r="Y1505" s="2"/>
      <c r="AA1505" s="2"/>
      <c r="AB1505" s="2"/>
    </row>
    <row r="1506" spans="1:28" ht="12.75" customHeight="1">
      <c r="A1506" s="2"/>
      <c r="B1506" s="2"/>
      <c r="C1506" s="2"/>
      <c r="D1506" s="2"/>
      <c r="E1506" s="2"/>
      <c r="F1506" s="2"/>
      <c r="G1506" s="2"/>
      <c r="H1506" s="2"/>
      <c r="I1506" s="2"/>
      <c r="J1506" s="2"/>
      <c r="K1506" s="261"/>
      <c r="L1506" s="262"/>
      <c r="M1506" s="262"/>
      <c r="N1506" s="262"/>
      <c r="O1506" s="262"/>
      <c r="P1506" s="262"/>
      <c r="Q1506" s="262"/>
      <c r="R1506" s="262"/>
      <c r="S1506" s="262"/>
      <c r="T1506" s="262"/>
      <c r="U1506" s="263"/>
      <c r="W1506" s="2"/>
      <c r="X1506" s="2"/>
      <c r="Y1506" s="2"/>
      <c r="AA1506" s="2"/>
      <c r="AB1506" s="2"/>
    </row>
    <row r="1507" spans="1:28">
      <c r="A1507" s="2"/>
      <c r="B1507" s="2"/>
      <c r="C1507" s="2"/>
      <c r="D1507" s="2"/>
      <c r="E1507" s="2"/>
      <c r="F1507" s="2"/>
      <c r="G1507" s="2"/>
      <c r="H1507" s="2"/>
      <c r="I1507" s="2"/>
      <c r="J1507" s="2"/>
      <c r="K1507" s="261"/>
      <c r="L1507" s="262"/>
      <c r="M1507" s="262"/>
      <c r="N1507" s="262"/>
      <c r="O1507" s="262"/>
      <c r="P1507" s="262"/>
      <c r="Q1507" s="262"/>
      <c r="R1507" s="262"/>
      <c r="S1507" s="262"/>
      <c r="T1507" s="262"/>
      <c r="U1507" s="263"/>
      <c r="W1507" s="2"/>
      <c r="X1507" s="2"/>
      <c r="Y1507" s="2"/>
      <c r="AA1507" s="2"/>
      <c r="AB1507" s="2"/>
    </row>
    <row r="1508" spans="1:28">
      <c r="A1508" s="2"/>
      <c r="B1508" s="2"/>
      <c r="C1508" s="2"/>
      <c r="D1508" s="2"/>
      <c r="E1508" s="2"/>
      <c r="F1508" s="2"/>
      <c r="G1508" s="2"/>
      <c r="H1508" s="2"/>
      <c r="I1508" s="2"/>
      <c r="J1508" s="2"/>
      <c r="K1508" s="264"/>
      <c r="L1508" s="265"/>
      <c r="M1508" s="265"/>
      <c r="N1508" s="265"/>
      <c r="O1508" s="265"/>
      <c r="P1508" s="265"/>
      <c r="Q1508" s="265"/>
      <c r="R1508" s="265"/>
      <c r="S1508" s="265"/>
      <c r="T1508" s="265"/>
      <c r="U1508" s="266"/>
      <c r="W1508" s="2"/>
      <c r="X1508" s="2"/>
      <c r="Y1508" s="2"/>
      <c r="AA1508" s="2"/>
      <c r="AB1508" s="2"/>
    </row>
    <row r="1509" spans="1:28">
      <c r="A1509" s="2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6"/>
      <c r="Q1509" s="2"/>
      <c r="R1509" s="2"/>
      <c r="S1509" s="2"/>
      <c r="T1509" s="2"/>
      <c r="U1509" s="2"/>
      <c r="W1509" s="2"/>
      <c r="X1509" s="2"/>
      <c r="Y1509" s="2"/>
      <c r="AA1509" s="2"/>
      <c r="AB1509" s="2"/>
    </row>
    <row r="1510" spans="1:28" ht="21" customHeight="1">
      <c r="A1510" s="2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6"/>
      <c r="Q1510" s="2"/>
      <c r="R1510" s="2"/>
      <c r="S1510" s="2"/>
      <c r="T1510" s="2"/>
      <c r="U1510" s="2"/>
      <c r="W1510" s="2"/>
      <c r="X1510" s="2"/>
      <c r="Y1510" s="2"/>
      <c r="AA1510" s="2"/>
      <c r="AB1510" s="2"/>
    </row>
    <row r="1511" spans="1:28">
      <c r="A1511" s="2"/>
      <c r="B1511" s="2"/>
      <c r="C1511" s="2"/>
      <c r="D1511" s="2"/>
      <c r="E1511" s="2"/>
      <c r="F1511" s="2"/>
      <c r="G1511" s="2"/>
      <c r="H1511" s="2"/>
      <c r="I1511" s="2"/>
      <c r="J1511" s="2"/>
      <c r="K1511" s="268" t="str">
        <f>Import.Município</f>
        <v>Várzea Grande/MT</v>
      </c>
      <c r="L1511" s="268"/>
      <c r="M1511" s="268"/>
      <c r="N1511" s="268"/>
      <c r="O1511" s="2"/>
      <c r="P1511" s="6"/>
      <c r="Q1511" s="2"/>
      <c r="R1511" s="2"/>
      <c r="S1511" s="2"/>
      <c r="T1511" s="2"/>
      <c r="U1511" s="2"/>
      <c r="W1511" s="2"/>
      <c r="X1511" s="2"/>
      <c r="Y1511" s="2"/>
      <c r="AA1511" s="2"/>
      <c r="AB1511" s="2"/>
    </row>
    <row r="1512" spans="1:28">
      <c r="A1512" s="2"/>
      <c r="B1512" s="2"/>
      <c r="C1512" s="2"/>
      <c r="D1512" s="2"/>
      <c r="E1512" s="2"/>
      <c r="F1512" s="2"/>
      <c r="G1512" s="2"/>
      <c r="H1512" s="2"/>
      <c r="I1512" s="2"/>
      <c r="J1512" s="2"/>
      <c r="K1512" s="49" t="s">
        <v>18</v>
      </c>
      <c r="L1512" s="2"/>
      <c r="M1512" s="2"/>
      <c r="N1512" s="2"/>
      <c r="O1512" s="2"/>
      <c r="P1512" s="6"/>
      <c r="Q1512" s="2"/>
      <c r="R1512" s="2"/>
      <c r="S1512" s="2"/>
      <c r="T1512" s="2"/>
      <c r="U1512" s="2"/>
      <c r="W1512" s="2"/>
      <c r="X1512" s="2"/>
      <c r="Y1512" s="2"/>
      <c r="AA1512" s="2"/>
      <c r="AB1512" s="2"/>
    </row>
    <row r="1513" spans="1:28">
      <c r="A1513" s="2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6"/>
      <c r="Q1513" s="2"/>
      <c r="R1513" s="2"/>
      <c r="S1513" s="2"/>
      <c r="T1513" s="2"/>
      <c r="U1513" s="2"/>
      <c r="W1513" s="2"/>
      <c r="X1513" s="2"/>
      <c r="Y1513" s="2"/>
      <c r="AA1513" s="2"/>
      <c r="AB1513" s="2"/>
    </row>
    <row r="1514" spans="1:28">
      <c r="A1514" s="2"/>
      <c r="B1514" s="2"/>
      <c r="C1514" s="2"/>
      <c r="D1514" s="2"/>
      <c r="E1514" s="2"/>
      <c r="F1514" s="2"/>
      <c r="G1514" s="2"/>
      <c r="H1514" s="2"/>
      <c r="I1514" s="2"/>
      <c r="J1514" s="2"/>
      <c r="K1514" s="267">
        <f ca="1">TODAY()</f>
        <v>43623</v>
      </c>
      <c r="L1514" s="267"/>
      <c r="M1514" s="267"/>
      <c r="N1514" s="267"/>
      <c r="O1514" s="2"/>
      <c r="P1514" s="6"/>
      <c r="Q1514" s="2"/>
      <c r="R1514" s="2"/>
      <c r="S1514" s="2"/>
      <c r="T1514" s="2"/>
      <c r="U1514" s="2"/>
      <c r="W1514" s="2"/>
      <c r="X1514" s="2"/>
      <c r="Y1514" s="2"/>
      <c r="AA1514" s="2"/>
      <c r="AB1514" s="2"/>
    </row>
    <row r="1515" spans="1:28">
      <c r="A1515" s="2"/>
      <c r="B1515" s="2"/>
      <c r="C1515" s="2"/>
      <c r="D1515" s="2"/>
      <c r="E1515" s="2"/>
      <c r="F1515" s="2"/>
      <c r="G1515" s="2"/>
      <c r="H1515" s="2"/>
      <c r="I1515" s="2"/>
      <c r="J1515" s="2"/>
      <c r="K1515" s="56" t="s">
        <v>19</v>
      </c>
      <c r="L1515" s="40"/>
      <c r="M1515" s="40"/>
      <c r="N1515" s="40"/>
      <c r="O1515" s="2"/>
      <c r="P1515" s="6"/>
      <c r="Q1515" s="2"/>
      <c r="R1515" s="2"/>
      <c r="S1515" s="2"/>
      <c r="T1515" s="2"/>
      <c r="U1515" s="2"/>
      <c r="W1515" s="2"/>
      <c r="X1515" s="2"/>
      <c r="Y1515" s="2"/>
      <c r="AA1515" s="2"/>
      <c r="AB1515" s="2"/>
    </row>
    <row r="2860" spans="1:28">
      <c r="A2860">
        <f>CHOOSE(1+LOG(1+2*(J2860=$C$2)+4*(J2860=$D$2)+8*(J2860=$E$2)+16*(J2860=$F$2)+32*(J2860=$G$2),2),0,1,2,3,4,"S")</f>
        <v>2</v>
      </c>
      <c r="B2860" t="e">
        <f ca="1">IF(OR(A2860="S",A2860=0),0,IF(ISERROR(I2860),H2860,SMALL(H2860:I2860,1)))</f>
        <v>#N/A</v>
      </c>
      <c r="C2860">
        <f ca="1">IF($A2860=1,OFFSET(C2860,-1,0)+1,OFFSET(C2860,-1,0))</f>
        <v>0</v>
      </c>
      <c r="D2860">
        <f ca="1">IF($A2860=1,0,IF($A2860=2,OFFSET(D2860,-1,0)+1,OFFSET(D2860,-1,0)))</f>
        <v>1</v>
      </c>
      <c r="E2860">
        <f ca="1">IF(AND($A2860&lt;=2,$A2860&lt;&gt;0),0,IF($A2860=3,OFFSET(E2860,-1,0)+1,OFFSET(E2860,-1,0)))</f>
        <v>0</v>
      </c>
      <c r="F2860">
        <f ca="1">IF(AND($A2860&lt;=3,$A2860&lt;&gt;0),0,IF($A2860=4,OFFSET(F2860,-1,0)+1,OFFSET(F2860,-1,0)))</f>
        <v>0</v>
      </c>
      <c r="G2860">
        <f ca="1">IF(AND($A2860&lt;=4,$A2860&lt;&gt;0),0,IF($A2860="S",OFFSET(G2860,-1,0)+1,OFFSET(G2860,-1,0)))</f>
        <v>0</v>
      </c>
      <c r="H2860" t="e">
        <f ca="1">IF(OR($A2860="S",$A2860=0),0,MATCH(0,OFFSET($B2860,1,$A2860,ROW($A$1504)-ROW($A2860)),0))</f>
        <v>#N/A</v>
      </c>
      <c r="I2860" t="e">
        <f ca="1">IF(OR($A2860="S",$A2860=0),0,MATCH(OFFSET($B2860,0,$A2860)+1,OFFSET($B2860,1,$A2860,ROW($A$1504)-ROW($A2860)),0))</f>
        <v>#N/A</v>
      </c>
      <c r="J2860" s="132" t="s">
        <v>68</v>
      </c>
      <c r="K2860" s="121" t="str">
        <f ca="1">IF($A2860=0,"-",CONCATENATE(C2860&amp;".",IF(AND($A$5&gt;=2,$A2860&gt;=2),D2860&amp;".",""),IF(AND($A$5&gt;=3,$A2860&gt;=3),E2860&amp;".",""),IF(AND($A$5&gt;=4,$A2860&gt;=4),F2860&amp;".",""),IF($A2860="S",G2860&amp;".","")))</f>
        <v>0.1.</v>
      </c>
      <c r="L2860" s="137" t="str">
        <f ca="1">IF(NOT(ISERROR($Y2860)),IF($Y2860&lt;&gt;FALSE,INDEX(Banco,$Y2860,4),""),"")</f>
        <v/>
      </c>
      <c r="M2860" s="122"/>
      <c r="N2860" s="139"/>
      <c r="O2860" s="137" t="s">
        <v>211</v>
      </c>
      <c r="P2860" s="138" t="str">
        <f ca="1">IF(NOT(ISERROR($Y2860)),IF($Y2860&lt;&gt;FALSE,INDEX(Banco,$Y2860,6),""),"")</f>
        <v/>
      </c>
      <c r="Q2860" s="134"/>
      <c r="R2860" s="124">
        <f ca="1">IF(NOT(ISERROR($Y2860)),IF($Y2860&lt;&gt;FALSE,INDEX(Banco,$Y2860,7),0),0)</f>
        <v>0</v>
      </c>
      <c r="S2860" s="136" t="s">
        <v>62</v>
      </c>
      <c r="T2860" s="123">
        <f>IF($J2860=$G$2,ROUND(ROUND($R2860,2)*IF($R$9="Preço Unitário (R$)",1,1+$AA2860),2),0)</f>
        <v>0</v>
      </c>
      <c r="U2860" s="126" t="e">
        <f ca="1">IF($A2860="S",VTOTAL1,IF($A2860=0,0,ROUND(SomaAgrup,2)))</f>
        <v>#N/A</v>
      </c>
      <c r="V2860" s="1"/>
      <c r="W2860" s="39">
        <f ca="1">IF(OR($A2860=0,$A2860="S",$A2860&gt;CFF!$A$9),"",MAX(W$11:OFFSET(W2860,-1,0))+1)</f>
        <v>135</v>
      </c>
      <c r="X2860" s="4" t="b">
        <f>IF(AND($J2860=$G$2,$N2860&lt;&gt;"",$M2860&lt;&gt;""),CONCATENATE($M2860,"-",$N2860))</f>
        <v>0</v>
      </c>
      <c r="Y2860" s="39" t="b">
        <f ca="1">IF(X2860&lt;&gt;FALSE,MATCH(X2860,OFFSET(Banco,0,0,,1),0))</f>
        <v>0</v>
      </c>
      <c r="Z2860" s="1"/>
      <c r="AA2860" s="133" t="str">
        <f>IF($J2860=$G$2,ROUND(IF(ISNUMBER(S2860),S2860,IF(LEFT(S2860,2)="DI",HLOOKUP(S2860,DADOS!$T$29:$X$30,2,FALSE),0)),4),"")</f>
        <v/>
      </c>
      <c r="AB2860" s="2"/>
    </row>
  </sheetData>
  <sheetProtection password="F095" sheet="1" objects="1" scenarios="1" formatRows="0"/>
  <mergeCells count="3">
    <mergeCell ref="K1506:U1508"/>
    <mergeCell ref="K1514:N1514"/>
    <mergeCell ref="K1511:N1511"/>
  </mergeCells>
  <phoneticPr fontId="24" type="noConversion"/>
  <conditionalFormatting sqref="K10 O10 U10 K2860 O2860 U2860 K13:K1503 O13:O1503 U13:U1503">
    <cfRule type="expression" dxfId="9" priority="24790" stopIfTrue="1">
      <formula>$J10=$C$2</formula>
    </cfRule>
    <cfRule type="expression" dxfId="8" priority="24791" stopIfTrue="1">
      <formula>AND($J10&lt;&gt;"",$J10&lt;&gt;$G$2)</formula>
    </cfRule>
  </conditionalFormatting>
  <conditionalFormatting sqref="L10:N10 P10 AA10 R10:T10 L2860:N2860 P2860 AA2860 R2860:T2860 L13:N1503 P13:P1503 AA12:AA1503 R13:T1503">
    <cfRule type="expression" dxfId="7" priority="24796" stopIfTrue="1">
      <formula>$J10=$C$2</formula>
    </cfRule>
    <cfRule type="expression" dxfId="6" priority="24797" stopIfTrue="1">
      <formula>AND($J10&lt;&gt;$G$2)</formula>
    </cfRule>
  </conditionalFormatting>
  <conditionalFormatting sqref="K12 O12 U12">
    <cfRule type="expression" dxfId="5" priority="22851" stopIfTrue="1">
      <formula>$J12=$C$2</formula>
    </cfRule>
    <cfRule type="expression" dxfId="4" priority="22852" stopIfTrue="1">
      <formula>AND($J12&lt;&gt;"",$J12&lt;&gt;$G$2)</formula>
    </cfRule>
  </conditionalFormatting>
  <conditionalFormatting sqref="L12 P12 R12:T12">
    <cfRule type="expression" dxfId="3" priority="22853" stopIfTrue="1">
      <formula>$J12=$C$2</formula>
    </cfRule>
    <cfRule type="expression" dxfId="2" priority="22854" stopIfTrue="1">
      <formula>AND($J12&lt;&gt;$G$2)</formula>
    </cfRule>
  </conditionalFormatting>
  <conditionalFormatting sqref="M12:N12">
    <cfRule type="expression" dxfId="1" priority="22691" stopIfTrue="1">
      <formula>$J12=$C$2</formula>
    </cfRule>
    <cfRule type="expression" dxfId="0" priority="22692" stopIfTrue="1">
      <formula>AND($J12&lt;&gt;$G$2)</formula>
    </cfRule>
  </conditionalFormatting>
  <dataValidations count="5">
    <dataValidation type="list" showInputMessage="1" showErrorMessage="1" errorTitle="Erro de Entrada" error="Selecione somente os itens da lista." promptTitle="Nível:" prompt="Selecione na lista o nível de itemização da Planilha." sqref="J2860 J13:J1503 J10">
      <formula1>$C$2:$G$2</formula1>
    </dataValidation>
    <dataValidation type="decimal" operator="greaterThanOrEqual" allowBlank="1" showInputMessage="1" showErrorMessage="1" sqref="Q2860 Q13:Q1503 Q10">
      <formula1>0</formula1>
    </dataValidation>
    <dataValidation type="list" errorStyle="warning" showInputMessage="1" showErrorMessage="1" error="Selecione um dos 5 BDI da lista._x000a__x000a_Caso tenha mais de 5 BDI nesta Planilha Orçamentária digite apenas valor percentual." sqref="S2860 S13:S1503 S10">
      <formula1>Dados.Lista.BDI</formula1>
    </dataValidation>
    <dataValidation type="list" errorStyle="warning" allowBlank="1" showInputMessage="1" showErrorMessage="1" error="Selecione um dos 5 BDI da lista._x000a__x000a_Caso tenha mais de 5 BDI nesta Planilha Orçamentária digite apenas valor percentual." sqref="S12">
      <formula1>Dados.Lista.BDI</formula1>
    </dataValidation>
    <dataValidation type="decimal" operator="greaterThan" allowBlank="1" showInputMessage="1" showErrorMessage="1" error="Apenas números decimais maiores que zero." sqref="Q12:R12">
      <formula1>0</formula1>
    </dataValidation>
  </dataValidations>
  <pageMargins left="0.78740157480314965" right="0.78740157480314965" top="0.78740157480314965" bottom="0.78740157480314965" header="0" footer="0"/>
  <pageSetup paperSize="9" scale="59" fitToHeight="0" orientation="landscape" r:id="rId1"/>
  <headerFooter>
    <oddFooter>&amp;R&amp;P&amp;LXX.XXX v001  micro</oddFooter>
  </headerFooter>
  <ignoredErrors>
    <ignoredError sqref="K1511 K1514" unlockedFormula="1"/>
  </ignoredErrors>
  <drawing r:id="rId2"/>
  <legacyDrawing r:id="rId3"/>
  <oleObjects>
    <oleObject shapeId="185899" r:id="rId4"/>
  </oleObjects>
</worksheet>
</file>

<file path=xl/worksheets/sheet4.xml><?xml version="1.0" encoding="utf-8"?>
<worksheet xmlns="http://schemas.openxmlformats.org/spreadsheetml/2006/main" xmlns:r="http://schemas.openxmlformats.org/officeDocument/2006/relationships">
  <sheetPr codeName="Plan6">
    <outlinePr summaryBelow="0"/>
  </sheetPr>
  <dimension ref="A1:X445"/>
  <sheetViews>
    <sheetView showGridLines="0" topLeftCell="L1" zoomScale="69" zoomScaleNormal="69" zoomScaleSheetLayoutView="100" workbookViewId="0"/>
  </sheetViews>
  <sheetFormatPr defaultRowHeight="12.75"/>
  <cols>
    <col min="1" max="4" width="9.140625" style="21" hidden="1" customWidth="1"/>
    <col min="5" max="8" width="5.7109375" style="21" hidden="1" customWidth="1"/>
    <col min="9" max="10" width="6.7109375" style="21" hidden="1" customWidth="1"/>
    <col min="11" max="11" width="10.7109375" style="21" hidden="1" customWidth="1"/>
    <col min="12" max="12" width="10.7109375" style="21" customWidth="1"/>
    <col min="13" max="13" width="40.5703125" style="21" customWidth="1"/>
    <col min="14" max="14" width="16.42578125" style="26" customWidth="1"/>
    <col min="15" max="15" width="16.5703125" style="21" bestFit="1" customWidth="1"/>
    <col min="16" max="23" width="15.7109375" style="21" customWidth="1"/>
    <col min="24" max="24" width="0.85546875" style="25" customWidth="1"/>
    <col min="25" max="16384" width="9.140625" style="21"/>
  </cols>
  <sheetData>
    <row r="1" spans="1:24" s="20" customFormat="1" ht="12.95" customHeight="1">
      <c r="A1" s="11"/>
      <c r="B1" s="11"/>
      <c r="C1" s="11"/>
      <c r="D1" s="11"/>
      <c r="E1" s="81"/>
      <c r="F1" s="81"/>
      <c r="G1" s="81"/>
      <c r="H1" s="81"/>
      <c r="I1" s="81"/>
      <c r="J1" s="81"/>
      <c r="K1" s="81"/>
      <c r="L1" s="11"/>
      <c r="M1" s="11"/>
      <c r="N1" s="11"/>
      <c r="O1" s="82" t="s">
        <v>9</v>
      </c>
      <c r="P1" s="83" t="s">
        <v>17</v>
      </c>
      <c r="Q1" s="84"/>
      <c r="R1" s="11"/>
      <c r="S1" s="11"/>
      <c r="T1" s="11"/>
      <c r="U1" s="1"/>
      <c r="V1" s="1"/>
      <c r="W1" s="1"/>
      <c r="X1" s="1"/>
    </row>
    <row r="2" spans="1:24" s="20" customFormat="1" ht="12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81" t="s">
        <v>123</v>
      </c>
      <c r="P2" s="85" t="s">
        <v>122</v>
      </c>
      <c r="Q2" s="1"/>
      <c r="R2" s="1"/>
      <c r="S2" s="1"/>
      <c r="T2" s="1"/>
      <c r="U2" s="1"/>
      <c r="V2" s="83"/>
      <c r="W2" s="1"/>
      <c r="X2" s="1"/>
    </row>
    <row r="3" spans="1:24" s="20" customFormat="1" ht="12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39"/>
      <c r="T3" s="1"/>
      <c r="U3" s="1"/>
      <c r="V3" s="1"/>
      <c r="W3" s="1"/>
      <c r="X3" s="1"/>
    </row>
    <row r="4" spans="1:24" s="20" customFormat="1" ht="24.9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s="20" customFormat="1" ht="24.9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s="20" customFormat="1" ht="24.9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s="20" customFormat="1" ht="21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s="20" customFormat="1" ht="30" customHeight="1">
      <c r="A8" s="86" t="s">
        <v>58</v>
      </c>
      <c r="B8" s="1"/>
      <c r="C8" s="1"/>
      <c r="D8" s="1"/>
      <c r="E8" s="1"/>
      <c r="F8" s="1"/>
      <c r="G8" s="1"/>
      <c r="H8" s="1"/>
      <c r="I8" s="1"/>
      <c r="J8" s="1"/>
      <c r="K8" s="1"/>
      <c r="L8" s="276" t="str">
        <f ca="1">IF(MAX($A$14:$A$436)&lt;&gt;MAX(PO!$W$11:$W$1504),"ERRO: CRONOGRAMA DESATUALIZADO",IF(OR(COUNTIF($O$16:$X$16,"&gt;1")&gt;0,OFFSET($X$17,0,-1)&lt;&gt;$N$14),"ERRO: CRONOGRAMA NÃO FECHA EM 100%",""))</f>
        <v>ERRO: CRONOGRAMA DESATUALIZADO</v>
      </c>
      <c r="M8" s="276"/>
      <c r="N8" s="71" t="str">
        <f>IF(TipoOrçamento="REPROGRAMADOAC","Qtde de Medições realizadas","")</f>
        <v/>
      </c>
      <c r="O8" s="87"/>
      <c r="P8" s="88"/>
      <c r="Q8" s="1"/>
      <c r="R8" s="1"/>
      <c r="S8" s="1"/>
      <c r="T8" s="1"/>
      <c r="U8" s="1"/>
      <c r="V8" s="1"/>
      <c r="W8" s="1"/>
      <c r="X8" s="1"/>
    </row>
    <row r="9" spans="1:24" s="20" customFormat="1" ht="14.1" customHeight="1">
      <c r="A9" s="74">
        <v>4</v>
      </c>
      <c r="B9" s="1"/>
      <c r="C9" s="1"/>
      <c r="D9" s="1"/>
      <c r="E9" s="1"/>
      <c r="F9" s="1"/>
      <c r="G9" s="1"/>
      <c r="H9" s="1"/>
      <c r="I9" s="1"/>
      <c r="J9" s="1"/>
      <c r="K9" s="1"/>
      <c r="L9" s="39"/>
      <c r="M9" s="39"/>
      <c r="N9" s="70">
        <v>1</v>
      </c>
      <c r="O9" s="60">
        <f>IF(AND(TipoOrçamento="REPROGRAMADOAC",$N$9&gt;0),$N$9-1,0)</f>
        <v>0</v>
      </c>
      <c r="P9" s="58">
        <f ca="1">OFFSET(P9,0,-1)+1</f>
        <v>1</v>
      </c>
      <c r="Q9" s="58">
        <f t="shared" ref="Q9:W9" ca="1" si="0">OFFSET(Q9,0,-1)+1</f>
        <v>2</v>
      </c>
      <c r="R9" s="58">
        <f t="shared" ca="1" si="0"/>
        <v>3</v>
      </c>
      <c r="S9" s="58">
        <f t="shared" ca="1" si="0"/>
        <v>4</v>
      </c>
      <c r="T9" s="58">
        <f t="shared" ca="1" si="0"/>
        <v>5</v>
      </c>
      <c r="U9" s="58">
        <f t="shared" ca="1" si="0"/>
        <v>6</v>
      </c>
      <c r="V9" s="58">
        <f t="shared" ca="1" si="0"/>
        <v>7</v>
      </c>
      <c r="W9" s="58">
        <f t="shared" ca="1" si="0"/>
        <v>8</v>
      </c>
      <c r="X9" s="1"/>
    </row>
    <row r="10" spans="1:24" s="22" customFormat="1" ht="30" customHeight="1">
      <c r="A10" s="89" t="s">
        <v>48</v>
      </c>
      <c r="B10" s="89" t="s">
        <v>27</v>
      </c>
      <c r="C10" s="89" t="s">
        <v>1</v>
      </c>
      <c r="D10" s="89" t="s">
        <v>21</v>
      </c>
      <c r="E10" s="89" t="s">
        <v>15</v>
      </c>
      <c r="F10" s="89" t="s">
        <v>16</v>
      </c>
      <c r="G10" s="89" t="s">
        <v>25</v>
      </c>
      <c r="H10" s="89" t="s">
        <v>26</v>
      </c>
      <c r="I10" s="89" t="s">
        <v>22</v>
      </c>
      <c r="J10" s="89" t="s">
        <v>23</v>
      </c>
      <c r="K10" s="89" t="s">
        <v>60</v>
      </c>
      <c r="L10" s="90" t="s">
        <v>37</v>
      </c>
      <c r="M10" s="91" t="s">
        <v>71</v>
      </c>
      <c r="N10" s="92" t="s">
        <v>30</v>
      </c>
      <c r="O10" s="75" t="str">
        <f>"Início do TS"&amp;CHAR(10)&amp;TEXT(DADOS!C30,"dd/mm/aa")</f>
        <v>Início do TS
01/07/18</v>
      </c>
      <c r="P10" s="114" t="str">
        <f ca="1">IF(AND(TipoOrçamento="REPROGRAMADOAC",$N$9&gt;0,N10="Valores Totais (R$)"),"Parcela "&amp;$N$9&amp;" Executado","Parcela "&amp;P$9&amp;CHAR(10)&amp;TEXT(DATE(YEAR(DADOS!$C$30),MONTH(DADOS!$C$30)-1+P$9-IF(AND(TipoOrçamento="REPROGRAMADOAC",$N$9&gt;0),$N$9,0),1),"mmm/aa"))</f>
        <v>Parcela 1
jul/18</v>
      </c>
      <c r="Q10" s="61" t="str">
        <f ca="1">IF(AND(TipoOrçamento="REPROGRAMADOAC",$N$9&gt;0,O10="Valores Totais (R$)"),"Parcela "&amp;$N$9&amp;" Executado","Parcela "&amp;Q$9&amp;CHAR(10)&amp;TEXT(DATE(YEAR(DADOS!$C$30),MONTH(DADOS!$C$30)-1+Q$9-IF(AND(TipoOrçamento="REPROGRAMADOAC",$N$9&gt;0),$N$9,0),1),"mmm/aa"))</f>
        <v>Parcela 2
ago/18</v>
      </c>
      <c r="R10" s="61" t="str">
        <f ca="1">IF(AND(TipoOrçamento="REPROGRAMADOAC",$N$9&gt;0,P10="Valores Totais (R$)"),"Parcela "&amp;$N$9&amp;" Executado","Parcela "&amp;R$9&amp;CHAR(10)&amp;TEXT(DATE(YEAR(DADOS!$C$30),MONTH(DADOS!$C$30)-1+R$9-IF(AND(TipoOrçamento="REPROGRAMADOAC",$N$9&gt;0),$N$9,0),1),"mmm/aa"))</f>
        <v>Parcela 3
set/18</v>
      </c>
      <c r="S10" s="61" t="str">
        <f ca="1">IF(AND(TipoOrçamento="REPROGRAMADOAC",$N$9&gt;0,Q10="Valores Totais (R$)"),"Parcela "&amp;$N$9&amp;" Executado","Parcela "&amp;S$9&amp;CHAR(10)&amp;TEXT(DATE(YEAR(DADOS!$C$30),MONTH(DADOS!$C$30)-1+S$9-IF(AND(TipoOrçamento="REPROGRAMADOAC",$N$9&gt;0),$N$9,0),1),"mmm/aa"))</f>
        <v>Parcela 4
out/18</v>
      </c>
      <c r="T10" s="61" t="str">
        <f ca="1">IF(AND(TipoOrçamento="REPROGRAMADOAC",$N$9&gt;0,R10="Valores Totais (R$)"),"Parcela "&amp;$N$9&amp;" Executado","Parcela "&amp;T$9&amp;CHAR(10)&amp;TEXT(DATE(YEAR(DADOS!$C$30),MONTH(DADOS!$C$30)-1+T$9-IF(AND(TipoOrçamento="REPROGRAMADOAC",$N$9&gt;0),$N$9,0),1),"mmm/aa"))</f>
        <v>Parcela 5
nov/18</v>
      </c>
      <c r="U10" s="61" t="str">
        <f ca="1">IF(AND(TipoOrçamento="REPROGRAMADOAC",$N$9&gt;0,S10="Valores Totais (R$)"),"Parcela "&amp;$N$9&amp;" Executado","Parcela "&amp;U$9&amp;CHAR(10)&amp;TEXT(DATE(YEAR(DADOS!$C$30),MONTH(DADOS!$C$30)-1+U$9-IF(AND(TipoOrçamento="REPROGRAMADOAC",$N$9&gt;0),$N$9,0),1),"mmm/aa"))</f>
        <v>Parcela 6
dez/18</v>
      </c>
      <c r="V10" s="61" t="str">
        <f ca="1">IF(AND(TipoOrçamento="REPROGRAMADOAC",$N$9&gt;0,T10="Valores Totais (R$)"),"Parcela "&amp;$N$9&amp;" Executado","Parcela "&amp;V$9&amp;CHAR(10)&amp;TEXT(DATE(YEAR(DADOS!$C$30),MONTH(DADOS!$C$30)-1+V$9-IF(AND(TipoOrçamento="REPROGRAMADOAC",$N$9&gt;0),$N$9,0),1),"mmm/aa"))</f>
        <v>Parcela 7
jan/19</v>
      </c>
      <c r="W10" s="61" t="str">
        <f ca="1">IF(AND(TipoOrçamento="REPROGRAMADOAC",$N$9&gt;0,U10="Valores Totais (R$)"),"Parcela "&amp;$N$9&amp;" Executado","Parcela "&amp;W$9&amp;CHAR(10)&amp;TEXT(DATE(YEAR(DADOS!$C$30),MONTH(DADOS!$C$30)-1+W$9-IF(AND(TipoOrçamento="REPROGRAMADOAC",$N$9&gt;0),$N$9,0),1),"mmm/aa"))</f>
        <v>Parcela 8
fev/19</v>
      </c>
      <c r="X10" s="104"/>
    </row>
    <row r="11" spans="1:24" customFormat="1" ht="14.25" hidden="1" customHeight="1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269" t="e">
        <f ca="1">INDEX(PO!K$11:K$1504,MATCH($A13,PO!$W$11:$W$1504,0))</f>
        <v>#VALUE!</v>
      </c>
      <c r="M11" s="271" t="e">
        <f ca="1">INDEX(PO!O$11:O$1504,MATCH($A13,PO!$W$11:$W$1504,0))</f>
        <v>#VALUE!</v>
      </c>
      <c r="N11" s="273" t="e">
        <f ca="1">IF(ROUND(K13,2)=0,K13,ROUND(K13,2))</f>
        <v>#VALUE!</v>
      </c>
      <c r="O11" s="113" t="s">
        <v>33</v>
      </c>
      <c r="P11" s="112" t="e">
        <f ca="1">IF($B13,0,P12-IF(ISNUMBER(O12),O12,0))</f>
        <v>#VALUE!</v>
      </c>
      <c r="Q11" s="59" t="e">
        <f t="shared" ref="Q11:W11" ca="1" si="1">IF($B13,0,Q12-IF(ISNUMBER(P12),P12,0))</f>
        <v>#VALUE!</v>
      </c>
      <c r="R11" s="59" t="e">
        <f t="shared" ca="1" si="1"/>
        <v>#VALUE!</v>
      </c>
      <c r="S11" s="59" t="e">
        <f t="shared" ca="1" si="1"/>
        <v>#VALUE!</v>
      </c>
      <c r="T11" s="59" t="e">
        <f t="shared" ca="1" si="1"/>
        <v>#VALUE!</v>
      </c>
      <c r="U11" s="59" t="e">
        <f t="shared" ca="1" si="1"/>
        <v>#VALUE!</v>
      </c>
      <c r="V11" s="59" t="e">
        <f t="shared" ca="1" si="1"/>
        <v>#VALUE!</v>
      </c>
      <c r="W11" s="59" t="e">
        <f t="shared" ca="1" si="1"/>
        <v>#VALUE!</v>
      </c>
      <c r="X11" s="105"/>
    </row>
    <row r="12" spans="1:24" customFormat="1" ht="14.25" hidden="1">
      <c r="A12" s="93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270"/>
      <c r="M12" s="272"/>
      <c r="N12" s="274"/>
      <c r="O12" s="79" t="s">
        <v>35</v>
      </c>
      <c r="P12" s="107" t="e">
        <f ca="1">MIN(IF($B13,P11+IF(ISNUMBER(O12),O12,0),P13/$N11),1)</f>
        <v>#VALUE!</v>
      </c>
      <c r="Q12" s="77" t="e">
        <f t="shared" ref="Q12:W12" ca="1" si="2">MIN(IF($B13,Q11+IF(ISNUMBER(P12),P12,0),Q13/$N11),1)</f>
        <v>#VALUE!</v>
      </c>
      <c r="R12" s="77" t="e">
        <f t="shared" ca="1" si="2"/>
        <v>#VALUE!</v>
      </c>
      <c r="S12" s="77" t="e">
        <f t="shared" ca="1" si="2"/>
        <v>#VALUE!</v>
      </c>
      <c r="T12" s="77" t="e">
        <f t="shared" ca="1" si="2"/>
        <v>#VALUE!</v>
      </c>
      <c r="U12" s="77" t="e">
        <f t="shared" ca="1" si="2"/>
        <v>#VALUE!</v>
      </c>
      <c r="V12" s="77" t="e">
        <f t="shared" ca="1" si="2"/>
        <v>#VALUE!</v>
      </c>
      <c r="W12" s="77" t="e">
        <f t="shared" ca="1" si="2"/>
        <v>#VALUE!</v>
      </c>
      <c r="X12" s="105"/>
    </row>
    <row r="13" spans="1:24" customFormat="1" ht="14.25" hidden="1">
      <c r="A13" s="93" t="e">
        <f ca="1">OFFSET(A13,-CFF.NumLinha,0)+1</f>
        <v>#VALUE!</v>
      </c>
      <c r="B13" s="93" t="e">
        <f ca="1">$C13&gt;=OFFSET($C13,CFF.NumLinha,0)</f>
        <v>#VALUE!</v>
      </c>
      <c r="C13" s="93" t="e">
        <f ca="1">INDEX(PO!A$11:A$1504,MATCH($A13,PO!$W$11:$W$1504,0))</f>
        <v>#VALUE!</v>
      </c>
      <c r="D13" s="93" t="e">
        <f ca="1">IF(ISERROR(J13),I13,SMALL(I13:J13,1))-1</f>
        <v>#VALUE!</v>
      </c>
      <c r="E13" s="93" t="e">
        <f ca="1">IF($C13=1,OFFSET(E13,-CFF.NumLinha,0)+1,OFFSET(E13,-CFF.NumLinha,0))</f>
        <v>#VALUE!</v>
      </c>
      <c r="F13" s="93" t="e">
        <f ca="1">IF($C13=1,0,IF($C13=2,OFFSET(F13,-CFF.NumLinha,0)+1,OFFSET(F13,-CFF.NumLinha,0)))</f>
        <v>#VALUE!</v>
      </c>
      <c r="G13" s="93" t="e">
        <f ca="1">IF(AND($C13&lt;=2,$C13&lt;&gt;0),0,IF($C13=3,OFFSET(G13,-CFF.NumLinha,0)+1,OFFSET(G13,-CFF.NumLinha,0)))</f>
        <v>#VALUE!</v>
      </c>
      <c r="H13" s="93" t="e">
        <f ca="1">IF(AND($C13&lt;=3,$C13&lt;&gt;0),0,IF($C13=4,OFFSET(H13,-CFF.NumLinha,0)+1,OFFSET(H13,-CFF.NumLinha,0)))</f>
        <v>#VALUE!</v>
      </c>
      <c r="I13" s="93" t="e">
        <f ca="1">MATCH(0,OFFSET($D13,1,$C13,ROW($A$435)-ROW($A13)),0)</f>
        <v>#VALUE!</v>
      </c>
      <c r="J13" s="93" t="e">
        <f ca="1">MATCH(OFFSET($D13,0,$C13)+1,OFFSET($D13,1,$C13,ROW($A$435)-ROW($A13)),0)</f>
        <v>#VALUE!</v>
      </c>
      <c r="K13" s="94" t="e">
        <f ca="1">ROUND(INDEX(PO!U$11:U$1504,MATCH($A13,PO!$W$11:$W$1504,0)),2)+10^-12</f>
        <v>#VALUE!</v>
      </c>
      <c r="L13" s="270"/>
      <c r="M13" s="272"/>
      <c r="N13" s="274"/>
      <c r="O13" s="115" t="s">
        <v>7</v>
      </c>
      <c r="P13" s="108" t="e">
        <f ca="1">IF($B13,ROUND(P12*$N11,2),ROUND(SUMIF(OFFSET($B13,1,0,$D13),TRUE,OFFSET(P13,1,0,$D13))/SUMIF(OFFSET($B13,1,0,$D13),TRUE,OFFSET($K13,1,0,$D13))*$N11,2))</f>
        <v>#VALUE!</v>
      </c>
      <c r="Q13" s="78" t="e">
        <f t="shared" ref="Q13:W13" ca="1" si="3">IF($B13,ROUND(Q12*$N11,2),ROUND(SUMIF(OFFSET($B13,1,0,$D13),TRUE,OFFSET(Q13,1,0,$D13))/SUMIF(OFFSET($B13,1,0,$D13),TRUE,OFFSET($K13,1,0,$D13))*$N11,2))</f>
        <v>#VALUE!</v>
      </c>
      <c r="R13" s="78" t="e">
        <f t="shared" ca="1" si="3"/>
        <v>#VALUE!</v>
      </c>
      <c r="S13" s="78" t="e">
        <f t="shared" ca="1" si="3"/>
        <v>#VALUE!</v>
      </c>
      <c r="T13" s="78" t="e">
        <f t="shared" ca="1" si="3"/>
        <v>#VALUE!</v>
      </c>
      <c r="U13" s="78" t="e">
        <f t="shared" ca="1" si="3"/>
        <v>#VALUE!</v>
      </c>
      <c r="V13" s="78" t="e">
        <f t="shared" ca="1" si="3"/>
        <v>#VALUE!</v>
      </c>
      <c r="W13" s="118" t="e">
        <f t="shared" ca="1" si="3"/>
        <v>#VALUE!</v>
      </c>
      <c r="X13" s="105"/>
    </row>
    <row r="14" spans="1:24" s="23" customFormat="1" ht="12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277" t="s">
        <v>113</v>
      </c>
      <c r="M14" s="278"/>
      <c r="N14" s="283">
        <f ca="1">IF(PO!$U$11=0,10^-12,PO!$U$11)</f>
        <v>997515.06999999948</v>
      </c>
      <c r="O14" s="76" t="s">
        <v>33</v>
      </c>
      <c r="P14" s="116">
        <f ca="1">ROUND(P15/$N14,4)</f>
        <v>3.49E-2</v>
      </c>
      <c r="Q14" s="117">
        <f t="shared" ref="Q14:W14" ca="1" si="4">ROUND(Q15/$N14,4)</f>
        <v>6.8699999999999997E-2</v>
      </c>
      <c r="R14" s="117">
        <f t="shared" ca="1" si="4"/>
        <v>4.41E-2</v>
      </c>
      <c r="S14" s="117">
        <f t="shared" ca="1" si="4"/>
        <v>5.7299999999999997E-2</v>
      </c>
      <c r="T14" s="117">
        <f t="shared" ca="1" si="4"/>
        <v>4.02E-2</v>
      </c>
      <c r="U14" s="117">
        <f t="shared" ca="1" si="4"/>
        <v>4.6800000000000001E-2</v>
      </c>
      <c r="V14" s="117">
        <f t="shared" ca="1" si="4"/>
        <v>9.0300000000000005E-2</v>
      </c>
      <c r="W14" s="117">
        <f t="shared" ca="1" si="4"/>
        <v>4.99E-2</v>
      </c>
      <c r="X14" s="80"/>
    </row>
    <row r="15" spans="1:24" s="23" customFormat="1" ht="12.7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279"/>
      <c r="M15" s="280"/>
      <c r="N15" s="284"/>
      <c r="O15" s="67" t="s">
        <v>34</v>
      </c>
      <c r="P15" s="109">
        <f ca="1">P17-IF(ISNUMBER(O17),O17,0)</f>
        <v>34841.49</v>
      </c>
      <c r="Q15" s="62">
        <f t="shared" ref="Q15:W15" ca="1" si="5">Q17-IF(ISNUMBER(P17),P17,0)</f>
        <v>68513.31</v>
      </c>
      <c r="R15" s="62">
        <f t="shared" ca="1" si="5"/>
        <v>44009.2</v>
      </c>
      <c r="S15" s="62">
        <f t="shared" ca="1" si="5"/>
        <v>57192.360000000015</v>
      </c>
      <c r="T15" s="62">
        <f t="shared" ca="1" si="5"/>
        <v>40132.329999999987</v>
      </c>
      <c r="U15" s="62">
        <f t="shared" ca="1" si="5"/>
        <v>46678.369999999995</v>
      </c>
      <c r="V15" s="62">
        <f t="shared" ca="1" si="5"/>
        <v>90099.089999999967</v>
      </c>
      <c r="W15" s="62">
        <f t="shared" ca="1" si="5"/>
        <v>49791.210000000021</v>
      </c>
      <c r="X15" s="80"/>
    </row>
    <row r="16" spans="1:24" s="23" customFormat="1" ht="12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279"/>
      <c r="M16" s="280"/>
      <c r="N16" s="284"/>
      <c r="O16" s="68" t="s">
        <v>35</v>
      </c>
      <c r="P16" s="110">
        <f ca="1">ROUND(P17/$N14,4)</f>
        <v>3.49E-2</v>
      </c>
      <c r="Q16" s="63">
        <f t="shared" ref="Q16:W16" ca="1" si="6">ROUND(Q17/$N14,4)</f>
        <v>0.1036</v>
      </c>
      <c r="R16" s="63">
        <f t="shared" ca="1" si="6"/>
        <v>0.1477</v>
      </c>
      <c r="S16" s="63">
        <f t="shared" ca="1" si="6"/>
        <v>0.2051</v>
      </c>
      <c r="T16" s="63">
        <f t="shared" ca="1" si="6"/>
        <v>0.24529999999999999</v>
      </c>
      <c r="U16" s="63">
        <f t="shared" ca="1" si="6"/>
        <v>0.29210000000000003</v>
      </c>
      <c r="V16" s="63">
        <f t="shared" ca="1" si="6"/>
        <v>0.38240000000000002</v>
      </c>
      <c r="W16" s="63">
        <f t="shared" ca="1" si="6"/>
        <v>0.43230000000000002</v>
      </c>
      <c r="X16" s="80"/>
    </row>
    <row r="17" spans="1:24" s="23" customFormat="1" ht="12.75" customHeight="1">
      <c r="A17" s="50">
        <v>0</v>
      </c>
      <c r="B17" s="1"/>
      <c r="C17" s="1"/>
      <c r="D17" s="50">
        <f>ROW(D$435)-ROW(D18)</f>
        <v>417</v>
      </c>
      <c r="E17" s="1"/>
      <c r="F17" s="1"/>
      <c r="G17" s="1"/>
      <c r="H17" s="1"/>
      <c r="I17" s="1"/>
      <c r="J17" s="1"/>
      <c r="K17" s="1"/>
      <c r="L17" s="281"/>
      <c r="M17" s="282"/>
      <c r="N17" s="285"/>
      <c r="O17" s="69" t="s">
        <v>7</v>
      </c>
      <c r="P17" s="111">
        <f ca="1">SUMIF(OFFSET($C17,1,0):$C$435,1,OFFSET(P17,1,0):P$435)</f>
        <v>34841.49</v>
      </c>
      <c r="Q17" s="64">
        <f ca="1">SUMIF(OFFSET($C17,1,0):$C$435,1,OFFSET(Q17,1,0):Q$435)</f>
        <v>103354.8</v>
      </c>
      <c r="R17" s="64">
        <f ca="1">SUMIF(OFFSET($C17,1,0):$C$435,1,OFFSET(R17,1,0):R$435)</f>
        <v>147364</v>
      </c>
      <c r="S17" s="64">
        <f ca="1">SUMIF(OFFSET($C17,1,0):$C$435,1,OFFSET(S17,1,0):S$435)</f>
        <v>204556.36000000002</v>
      </c>
      <c r="T17" s="64">
        <f ca="1">SUMIF(OFFSET($C17,1,0):$C$435,1,OFFSET(T17,1,0):T$435)</f>
        <v>244688.69</v>
      </c>
      <c r="U17" s="64">
        <f ca="1">SUMIF(OFFSET($C17,1,0):$C$435,1,OFFSET(U17,1,0):U$435)</f>
        <v>291367.06</v>
      </c>
      <c r="V17" s="64">
        <f ca="1">SUMIF(OFFSET($C17,1,0):$C$435,1,OFFSET(V17,1,0):V$435)</f>
        <v>381466.14999999997</v>
      </c>
      <c r="W17" s="64">
        <f ca="1">SUMIF(OFFSET($C17,1,0):$C$435,1,OFFSET(W17,1,0):W$435)</f>
        <v>431257.36</v>
      </c>
      <c r="X17" s="80"/>
    </row>
    <row r="18" spans="1:24" customFormat="1" ht="1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269" t="str">
        <f ca="1">INDEX(PO!K$11:K$1504,MATCH($A20,PO!$W$11:$W$1504,0))</f>
        <v>1.</v>
      </c>
      <c r="M18" s="271" t="str">
        <f ca="1">INDEX(PO!O$11:O$1504,MATCH($A20,PO!$W$11:$W$1504,0))</f>
        <v>MÊS 01 - INFORMAÇÃO E MOBILIZAÇÃO</v>
      </c>
      <c r="N18" s="273">
        <f ca="1">IF(ROUND(K20,2)=0,K20,ROUND(K20,2))</f>
        <v>34841.49</v>
      </c>
      <c r="O18" s="113" t="s">
        <v>33</v>
      </c>
      <c r="P18" s="112">
        <v>1</v>
      </c>
      <c r="Q18" s="59"/>
      <c r="R18" s="59"/>
      <c r="S18" s="59"/>
      <c r="T18" s="59"/>
      <c r="U18" s="59"/>
      <c r="V18" s="59"/>
      <c r="W18" s="59"/>
      <c r="X18" s="106" t="s">
        <v>14</v>
      </c>
    </row>
    <row r="19" spans="1:24" customFormat="1" ht="14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270"/>
      <c r="M19" s="272"/>
      <c r="N19" s="274"/>
      <c r="O19" s="79" t="s">
        <v>35</v>
      </c>
      <c r="P19" s="107">
        <f t="shared" ref="P19:W19" ca="1" si="7">MIN(IF($B20,P18+IF(ISNUMBER(O19),O19,0),P20/$N18),1)</f>
        <v>1</v>
      </c>
      <c r="Q19" s="77">
        <f t="shared" ca="1" si="7"/>
        <v>1</v>
      </c>
      <c r="R19" s="77">
        <f t="shared" ca="1" si="7"/>
        <v>1</v>
      </c>
      <c r="S19" s="77">
        <f t="shared" ca="1" si="7"/>
        <v>1</v>
      </c>
      <c r="T19" s="77">
        <f t="shared" ca="1" si="7"/>
        <v>1</v>
      </c>
      <c r="U19" s="77">
        <f t="shared" ca="1" si="7"/>
        <v>1</v>
      </c>
      <c r="V19" s="77">
        <f t="shared" ca="1" si="7"/>
        <v>1</v>
      </c>
      <c r="W19" s="77">
        <f t="shared" ca="1" si="7"/>
        <v>1</v>
      </c>
      <c r="X19" s="105"/>
    </row>
    <row r="20" spans="1:24" customFormat="1" ht="14.25">
      <c r="A20" s="50">
        <f ca="1">OFFSET(A20,-CFF.NumLinha,0)+1</f>
        <v>1</v>
      </c>
      <c r="B20" s="1" t="b">
        <f ca="1">$C20&gt;=OFFSET($C20,CFF.NumLinha,0)</f>
        <v>0</v>
      </c>
      <c r="C20" s="93">
        <f ca="1">INDEX(PO!A$11:A$1504,MATCH($A20,PO!$W$11:$W$1504,0))</f>
        <v>1</v>
      </c>
      <c r="D20" s="93">
        <f ca="1">IF(ISERROR(J20),I20,SMALL(I20:J20,1))-1</f>
        <v>11</v>
      </c>
      <c r="E20" s="93">
        <f ca="1">IF($C20=1,OFFSET(E20,-CFF.NumLinha,0)+1,OFFSET(E20,-CFF.NumLinha,0))</f>
        <v>1</v>
      </c>
      <c r="F20" s="93">
        <f ca="1">IF($C20=1,0,IF($C20=2,OFFSET(F20,-CFF.NumLinha,0)+1,OFFSET(F20,-CFF.NumLinha,0)))</f>
        <v>0</v>
      </c>
      <c r="G20" s="93">
        <f ca="1">IF(AND($C20&lt;=2,$C20&lt;&gt;0),0,IF($C20=3,OFFSET(G20,-CFF.NumLinha,0)+1,OFFSET(G20,-CFF.NumLinha,0)))</f>
        <v>0</v>
      </c>
      <c r="H20" s="93">
        <f ca="1">IF(AND($C20&lt;=3,$C20&lt;&gt;0),0,IF($C20=4,OFFSET(H20,-CFF.NumLinha,0)+1,OFFSET(H20,-CFF.NumLinha,0)))</f>
        <v>0</v>
      </c>
      <c r="I20" s="93">
        <f ca="1">MATCH(0,OFFSET($D20,1,$C20,ROW($A$435)-ROW($A20)),0)</f>
        <v>415</v>
      </c>
      <c r="J20" s="93">
        <f ca="1">MATCH(OFFSET($D20,0,$C20)+1,OFFSET($D20,1,$C20,ROW($A$435)-ROW($A20)),0)</f>
        <v>12</v>
      </c>
      <c r="K20" s="94">
        <f ca="1">ROUND(INDEX(PO!U$11:U$1504,MATCH($A20,PO!$W$11:$W$1504,0)),2)+10^-12</f>
        <v>34841.49</v>
      </c>
      <c r="L20" s="270"/>
      <c r="M20" s="272"/>
      <c r="N20" s="274"/>
      <c r="O20" s="115" t="s">
        <v>7</v>
      </c>
      <c r="P20" s="108">
        <f t="shared" ref="P20:W20" ca="1" si="8">IF($B20,ROUND(P19*$N18,2),ROUND(SUMIF(OFFSET($B20,1,0,$D20),TRUE,OFFSET(P20,1,0,$D20))/SUMIF(OFFSET($B20,1,0,$D20),TRUE,OFFSET($K20,1,0,$D20))*$N18,2))</f>
        <v>34841.49</v>
      </c>
      <c r="Q20" s="78">
        <f t="shared" ca="1" si="8"/>
        <v>34841.49</v>
      </c>
      <c r="R20" s="78">
        <f t="shared" ca="1" si="8"/>
        <v>34841.49</v>
      </c>
      <c r="S20" s="78">
        <f t="shared" ca="1" si="8"/>
        <v>34841.49</v>
      </c>
      <c r="T20" s="78">
        <f t="shared" ca="1" si="8"/>
        <v>34841.49</v>
      </c>
      <c r="U20" s="78">
        <f t="shared" ca="1" si="8"/>
        <v>34841.49</v>
      </c>
      <c r="V20" s="78">
        <f t="shared" ca="1" si="8"/>
        <v>34841.49</v>
      </c>
      <c r="W20" s="118">
        <f t="shared" ca="1" si="8"/>
        <v>34841.49</v>
      </c>
      <c r="X20" s="105"/>
    </row>
    <row r="21" spans="1:24" customFormat="1" ht="14.25" customHeight="1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269" t="str">
        <f ca="1">INDEX(PO!K$11:K$1504,MATCH($A23,PO!$W$11:$W$1504,0))</f>
        <v>1.1.</v>
      </c>
      <c r="M21" s="271" t="str">
        <f ca="1">INDEX(PO!O$11:O$1504,MATCH($A23,PO!$W$11:$W$1504,0))</f>
        <v>Atividade 01 - Reunião Ampliada Apresentação do Projeto de Trabalho Social Bairro: Parque São João e região</v>
      </c>
      <c r="N21" s="273">
        <f ca="1">IF(ROUND(K23,2)=0,K23,ROUND(K23,2))</f>
        <v>16695.900000000001</v>
      </c>
      <c r="O21" s="113" t="s">
        <v>33</v>
      </c>
      <c r="P21" s="112">
        <v>1</v>
      </c>
      <c r="Q21" s="59"/>
      <c r="R21" s="59"/>
      <c r="S21" s="59"/>
      <c r="T21" s="59"/>
      <c r="U21" s="59"/>
      <c r="V21" s="59"/>
      <c r="W21" s="59"/>
      <c r="X21" s="105"/>
    </row>
    <row r="22" spans="1:24" customFormat="1" ht="14.25">
      <c r="A22" s="93"/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270"/>
      <c r="M22" s="272"/>
      <c r="N22" s="274"/>
      <c r="O22" s="79" t="s">
        <v>35</v>
      </c>
      <c r="P22" s="107">
        <f t="shared" ref="P22:W22" ca="1" si="9">MIN(IF($B23,P21+IF(ISNUMBER(O22),O22,0),P23/$N21),1)</f>
        <v>1</v>
      </c>
      <c r="Q22" s="77">
        <f t="shared" ca="1" si="9"/>
        <v>1</v>
      </c>
      <c r="R22" s="77">
        <f t="shared" ca="1" si="9"/>
        <v>1</v>
      </c>
      <c r="S22" s="77">
        <f t="shared" ca="1" si="9"/>
        <v>1</v>
      </c>
      <c r="T22" s="77">
        <f t="shared" ca="1" si="9"/>
        <v>1</v>
      </c>
      <c r="U22" s="77">
        <f t="shared" ca="1" si="9"/>
        <v>1</v>
      </c>
      <c r="V22" s="77">
        <f t="shared" ca="1" si="9"/>
        <v>1</v>
      </c>
      <c r="W22" s="77">
        <f t="shared" ca="1" si="9"/>
        <v>1</v>
      </c>
      <c r="X22" s="105"/>
    </row>
    <row r="23" spans="1:24" customFormat="1" ht="14.25">
      <c r="A23" s="93">
        <f ca="1">OFFSET(A23,-CFF.NumLinha,0)+1</f>
        <v>2</v>
      </c>
      <c r="B23" s="93" t="b">
        <f ca="1">$C23&gt;=OFFSET($C23,CFF.NumLinha,0)</f>
        <v>1</v>
      </c>
      <c r="C23" s="93">
        <f ca="1">INDEX(PO!A$11:A$1504,MATCH($A23,PO!$W$11:$W$1504,0))</f>
        <v>2</v>
      </c>
      <c r="D23" s="93">
        <f ca="1">IF(ISERROR(J23),I23,SMALL(I23:J23,1))-1</f>
        <v>2</v>
      </c>
      <c r="E23" s="93">
        <f ca="1">IF($C23=1,OFFSET(E23,-CFF.NumLinha,0)+1,OFFSET(E23,-CFF.NumLinha,0))</f>
        <v>1</v>
      </c>
      <c r="F23" s="93">
        <f ca="1">IF($C23=1,0,IF($C23=2,OFFSET(F23,-CFF.NumLinha,0)+1,OFFSET(F23,-CFF.NumLinha,0)))</f>
        <v>1</v>
      </c>
      <c r="G23" s="93">
        <f ca="1">IF(AND($C23&lt;=2,$C23&lt;&gt;0),0,IF($C23=3,OFFSET(G23,-CFF.NumLinha,0)+1,OFFSET(G23,-CFF.NumLinha,0)))</f>
        <v>0</v>
      </c>
      <c r="H23" s="93">
        <f ca="1">IF(AND($C23&lt;=3,$C23&lt;&gt;0),0,IF($C23=4,OFFSET(H23,-CFF.NumLinha,0)+1,OFFSET(H23,-CFF.NumLinha,0)))</f>
        <v>0</v>
      </c>
      <c r="I23" s="93">
        <f ca="1">MATCH(0,OFFSET($D23,1,$C23,ROW($A$435)-ROW($A23)),0)</f>
        <v>9</v>
      </c>
      <c r="J23" s="93">
        <f ca="1">MATCH(OFFSET($D23,0,$C23)+1,OFFSET($D23,1,$C23,ROW($A$435)-ROW($A23)),0)</f>
        <v>3</v>
      </c>
      <c r="K23" s="94">
        <f ca="1">ROUND(INDEX(PO!U$11:U$1504,MATCH($A23,PO!$W$11:$W$1504,0)),2)+10^-12</f>
        <v>16695.900000000001</v>
      </c>
      <c r="L23" s="270"/>
      <c r="M23" s="272"/>
      <c r="N23" s="274"/>
      <c r="O23" s="115" t="s">
        <v>7</v>
      </c>
      <c r="P23" s="108">
        <f t="shared" ref="P23:W23" ca="1" si="10">IF($B23,ROUND(P22*$N21,2),ROUND(SUMIF(OFFSET($B23,1,0,$D23),TRUE,OFFSET(P23,1,0,$D23))/SUMIF(OFFSET($B23,1,0,$D23),TRUE,OFFSET($K23,1,0,$D23))*$N21,2))</f>
        <v>16695.900000000001</v>
      </c>
      <c r="Q23" s="78">
        <f t="shared" ca="1" si="10"/>
        <v>16695.900000000001</v>
      </c>
      <c r="R23" s="78">
        <f t="shared" ca="1" si="10"/>
        <v>16695.900000000001</v>
      </c>
      <c r="S23" s="78">
        <f t="shared" ca="1" si="10"/>
        <v>16695.900000000001</v>
      </c>
      <c r="T23" s="78">
        <f t="shared" ca="1" si="10"/>
        <v>16695.900000000001</v>
      </c>
      <c r="U23" s="78">
        <f t="shared" ca="1" si="10"/>
        <v>16695.900000000001</v>
      </c>
      <c r="V23" s="78">
        <f t="shared" ca="1" si="10"/>
        <v>16695.900000000001</v>
      </c>
      <c r="W23" s="118">
        <f t="shared" ca="1" si="10"/>
        <v>16695.900000000001</v>
      </c>
      <c r="X23" s="105"/>
    </row>
    <row r="24" spans="1:24" customFormat="1" ht="14.25" customHeight="1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269" t="str">
        <f ca="1">INDEX(PO!K$11:K$1504,MATCH($A26,PO!$W$11:$W$1504,0))</f>
        <v>1.2.</v>
      </c>
      <c r="M24" s="271" t="str">
        <f ca="1">INDEX(PO!O$11:O$1504,MATCH($A26,PO!$W$11:$W$1504,0))</f>
        <v>Atividade 02 - Reunião Ampliada Apresentação do Projeto de Trabalho Social Bairro: Jardim Ikaraí</v>
      </c>
      <c r="N24" s="273">
        <f ca="1">IF(ROUND(K26,2)=0,K26,ROUND(K26,2))</f>
        <v>9649.6</v>
      </c>
      <c r="O24" s="113" t="s">
        <v>33</v>
      </c>
      <c r="P24" s="112">
        <v>1</v>
      </c>
      <c r="Q24" s="59"/>
      <c r="R24" s="59"/>
      <c r="S24" s="59"/>
      <c r="T24" s="59"/>
      <c r="U24" s="59"/>
      <c r="V24" s="59"/>
      <c r="W24" s="59"/>
      <c r="X24" s="105"/>
    </row>
    <row r="25" spans="1:24" customFormat="1" ht="14.25">
      <c r="A25" s="93"/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270"/>
      <c r="M25" s="272"/>
      <c r="N25" s="274"/>
      <c r="O25" s="79" t="s">
        <v>35</v>
      </c>
      <c r="P25" s="107">
        <f t="shared" ref="P25:W25" ca="1" si="11">MIN(IF($B26,P24+IF(ISNUMBER(O25),O25,0),P26/$N24),1)</f>
        <v>1</v>
      </c>
      <c r="Q25" s="77">
        <f t="shared" ca="1" si="11"/>
        <v>1</v>
      </c>
      <c r="R25" s="77">
        <f t="shared" ca="1" si="11"/>
        <v>1</v>
      </c>
      <c r="S25" s="77">
        <f t="shared" ca="1" si="11"/>
        <v>1</v>
      </c>
      <c r="T25" s="77">
        <f t="shared" ca="1" si="11"/>
        <v>1</v>
      </c>
      <c r="U25" s="77">
        <f t="shared" ca="1" si="11"/>
        <v>1</v>
      </c>
      <c r="V25" s="77">
        <f t="shared" ca="1" si="11"/>
        <v>1</v>
      </c>
      <c r="W25" s="77">
        <f t="shared" ca="1" si="11"/>
        <v>1</v>
      </c>
      <c r="X25" s="105"/>
    </row>
    <row r="26" spans="1:24" customFormat="1" ht="27.75" customHeight="1">
      <c r="A26" s="93">
        <f ca="1">OFFSET(A26,-CFF.NumLinha,0)+1</f>
        <v>3</v>
      </c>
      <c r="B26" s="93" t="b">
        <f ca="1">$C26&gt;=OFFSET($C26,CFF.NumLinha,0)</f>
        <v>1</v>
      </c>
      <c r="C26" s="93">
        <f ca="1">INDEX(PO!A$11:A$1504,MATCH($A26,PO!$W$11:$W$1504,0))</f>
        <v>2</v>
      </c>
      <c r="D26" s="93">
        <f ca="1">IF(ISERROR(J26),I26,SMALL(I26:J26,1))-1</f>
        <v>2</v>
      </c>
      <c r="E26" s="93">
        <f ca="1">IF($C26=1,OFFSET(E26,-CFF.NumLinha,0)+1,OFFSET(E26,-CFF.NumLinha,0))</f>
        <v>1</v>
      </c>
      <c r="F26" s="93">
        <f ca="1">IF($C26=1,0,IF($C26=2,OFFSET(F26,-CFF.NumLinha,0)+1,OFFSET(F26,-CFF.NumLinha,0)))</f>
        <v>2</v>
      </c>
      <c r="G26" s="93">
        <f ca="1">IF(AND($C26&lt;=2,$C26&lt;&gt;0),0,IF($C26=3,OFFSET(G26,-CFF.NumLinha,0)+1,OFFSET(G26,-CFF.NumLinha,0)))</f>
        <v>0</v>
      </c>
      <c r="H26" s="93">
        <f ca="1">IF(AND($C26&lt;=3,$C26&lt;&gt;0),0,IF($C26=4,OFFSET(H26,-CFF.NumLinha,0)+1,OFFSET(H26,-CFF.NumLinha,0)))</f>
        <v>0</v>
      </c>
      <c r="I26" s="93">
        <f ca="1">MATCH(0,OFFSET($D26,1,$C26,ROW($A$435)-ROW($A26)),0)</f>
        <v>6</v>
      </c>
      <c r="J26" s="93">
        <f ca="1">MATCH(OFFSET($D26,0,$C26)+1,OFFSET($D26,1,$C26,ROW($A$435)-ROW($A26)),0)</f>
        <v>3</v>
      </c>
      <c r="K26" s="94">
        <f ca="1">ROUND(INDEX(PO!U$11:U$1504,MATCH($A26,PO!$W$11:$W$1504,0)),2)+10^-12</f>
        <v>9649.6000000000022</v>
      </c>
      <c r="L26" s="270"/>
      <c r="M26" s="272"/>
      <c r="N26" s="274"/>
      <c r="O26" s="115" t="s">
        <v>7</v>
      </c>
      <c r="P26" s="108">
        <f t="shared" ref="P26:W26" ca="1" si="12">IF($B26,ROUND(P25*$N24,2),ROUND(SUMIF(OFFSET($B26,1,0,$D26),TRUE,OFFSET(P26,1,0,$D26))/SUMIF(OFFSET($B26,1,0,$D26),TRUE,OFFSET($K26,1,0,$D26))*$N24,2))</f>
        <v>9649.6</v>
      </c>
      <c r="Q26" s="78">
        <f t="shared" ca="1" si="12"/>
        <v>9649.6</v>
      </c>
      <c r="R26" s="78">
        <f t="shared" ca="1" si="12"/>
        <v>9649.6</v>
      </c>
      <c r="S26" s="78">
        <f t="shared" ca="1" si="12"/>
        <v>9649.6</v>
      </c>
      <c r="T26" s="78">
        <f t="shared" ca="1" si="12"/>
        <v>9649.6</v>
      </c>
      <c r="U26" s="78">
        <f t="shared" ca="1" si="12"/>
        <v>9649.6</v>
      </c>
      <c r="V26" s="78">
        <f t="shared" ca="1" si="12"/>
        <v>9649.6</v>
      </c>
      <c r="W26" s="118">
        <f t="shared" ca="1" si="12"/>
        <v>9649.6</v>
      </c>
      <c r="X26" s="105"/>
    </row>
    <row r="27" spans="1:24" customFormat="1" ht="14.25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269" t="str">
        <f ca="1">INDEX(PO!K$11:K$1504,MATCH($A29,PO!$W$11:$W$1504,0))</f>
        <v>1.3.</v>
      </c>
      <c r="M27" s="271" t="str">
        <f ca="1">INDEX(PO!O$11:O$1504,MATCH($A29,PO!$W$11:$W$1504,0))</f>
        <v>Atividade 03 - Reunião Ampliada Apresentação do Projeto de Trabalho Social Bairro: Frutal de Minas e Jardim Paula II</v>
      </c>
      <c r="N27" s="273">
        <f ca="1">IF(ROUND(K29,2)=0,K29,ROUND(K29,2))</f>
        <v>8495.99</v>
      </c>
      <c r="O27" s="113" t="s">
        <v>33</v>
      </c>
      <c r="P27" s="112">
        <v>1</v>
      </c>
      <c r="Q27" s="59"/>
      <c r="R27" s="59"/>
      <c r="S27" s="59"/>
      <c r="T27" s="59"/>
      <c r="U27" s="59"/>
      <c r="V27" s="59"/>
      <c r="W27" s="59"/>
      <c r="X27" s="105"/>
    </row>
    <row r="28" spans="1:24" customFormat="1" ht="14.25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270"/>
      <c r="M28" s="272"/>
      <c r="N28" s="274"/>
      <c r="O28" s="79" t="s">
        <v>35</v>
      </c>
      <c r="P28" s="107">
        <f t="shared" ref="P28:W28" ca="1" si="13">MIN(IF($B29,P27+IF(ISNUMBER(O28),O28,0),P29/$N27),1)</f>
        <v>1</v>
      </c>
      <c r="Q28" s="77">
        <f t="shared" ca="1" si="13"/>
        <v>1</v>
      </c>
      <c r="R28" s="77">
        <f t="shared" ca="1" si="13"/>
        <v>1</v>
      </c>
      <c r="S28" s="77">
        <f t="shared" ca="1" si="13"/>
        <v>1</v>
      </c>
      <c r="T28" s="77">
        <f t="shared" ca="1" si="13"/>
        <v>1</v>
      </c>
      <c r="U28" s="77">
        <f t="shared" ca="1" si="13"/>
        <v>1</v>
      </c>
      <c r="V28" s="77">
        <f t="shared" ca="1" si="13"/>
        <v>1</v>
      </c>
      <c r="W28" s="77">
        <f t="shared" ca="1" si="13"/>
        <v>1</v>
      </c>
      <c r="X28" s="105"/>
    </row>
    <row r="29" spans="1:24" customFormat="1" ht="14.25">
      <c r="A29" s="93">
        <f ca="1">OFFSET(A29,-CFF.NumLinha,0)+1</f>
        <v>4</v>
      </c>
      <c r="B29" s="93" t="b">
        <f ca="1">$C29&gt;=OFFSET($C29,CFF.NumLinha,0)</f>
        <v>1</v>
      </c>
      <c r="C29" s="93">
        <f ca="1">INDEX(PO!A$11:A$1504,MATCH($A29,PO!$W$11:$W$1504,0))</f>
        <v>2</v>
      </c>
      <c r="D29" s="93">
        <f ca="1">IF(ISERROR(J29),I29,SMALL(I29:J29,1))-1</f>
        <v>2</v>
      </c>
      <c r="E29" s="93">
        <f ca="1">IF($C29=1,OFFSET(E29,-CFF.NumLinha,0)+1,OFFSET(E29,-CFF.NumLinha,0))</f>
        <v>1</v>
      </c>
      <c r="F29" s="93">
        <f ca="1">IF($C29=1,0,IF($C29=2,OFFSET(F29,-CFF.NumLinha,0)+1,OFFSET(F29,-CFF.NumLinha,0)))</f>
        <v>3</v>
      </c>
      <c r="G29" s="93">
        <f ca="1">IF(AND($C29&lt;=2,$C29&lt;&gt;0),0,IF($C29=3,OFFSET(G29,-CFF.NumLinha,0)+1,OFFSET(G29,-CFF.NumLinha,0)))</f>
        <v>0</v>
      </c>
      <c r="H29" s="93">
        <f ca="1">IF(AND($C29&lt;=3,$C29&lt;&gt;0),0,IF($C29=4,OFFSET(H29,-CFF.NumLinha,0)+1,OFFSET(H29,-CFF.NumLinha,0)))</f>
        <v>0</v>
      </c>
      <c r="I29" s="93">
        <f ca="1">MATCH(0,OFFSET($D29,1,$C29,ROW($A$435)-ROW($A29)),0)</f>
        <v>3</v>
      </c>
      <c r="J29" s="93">
        <f ca="1">MATCH(OFFSET($D29,0,$C29)+1,OFFSET($D29,1,$C29,ROW($A$435)-ROW($A29)),0)</f>
        <v>15</v>
      </c>
      <c r="K29" s="94">
        <f ca="1">ROUND(INDEX(PO!U$11:U$1504,MATCH($A29,PO!$W$11:$W$1504,0)),2)+10^-12</f>
        <v>8495.9900000000016</v>
      </c>
      <c r="L29" s="270"/>
      <c r="M29" s="272"/>
      <c r="N29" s="274"/>
      <c r="O29" s="115" t="s">
        <v>7</v>
      </c>
      <c r="P29" s="108">
        <f t="shared" ref="P29:W29" ca="1" si="14">IF($B29,ROUND(P28*$N27,2),ROUND(SUMIF(OFFSET($B29,1,0,$D29),TRUE,OFFSET(P29,1,0,$D29))/SUMIF(OFFSET($B29,1,0,$D29),TRUE,OFFSET($K29,1,0,$D29))*$N27,2))</f>
        <v>8495.99</v>
      </c>
      <c r="Q29" s="78">
        <f t="shared" ca="1" si="14"/>
        <v>8495.99</v>
      </c>
      <c r="R29" s="78">
        <f t="shared" ca="1" si="14"/>
        <v>8495.99</v>
      </c>
      <c r="S29" s="78">
        <f t="shared" ca="1" si="14"/>
        <v>8495.99</v>
      </c>
      <c r="T29" s="78">
        <f t="shared" ca="1" si="14"/>
        <v>8495.99</v>
      </c>
      <c r="U29" s="78">
        <f t="shared" ca="1" si="14"/>
        <v>8495.99</v>
      </c>
      <c r="V29" s="78">
        <f t="shared" ca="1" si="14"/>
        <v>8495.99</v>
      </c>
      <c r="W29" s="118">
        <f t="shared" ca="1" si="14"/>
        <v>8495.99</v>
      </c>
      <c r="X29" s="105"/>
    </row>
    <row r="30" spans="1:24" customFormat="1" ht="14.25" customHeight="1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269" t="str">
        <f ca="1">INDEX(PO!K$11:K$1504,MATCH($A32,PO!$W$11:$W$1504,0))</f>
        <v>2.</v>
      </c>
      <c r="M30" s="271" t="str">
        <f ca="1">INDEX(PO!O$11:O$1504,MATCH($A32,PO!$W$11:$W$1504,0))</f>
        <v>MÊS 02 - INFORMAÇÕES/PALESTRAS</v>
      </c>
      <c r="N30" s="273">
        <f ca="1">IF(ROUND(K32,2)=0,K32,ROUND(K32,2))</f>
        <v>39171.64</v>
      </c>
      <c r="O30" s="113" t="s">
        <v>33</v>
      </c>
      <c r="P30" s="112"/>
      <c r="Q30" s="59">
        <f ca="1">IF($B32,0,Q31-IF(ISNUMBER(P31),P31,0))</f>
        <v>1</v>
      </c>
      <c r="R30" s="59"/>
      <c r="S30" s="59"/>
      <c r="T30" s="59"/>
      <c r="U30" s="59"/>
      <c r="V30" s="59"/>
      <c r="W30" s="59"/>
      <c r="X30" s="105"/>
    </row>
    <row r="31" spans="1:24" customFormat="1" ht="14.25">
      <c r="A31" s="93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270"/>
      <c r="M31" s="272"/>
      <c r="N31" s="274"/>
      <c r="O31" s="79" t="s">
        <v>35</v>
      </c>
      <c r="P31" s="107">
        <f t="shared" ref="P31:W31" ca="1" si="15">MIN(IF($B32,P30+IF(ISNUMBER(O31),O31,0),P32/$N30),1)</f>
        <v>0</v>
      </c>
      <c r="Q31" s="77">
        <f t="shared" ca="1" si="15"/>
        <v>1</v>
      </c>
      <c r="R31" s="77">
        <f t="shared" ca="1" si="15"/>
        <v>1</v>
      </c>
      <c r="S31" s="77">
        <f t="shared" ca="1" si="15"/>
        <v>1</v>
      </c>
      <c r="T31" s="77">
        <f t="shared" ca="1" si="15"/>
        <v>1</v>
      </c>
      <c r="U31" s="77">
        <f t="shared" ca="1" si="15"/>
        <v>1</v>
      </c>
      <c r="V31" s="77">
        <f t="shared" ca="1" si="15"/>
        <v>1</v>
      </c>
      <c r="W31" s="77">
        <f t="shared" ca="1" si="15"/>
        <v>1</v>
      </c>
      <c r="X31" s="105"/>
    </row>
    <row r="32" spans="1:24" customFormat="1" ht="14.25">
      <c r="A32" s="93">
        <f ca="1">OFFSET(A32,-CFF.NumLinha,0)+1</f>
        <v>5</v>
      </c>
      <c r="B32" s="93" t="b">
        <f ca="1">$C32&gt;=OFFSET($C32,CFF.NumLinha,0)</f>
        <v>0</v>
      </c>
      <c r="C32" s="93">
        <f ca="1">INDEX(PO!A$11:A$1504,MATCH($A32,PO!$W$11:$W$1504,0))</f>
        <v>1</v>
      </c>
      <c r="D32" s="93">
        <f ca="1">IF(ISERROR(J32),I32,SMALL(I32:J32,1))-1</f>
        <v>23</v>
      </c>
      <c r="E32" s="93">
        <f ca="1">IF($C32=1,OFFSET(E32,-CFF.NumLinha,0)+1,OFFSET(E32,-CFF.NumLinha,0))</f>
        <v>2</v>
      </c>
      <c r="F32" s="93">
        <f ca="1">IF($C32=1,0,IF($C32=2,OFFSET(F32,-CFF.NumLinha,0)+1,OFFSET(F32,-CFF.NumLinha,0)))</f>
        <v>0</v>
      </c>
      <c r="G32" s="93">
        <f ca="1">IF(AND($C32&lt;=2,$C32&lt;&gt;0),0,IF($C32=3,OFFSET(G32,-CFF.NumLinha,0)+1,OFFSET(G32,-CFF.NumLinha,0)))</f>
        <v>0</v>
      </c>
      <c r="H32" s="93">
        <f ca="1">IF(AND($C32&lt;=3,$C32&lt;&gt;0),0,IF($C32=4,OFFSET(H32,-CFF.NumLinha,0)+1,OFFSET(H32,-CFF.NumLinha,0)))</f>
        <v>0</v>
      </c>
      <c r="I32" s="93">
        <f ca="1">MATCH(0,OFFSET($D32,1,$C32,ROW($A$435)-ROW($A32)),0)</f>
        <v>403</v>
      </c>
      <c r="J32" s="93">
        <f ca="1">MATCH(OFFSET($D32,0,$C32)+1,OFFSET($D32,1,$C32,ROW($A$435)-ROW($A32)),0)</f>
        <v>24</v>
      </c>
      <c r="K32" s="94">
        <f ca="1">ROUND(INDEX(PO!U$11:U$1504,MATCH($A32,PO!$W$11:$W$1504,0)),2)+10^-12</f>
        <v>39171.64</v>
      </c>
      <c r="L32" s="270"/>
      <c r="M32" s="272"/>
      <c r="N32" s="274"/>
      <c r="O32" s="115" t="s">
        <v>7</v>
      </c>
      <c r="P32" s="108">
        <f t="shared" ref="P32:W32" ca="1" si="16">IF($B32,ROUND(P31*$N30,2),ROUND(SUMIF(OFFSET($B32,1,0,$D32),TRUE,OFFSET(P32,1,0,$D32))/SUMIF(OFFSET($B32,1,0,$D32),TRUE,OFFSET($K32,1,0,$D32))*$N30,2))</f>
        <v>0</v>
      </c>
      <c r="Q32" s="78">
        <f t="shared" ca="1" si="16"/>
        <v>39171.64</v>
      </c>
      <c r="R32" s="78">
        <f t="shared" ca="1" si="16"/>
        <v>39171.64</v>
      </c>
      <c r="S32" s="78">
        <f t="shared" ca="1" si="16"/>
        <v>39171.64</v>
      </c>
      <c r="T32" s="78">
        <f t="shared" ca="1" si="16"/>
        <v>39171.64</v>
      </c>
      <c r="U32" s="78">
        <f t="shared" ca="1" si="16"/>
        <v>39171.64</v>
      </c>
      <c r="V32" s="78">
        <f t="shared" ca="1" si="16"/>
        <v>39171.64</v>
      </c>
      <c r="W32" s="118">
        <f t="shared" ca="1" si="16"/>
        <v>39171.64</v>
      </c>
      <c r="X32" s="105"/>
    </row>
    <row r="33" spans="1:24" customFormat="1" ht="14.25" customHeight="1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269" t="str">
        <f ca="1">INDEX(PO!K$11:K$1504,MATCH($A35,PO!$W$11:$W$1504,0))</f>
        <v>2.1.</v>
      </c>
      <c r="M33" s="271" t="str">
        <f ca="1">INDEX(PO!O$11:O$1504,MATCH($A35,PO!$W$11:$W$1504,0))</f>
        <v>Atividade 04 - Palestra: Mobilidade Urbana da área de intervenção do Parque São João</v>
      </c>
      <c r="N33" s="273">
        <f ca="1">IF(ROUND(K35,2)=0,K35,ROUND(K35,2))</f>
        <v>11360.31</v>
      </c>
      <c r="O33" s="113" t="s">
        <v>33</v>
      </c>
      <c r="P33" s="112"/>
      <c r="Q33" s="59">
        <v>1</v>
      </c>
      <c r="R33" s="59"/>
      <c r="S33" s="59"/>
      <c r="T33" s="59"/>
      <c r="U33" s="59"/>
      <c r="V33" s="59"/>
      <c r="W33" s="59"/>
      <c r="X33" s="105"/>
    </row>
    <row r="34" spans="1:24" customFormat="1" ht="14.25">
      <c r="A34" s="93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270"/>
      <c r="M34" s="272"/>
      <c r="N34" s="274"/>
      <c r="O34" s="79" t="s">
        <v>35</v>
      </c>
      <c r="P34" s="107">
        <f t="shared" ref="P34:W34" ca="1" si="17">MIN(IF($B35,P33+IF(ISNUMBER(O34),O34,0),P35/$N33),1)</f>
        <v>0</v>
      </c>
      <c r="Q34" s="77">
        <f t="shared" ca="1" si="17"/>
        <v>1</v>
      </c>
      <c r="R34" s="77">
        <f t="shared" ca="1" si="17"/>
        <v>1</v>
      </c>
      <c r="S34" s="77">
        <f t="shared" ca="1" si="17"/>
        <v>1</v>
      </c>
      <c r="T34" s="77">
        <f t="shared" ca="1" si="17"/>
        <v>1</v>
      </c>
      <c r="U34" s="77">
        <f t="shared" ca="1" si="17"/>
        <v>1</v>
      </c>
      <c r="V34" s="77">
        <f t="shared" ca="1" si="17"/>
        <v>1</v>
      </c>
      <c r="W34" s="77">
        <f t="shared" ca="1" si="17"/>
        <v>1</v>
      </c>
      <c r="X34" s="105"/>
    </row>
    <row r="35" spans="1:24" customFormat="1" ht="14.25">
      <c r="A35" s="93">
        <f ca="1">OFFSET(A35,-CFF.NumLinha,0)+1</f>
        <v>6</v>
      </c>
      <c r="B35" s="93" t="b">
        <f ca="1">$C35&gt;=OFFSET($C35,CFF.NumLinha,0)</f>
        <v>1</v>
      </c>
      <c r="C35" s="93">
        <f ca="1">INDEX(PO!A$11:A$1504,MATCH($A35,PO!$W$11:$W$1504,0))</f>
        <v>2</v>
      </c>
      <c r="D35" s="93">
        <f ca="1">IF(ISERROR(J35),I35,SMALL(I35:J35,1))-1</f>
        <v>2</v>
      </c>
      <c r="E35" s="93">
        <f ca="1">IF($C35=1,OFFSET(E35,-CFF.NumLinha,0)+1,OFFSET(E35,-CFF.NumLinha,0))</f>
        <v>2</v>
      </c>
      <c r="F35" s="93">
        <f ca="1">IF($C35=1,0,IF($C35=2,OFFSET(F35,-CFF.NumLinha,0)+1,OFFSET(F35,-CFF.NumLinha,0)))</f>
        <v>1</v>
      </c>
      <c r="G35" s="93">
        <f ca="1">IF(AND($C35&lt;=2,$C35&lt;&gt;0),0,IF($C35=3,OFFSET(G35,-CFF.NumLinha,0)+1,OFFSET(G35,-CFF.NumLinha,0)))</f>
        <v>0</v>
      </c>
      <c r="H35" s="93">
        <f ca="1">IF(AND($C35&lt;=3,$C35&lt;&gt;0),0,IF($C35=4,OFFSET(H35,-CFF.NumLinha,0)+1,OFFSET(H35,-CFF.NumLinha,0)))</f>
        <v>0</v>
      </c>
      <c r="I35" s="93">
        <f ca="1">MATCH(0,OFFSET($D35,1,$C35,ROW($A$435)-ROW($A35)),0)</f>
        <v>21</v>
      </c>
      <c r="J35" s="93">
        <f ca="1">MATCH(OFFSET($D35,0,$C35)+1,OFFSET($D35,1,$C35,ROW($A$435)-ROW($A35)),0)</f>
        <v>3</v>
      </c>
      <c r="K35" s="94">
        <f ca="1">ROUND(INDEX(PO!U$11:U$1504,MATCH($A35,PO!$W$11:$W$1504,0)),2)+10^-12</f>
        <v>11360.310000000001</v>
      </c>
      <c r="L35" s="270"/>
      <c r="M35" s="272"/>
      <c r="N35" s="274"/>
      <c r="O35" s="115" t="s">
        <v>7</v>
      </c>
      <c r="P35" s="108">
        <f t="shared" ref="P35:W35" ca="1" si="18">IF($B35,ROUND(P34*$N33,2),ROUND(SUMIF(OFFSET($B35,1,0,$D35),TRUE,OFFSET(P35,1,0,$D35))/SUMIF(OFFSET($B35,1,0,$D35),TRUE,OFFSET($K35,1,0,$D35))*$N33,2))</f>
        <v>0</v>
      </c>
      <c r="Q35" s="78">
        <f t="shared" ca="1" si="18"/>
        <v>11360.31</v>
      </c>
      <c r="R35" s="78">
        <f t="shared" ca="1" si="18"/>
        <v>11360.31</v>
      </c>
      <c r="S35" s="78">
        <f t="shared" ca="1" si="18"/>
        <v>11360.31</v>
      </c>
      <c r="T35" s="78">
        <f t="shared" ca="1" si="18"/>
        <v>11360.31</v>
      </c>
      <c r="U35" s="78">
        <f t="shared" ca="1" si="18"/>
        <v>11360.31</v>
      </c>
      <c r="V35" s="78">
        <f t="shared" ca="1" si="18"/>
        <v>11360.31</v>
      </c>
      <c r="W35" s="118">
        <f t="shared" ca="1" si="18"/>
        <v>11360.31</v>
      </c>
      <c r="X35" s="105"/>
    </row>
    <row r="36" spans="1:24" customFormat="1" ht="14.25" customHeight="1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269" t="str">
        <f ca="1">INDEX(PO!K$11:K$1504,MATCH($A38,PO!$W$11:$W$1504,0))</f>
        <v>2.2.</v>
      </c>
      <c r="M36" s="271" t="str">
        <f ca="1">INDEX(PO!O$11:O$1504,MATCH($A38,PO!$W$11:$W$1504,0))</f>
        <v>Atividade 05 -Oficina para melhor idade: Região Parque São João</v>
      </c>
      <c r="N36" s="273">
        <f ca="1">IF(ROUND(K38,2)=0,K38,ROUND(K38,2))</f>
        <v>3783.24</v>
      </c>
      <c r="O36" s="113" t="s">
        <v>33</v>
      </c>
      <c r="P36" s="112"/>
      <c r="Q36" s="59">
        <v>1</v>
      </c>
      <c r="R36" s="59"/>
      <c r="S36" s="59"/>
      <c r="T36" s="59"/>
      <c r="U36" s="59"/>
      <c r="V36" s="59"/>
      <c r="W36" s="59"/>
      <c r="X36" s="105"/>
    </row>
    <row r="37" spans="1:24" customFormat="1" ht="14.25">
      <c r="A37" s="93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270"/>
      <c r="M37" s="272"/>
      <c r="N37" s="274"/>
      <c r="O37" s="79" t="s">
        <v>35</v>
      </c>
      <c r="P37" s="107">
        <f t="shared" ref="P37:W37" ca="1" si="19">MIN(IF($B38,P36+IF(ISNUMBER(O37),O37,0),P38/$N36),1)</f>
        <v>0</v>
      </c>
      <c r="Q37" s="77">
        <f t="shared" ca="1" si="19"/>
        <v>1</v>
      </c>
      <c r="R37" s="77">
        <f t="shared" ca="1" si="19"/>
        <v>1</v>
      </c>
      <c r="S37" s="77">
        <f t="shared" ca="1" si="19"/>
        <v>1</v>
      </c>
      <c r="T37" s="77">
        <f t="shared" ca="1" si="19"/>
        <v>1</v>
      </c>
      <c r="U37" s="77">
        <f t="shared" ca="1" si="19"/>
        <v>1</v>
      </c>
      <c r="V37" s="77">
        <f t="shared" ca="1" si="19"/>
        <v>1</v>
      </c>
      <c r="W37" s="77">
        <f t="shared" ca="1" si="19"/>
        <v>1</v>
      </c>
      <c r="X37" s="105"/>
    </row>
    <row r="38" spans="1:24" customFormat="1" ht="14.25">
      <c r="A38" s="93">
        <f ca="1">OFFSET(A38,-CFF.NumLinha,0)+1</f>
        <v>7</v>
      </c>
      <c r="B38" s="93" t="b">
        <f ca="1">$C38&gt;=OFFSET($C38,CFF.NumLinha,0)</f>
        <v>1</v>
      </c>
      <c r="C38" s="93">
        <f ca="1">INDEX(PO!A$11:A$1504,MATCH($A38,PO!$W$11:$W$1504,0))</f>
        <v>2</v>
      </c>
      <c r="D38" s="93">
        <f ca="1">IF(ISERROR(J38),I38,SMALL(I38:J38,1))-1</f>
        <v>2</v>
      </c>
      <c r="E38" s="93">
        <f ca="1">IF($C38=1,OFFSET(E38,-CFF.NumLinha,0)+1,OFFSET(E38,-CFF.NumLinha,0))</f>
        <v>2</v>
      </c>
      <c r="F38" s="93">
        <f ca="1">IF($C38=1,0,IF($C38=2,OFFSET(F38,-CFF.NumLinha,0)+1,OFFSET(F38,-CFF.NumLinha,0)))</f>
        <v>2</v>
      </c>
      <c r="G38" s="93">
        <f ca="1">IF(AND($C38&lt;=2,$C38&lt;&gt;0),0,IF($C38=3,OFFSET(G38,-CFF.NumLinha,0)+1,OFFSET(G38,-CFF.NumLinha,0)))</f>
        <v>0</v>
      </c>
      <c r="H38" s="93">
        <f ca="1">IF(AND($C38&lt;=3,$C38&lt;&gt;0),0,IF($C38=4,OFFSET(H38,-CFF.NumLinha,0)+1,OFFSET(H38,-CFF.NumLinha,0)))</f>
        <v>0</v>
      </c>
      <c r="I38" s="93">
        <f ca="1">MATCH(0,OFFSET($D38,1,$C38,ROW($A$435)-ROW($A38)),0)</f>
        <v>18</v>
      </c>
      <c r="J38" s="93">
        <f ca="1">MATCH(OFFSET($D38,0,$C38)+1,OFFSET($D38,1,$C38,ROW($A$435)-ROW($A38)),0)</f>
        <v>3</v>
      </c>
      <c r="K38" s="94">
        <f ca="1">ROUND(INDEX(PO!U$11:U$1504,MATCH($A38,PO!$W$11:$W$1504,0)),2)+10^-12</f>
        <v>3783.2400000000007</v>
      </c>
      <c r="L38" s="270"/>
      <c r="M38" s="272"/>
      <c r="N38" s="274"/>
      <c r="O38" s="115" t="s">
        <v>7</v>
      </c>
      <c r="P38" s="108">
        <f t="shared" ref="P38:W38" ca="1" si="20">IF($B38,ROUND(P37*$N36,2),ROUND(SUMIF(OFFSET($B38,1,0,$D38),TRUE,OFFSET(P38,1,0,$D38))/SUMIF(OFFSET($B38,1,0,$D38),TRUE,OFFSET($K38,1,0,$D38))*$N36,2))</f>
        <v>0</v>
      </c>
      <c r="Q38" s="78">
        <f t="shared" ca="1" si="20"/>
        <v>3783.24</v>
      </c>
      <c r="R38" s="78">
        <f t="shared" ca="1" si="20"/>
        <v>3783.24</v>
      </c>
      <c r="S38" s="78">
        <f t="shared" ca="1" si="20"/>
        <v>3783.24</v>
      </c>
      <c r="T38" s="78">
        <f t="shared" ca="1" si="20"/>
        <v>3783.24</v>
      </c>
      <c r="U38" s="78">
        <f t="shared" ca="1" si="20"/>
        <v>3783.24</v>
      </c>
      <c r="V38" s="78">
        <f t="shared" ca="1" si="20"/>
        <v>3783.24</v>
      </c>
      <c r="W38" s="118">
        <f t="shared" ca="1" si="20"/>
        <v>3783.24</v>
      </c>
      <c r="X38" s="105"/>
    </row>
    <row r="39" spans="1:24" customFormat="1" ht="14.25" customHeight="1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269" t="str">
        <f ca="1">INDEX(PO!K$11:K$1504,MATCH($A41,PO!$W$11:$W$1504,0))</f>
        <v>2.3.</v>
      </c>
      <c r="M39" s="271" t="str">
        <f ca="1">INDEX(PO!O$11:O$1504,MATCH($A41,PO!$W$11:$W$1504,0))</f>
        <v>Atividade 06 - Visitas domiciliares: Região Parque São João</v>
      </c>
      <c r="N39" s="273">
        <f ca="1">IF(ROUND(K41,2)=0,K41,ROUND(K41,2))</f>
        <v>1958.58</v>
      </c>
      <c r="O39" s="113" t="s">
        <v>33</v>
      </c>
      <c r="P39" s="112"/>
      <c r="Q39" s="59">
        <v>1</v>
      </c>
      <c r="R39" s="59"/>
      <c r="S39" s="59"/>
      <c r="T39" s="59"/>
      <c r="U39" s="59"/>
      <c r="V39" s="59"/>
      <c r="W39" s="59"/>
      <c r="X39" s="105"/>
    </row>
    <row r="40" spans="1:24" customFormat="1" ht="14.25">
      <c r="A40" s="93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270"/>
      <c r="M40" s="272"/>
      <c r="N40" s="274"/>
      <c r="O40" s="79" t="s">
        <v>35</v>
      </c>
      <c r="P40" s="107">
        <f t="shared" ref="P40:W40" ca="1" si="21">MIN(IF($B41,P39+IF(ISNUMBER(O40),O40,0),P41/$N39),1)</f>
        <v>0</v>
      </c>
      <c r="Q40" s="77">
        <f t="shared" ca="1" si="21"/>
        <v>1</v>
      </c>
      <c r="R40" s="77">
        <f t="shared" ca="1" si="21"/>
        <v>1</v>
      </c>
      <c r="S40" s="77">
        <f t="shared" ca="1" si="21"/>
        <v>1</v>
      </c>
      <c r="T40" s="77">
        <f t="shared" ca="1" si="21"/>
        <v>1</v>
      </c>
      <c r="U40" s="77">
        <f t="shared" ca="1" si="21"/>
        <v>1</v>
      </c>
      <c r="V40" s="77">
        <f t="shared" ca="1" si="21"/>
        <v>1</v>
      </c>
      <c r="W40" s="77">
        <f t="shared" ca="1" si="21"/>
        <v>1</v>
      </c>
      <c r="X40" s="105"/>
    </row>
    <row r="41" spans="1:24" customFormat="1" ht="14.25">
      <c r="A41" s="93">
        <f ca="1">OFFSET(A41,-CFF.NumLinha,0)+1</f>
        <v>8</v>
      </c>
      <c r="B41" s="93" t="b">
        <f ca="1">$C41&gt;=OFFSET($C41,CFF.NumLinha,0)</f>
        <v>1</v>
      </c>
      <c r="C41" s="93">
        <f ca="1">INDEX(PO!A$11:A$1504,MATCH($A41,PO!$W$11:$W$1504,0))</f>
        <v>2</v>
      </c>
      <c r="D41" s="93">
        <f ca="1">IF(ISERROR(J41),I41,SMALL(I41:J41,1))-1</f>
        <v>2</v>
      </c>
      <c r="E41" s="93">
        <f ca="1">IF($C41=1,OFFSET(E41,-CFF.NumLinha,0)+1,OFFSET(E41,-CFF.NumLinha,0))</f>
        <v>2</v>
      </c>
      <c r="F41" s="93">
        <f ca="1">IF($C41=1,0,IF($C41=2,OFFSET(F41,-CFF.NumLinha,0)+1,OFFSET(F41,-CFF.NumLinha,0)))</f>
        <v>3</v>
      </c>
      <c r="G41" s="93">
        <f ca="1">IF(AND($C41&lt;=2,$C41&lt;&gt;0),0,IF($C41=3,OFFSET(G41,-CFF.NumLinha,0)+1,OFFSET(G41,-CFF.NumLinha,0)))</f>
        <v>0</v>
      </c>
      <c r="H41" s="93">
        <f ca="1">IF(AND($C41&lt;=3,$C41&lt;&gt;0),0,IF($C41=4,OFFSET(H41,-CFF.NumLinha,0)+1,OFFSET(H41,-CFF.NumLinha,0)))</f>
        <v>0</v>
      </c>
      <c r="I41" s="93">
        <f ca="1">MATCH(0,OFFSET($D41,1,$C41,ROW($A$435)-ROW($A41)),0)</f>
        <v>15</v>
      </c>
      <c r="J41" s="93">
        <f ca="1">MATCH(OFFSET($D41,0,$C41)+1,OFFSET($D41,1,$C41,ROW($A$435)-ROW($A41)),0)</f>
        <v>3</v>
      </c>
      <c r="K41" s="94">
        <f ca="1">ROUND(INDEX(PO!U$11:U$1504,MATCH($A41,PO!$W$11:$W$1504,0)),2)+10^-12</f>
        <v>1958.5800000000008</v>
      </c>
      <c r="L41" s="270"/>
      <c r="M41" s="272"/>
      <c r="N41" s="274"/>
      <c r="O41" s="115" t="s">
        <v>7</v>
      </c>
      <c r="P41" s="108">
        <f t="shared" ref="P41:W41" ca="1" si="22">IF($B41,ROUND(P40*$N39,2),ROUND(SUMIF(OFFSET($B41,1,0,$D41),TRUE,OFFSET(P41,1,0,$D41))/SUMIF(OFFSET($B41,1,0,$D41),TRUE,OFFSET($K41,1,0,$D41))*$N39,2))</f>
        <v>0</v>
      </c>
      <c r="Q41" s="78">
        <f t="shared" ca="1" si="22"/>
        <v>1958.58</v>
      </c>
      <c r="R41" s="78">
        <f t="shared" ca="1" si="22"/>
        <v>1958.58</v>
      </c>
      <c r="S41" s="78">
        <f t="shared" ca="1" si="22"/>
        <v>1958.58</v>
      </c>
      <c r="T41" s="78">
        <f t="shared" ca="1" si="22"/>
        <v>1958.58</v>
      </c>
      <c r="U41" s="78">
        <f t="shared" ca="1" si="22"/>
        <v>1958.58</v>
      </c>
      <c r="V41" s="78">
        <f t="shared" ca="1" si="22"/>
        <v>1958.58</v>
      </c>
      <c r="W41" s="118">
        <f t="shared" ca="1" si="22"/>
        <v>1958.58</v>
      </c>
      <c r="X41" s="105"/>
    </row>
    <row r="42" spans="1:24" customFormat="1" ht="14.25" customHeight="1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269" t="str">
        <f ca="1">INDEX(PO!K$11:K$1504,MATCH($A44,PO!$W$11:$W$1504,0))</f>
        <v>2.4.</v>
      </c>
      <c r="M42" s="271" t="str">
        <f ca="1">INDEX(PO!O$11:O$1504,MATCH($A44,PO!$W$11:$W$1504,0))</f>
        <v>Atividade 07 - Palestra: Mobilidade Urbana: Região Jardim Ikaraí</v>
      </c>
      <c r="N42" s="273">
        <f ca="1">IF(ROUND(K44,2)=0,K44,ROUND(K44,2))</f>
        <v>8721.98</v>
      </c>
      <c r="O42" s="113" t="s">
        <v>33</v>
      </c>
      <c r="P42" s="112"/>
      <c r="Q42" s="59">
        <v>1</v>
      </c>
      <c r="R42" s="59"/>
      <c r="S42" s="59"/>
      <c r="T42" s="59"/>
      <c r="U42" s="59"/>
      <c r="V42" s="59"/>
      <c r="W42" s="59"/>
      <c r="X42" s="105"/>
    </row>
    <row r="43" spans="1:24" customFormat="1" ht="14.25">
      <c r="A43" s="93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270"/>
      <c r="M43" s="272"/>
      <c r="N43" s="274"/>
      <c r="O43" s="79" t="s">
        <v>35</v>
      </c>
      <c r="P43" s="107">
        <f t="shared" ref="P43:W43" ca="1" si="23">MIN(IF($B44,P42+IF(ISNUMBER(O43),O43,0),P44/$N42),1)</f>
        <v>0</v>
      </c>
      <c r="Q43" s="77">
        <f t="shared" ca="1" si="23"/>
        <v>1</v>
      </c>
      <c r="R43" s="77">
        <f t="shared" ca="1" si="23"/>
        <v>1</v>
      </c>
      <c r="S43" s="77">
        <f t="shared" ca="1" si="23"/>
        <v>1</v>
      </c>
      <c r="T43" s="77">
        <f t="shared" ca="1" si="23"/>
        <v>1</v>
      </c>
      <c r="U43" s="77">
        <f t="shared" ca="1" si="23"/>
        <v>1</v>
      </c>
      <c r="V43" s="77">
        <f t="shared" ca="1" si="23"/>
        <v>1</v>
      </c>
      <c r="W43" s="77">
        <f t="shared" ca="1" si="23"/>
        <v>1</v>
      </c>
      <c r="X43" s="105"/>
    </row>
    <row r="44" spans="1:24" customFormat="1" ht="14.25">
      <c r="A44" s="93">
        <f ca="1">OFFSET(A44,-CFF.NumLinha,0)+1</f>
        <v>9</v>
      </c>
      <c r="B44" s="93" t="b">
        <f ca="1">$C44&gt;=OFFSET($C44,CFF.NumLinha,0)</f>
        <v>1</v>
      </c>
      <c r="C44" s="93">
        <f ca="1">INDEX(PO!A$11:A$1504,MATCH($A44,PO!$W$11:$W$1504,0))</f>
        <v>2</v>
      </c>
      <c r="D44" s="93">
        <f ca="1">IF(ISERROR(J44),I44,SMALL(I44:J44,1))-1</f>
        <v>2</v>
      </c>
      <c r="E44" s="93">
        <f ca="1">IF($C44=1,OFFSET(E44,-CFF.NumLinha,0)+1,OFFSET(E44,-CFF.NumLinha,0))</f>
        <v>2</v>
      </c>
      <c r="F44" s="93">
        <f ca="1">IF($C44=1,0,IF($C44=2,OFFSET(F44,-CFF.NumLinha,0)+1,OFFSET(F44,-CFF.NumLinha,0)))</f>
        <v>4</v>
      </c>
      <c r="G44" s="93">
        <f ca="1">IF(AND($C44&lt;=2,$C44&lt;&gt;0),0,IF($C44=3,OFFSET(G44,-CFF.NumLinha,0)+1,OFFSET(G44,-CFF.NumLinha,0)))</f>
        <v>0</v>
      </c>
      <c r="H44" s="93">
        <f ca="1">IF(AND($C44&lt;=3,$C44&lt;&gt;0),0,IF($C44=4,OFFSET(H44,-CFF.NumLinha,0)+1,OFFSET(H44,-CFF.NumLinha,0)))</f>
        <v>0</v>
      </c>
      <c r="I44" s="93">
        <f ca="1">MATCH(0,OFFSET($D44,1,$C44,ROW($A$435)-ROW($A44)),0)</f>
        <v>12</v>
      </c>
      <c r="J44" s="93">
        <f ca="1">MATCH(OFFSET($D44,0,$C44)+1,OFFSET($D44,1,$C44,ROW($A$435)-ROW($A44)),0)</f>
        <v>3</v>
      </c>
      <c r="K44" s="94">
        <f ca="1">ROUND(INDEX(PO!U$11:U$1504,MATCH($A44,PO!$W$11:$W$1504,0)),2)+10^-12</f>
        <v>8721.9800000000014</v>
      </c>
      <c r="L44" s="270"/>
      <c r="M44" s="272"/>
      <c r="N44" s="274"/>
      <c r="O44" s="115" t="s">
        <v>7</v>
      </c>
      <c r="P44" s="108">
        <f t="shared" ref="P44:W44" ca="1" si="24">IF($B44,ROUND(P43*$N42,2),ROUND(SUMIF(OFFSET($B44,1,0,$D44),TRUE,OFFSET(P44,1,0,$D44))/SUMIF(OFFSET($B44,1,0,$D44),TRUE,OFFSET($K44,1,0,$D44))*$N42,2))</f>
        <v>0</v>
      </c>
      <c r="Q44" s="78">
        <f t="shared" ca="1" si="24"/>
        <v>8721.98</v>
      </c>
      <c r="R44" s="78">
        <f t="shared" ca="1" si="24"/>
        <v>8721.98</v>
      </c>
      <c r="S44" s="78">
        <f t="shared" ca="1" si="24"/>
        <v>8721.98</v>
      </c>
      <c r="T44" s="78">
        <f t="shared" ca="1" si="24"/>
        <v>8721.98</v>
      </c>
      <c r="U44" s="78">
        <f t="shared" ca="1" si="24"/>
        <v>8721.98</v>
      </c>
      <c r="V44" s="78">
        <f t="shared" ca="1" si="24"/>
        <v>8721.98</v>
      </c>
      <c r="W44" s="118">
        <f t="shared" ca="1" si="24"/>
        <v>8721.98</v>
      </c>
      <c r="X44" s="105"/>
    </row>
    <row r="45" spans="1:24" customFormat="1" ht="14.25" customHeight="1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269" t="str">
        <f ca="1">INDEX(PO!K$11:K$1504,MATCH($A47,PO!$W$11:$W$1504,0))</f>
        <v>2.5.</v>
      </c>
      <c r="M45" s="271" t="str">
        <f ca="1">INDEX(PO!O$11:O$1504,MATCH($A47,PO!$W$11:$W$1504,0))</f>
        <v>Atividade 08 - Palestra: Mobilidade Urbana Bairro: Frutal de Minas e Jardim Paula II</v>
      </c>
      <c r="N45" s="273">
        <f ca="1">IF(ROUND(K47,2)=0,K47,ROUND(K47,2))</f>
        <v>6923.21</v>
      </c>
      <c r="O45" s="113" t="s">
        <v>33</v>
      </c>
      <c r="P45" s="112"/>
      <c r="Q45" s="59">
        <v>1</v>
      </c>
      <c r="R45" s="59"/>
      <c r="S45" s="59"/>
      <c r="T45" s="59"/>
      <c r="U45" s="59"/>
      <c r="V45" s="59"/>
      <c r="W45" s="59"/>
      <c r="X45" s="105"/>
    </row>
    <row r="46" spans="1:24" customFormat="1" ht="14.25">
      <c r="A46" s="93"/>
      <c r="B46" s="93"/>
      <c r="C46" s="93"/>
      <c r="D46" s="93"/>
      <c r="E46" s="93"/>
      <c r="F46" s="93"/>
      <c r="G46" s="93"/>
      <c r="H46" s="93"/>
      <c r="I46" s="93"/>
      <c r="J46" s="93"/>
      <c r="K46" s="93"/>
      <c r="L46" s="270"/>
      <c r="M46" s="272"/>
      <c r="N46" s="274"/>
      <c r="O46" s="79" t="s">
        <v>35</v>
      </c>
      <c r="P46" s="107">
        <f t="shared" ref="P46:W46" ca="1" si="25">MIN(IF($B47,P45+IF(ISNUMBER(O46),O46,0),P47/$N45),1)</f>
        <v>0</v>
      </c>
      <c r="Q46" s="77">
        <f t="shared" ca="1" si="25"/>
        <v>1</v>
      </c>
      <c r="R46" s="77">
        <f t="shared" ca="1" si="25"/>
        <v>1</v>
      </c>
      <c r="S46" s="77">
        <f t="shared" ca="1" si="25"/>
        <v>1</v>
      </c>
      <c r="T46" s="77">
        <f t="shared" ca="1" si="25"/>
        <v>1</v>
      </c>
      <c r="U46" s="77">
        <f t="shared" ca="1" si="25"/>
        <v>1</v>
      </c>
      <c r="V46" s="77">
        <f t="shared" ca="1" si="25"/>
        <v>1</v>
      </c>
      <c r="W46" s="77">
        <f t="shared" ca="1" si="25"/>
        <v>1</v>
      </c>
      <c r="X46" s="105"/>
    </row>
    <row r="47" spans="1:24" customFormat="1" ht="14.25">
      <c r="A47" s="93">
        <f ca="1">OFFSET(A47,-CFF.NumLinha,0)+1</f>
        <v>10</v>
      </c>
      <c r="B47" s="93" t="b">
        <f ca="1">$C47&gt;=OFFSET($C47,CFF.NumLinha,0)</f>
        <v>1</v>
      </c>
      <c r="C47" s="93">
        <f ca="1">INDEX(PO!A$11:A$1504,MATCH($A47,PO!$W$11:$W$1504,0))</f>
        <v>2</v>
      </c>
      <c r="D47" s="93">
        <f ca="1">IF(ISERROR(J47),I47,SMALL(I47:J47,1))-1</f>
        <v>2</v>
      </c>
      <c r="E47" s="93">
        <f ca="1">IF($C47=1,OFFSET(E47,-CFF.NumLinha,0)+1,OFFSET(E47,-CFF.NumLinha,0))</f>
        <v>2</v>
      </c>
      <c r="F47" s="93">
        <f ca="1">IF($C47=1,0,IF($C47=2,OFFSET(F47,-CFF.NumLinha,0)+1,OFFSET(F47,-CFF.NumLinha,0)))</f>
        <v>5</v>
      </c>
      <c r="G47" s="93">
        <f ca="1">IF(AND($C47&lt;=2,$C47&lt;&gt;0),0,IF($C47=3,OFFSET(G47,-CFF.NumLinha,0)+1,OFFSET(G47,-CFF.NumLinha,0)))</f>
        <v>0</v>
      </c>
      <c r="H47" s="93">
        <f ca="1">IF(AND($C47&lt;=3,$C47&lt;&gt;0),0,IF($C47=4,OFFSET(H47,-CFF.NumLinha,0)+1,OFFSET(H47,-CFF.NumLinha,0)))</f>
        <v>0</v>
      </c>
      <c r="I47" s="93">
        <f ca="1">MATCH(0,OFFSET($D47,1,$C47,ROW($A$435)-ROW($A47)),0)</f>
        <v>9</v>
      </c>
      <c r="J47" s="93">
        <f ca="1">MATCH(OFFSET($D47,0,$C47)+1,OFFSET($D47,1,$C47,ROW($A$435)-ROW($A47)),0)</f>
        <v>3</v>
      </c>
      <c r="K47" s="94">
        <f ca="1">ROUND(INDEX(PO!U$11:U$1504,MATCH($A47,PO!$W$11:$W$1504,0)),2)+10^-12</f>
        <v>6923.2100000000009</v>
      </c>
      <c r="L47" s="270"/>
      <c r="M47" s="272"/>
      <c r="N47" s="274"/>
      <c r="O47" s="115" t="s">
        <v>7</v>
      </c>
      <c r="P47" s="108">
        <f t="shared" ref="P47:W47" ca="1" si="26">IF($B47,ROUND(P46*$N45,2),ROUND(SUMIF(OFFSET($B47,1,0,$D47),TRUE,OFFSET(P47,1,0,$D47))/SUMIF(OFFSET($B47,1,0,$D47),TRUE,OFFSET($K47,1,0,$D47))*$N45,2))</f>
        <v>0</v>
      </c>
      <c r="Q47" s="78">
        <f t="shared" ca="1" si="26"/>
        <v>6923.21</v>
      </c>
      <c r="R47" s="78">
        <f t="shared" ca="1" si="26"/>
        <v>6923.21</v>
      </c>
      <c r="S47" s="78">
        <f t="shared" ca="1" si="26"/>
        <v>6923.21</v>
      </c>
      <c r="T47" s="78">
        <f t="shared" ca="1" si="26"/>
        <v>6923.21</v>
      </c>
      <c r="U47" s="78">
        <f t="shared" ca="1" si="26"/>
        <v>6923.21</v>
      </c>
      <c r="V47" s="78">
        <f t="shared" ca="1" si="26"/>
        <v>6923.21</v>
      </c>
      <c r="W47" s="118">
        <f t="shared" ca="1" si="26"/>
        <v>6923.21</v>
      </c>
      <c r="X47" s="105"/>
    </row>
    <row r="48" spans="1:24" customFormat="1" ht="14.25" customHeight="1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269" t="str">
        <f ca="1">INDEX(PO!K$11:K$1504,MATCH($A50,PO!$W$11:$W$1504,0))</f>
        <v>2.6.</v>
      </c>
      <c r="M48" s="271" t="str">
        <f ca="1">INDEX(PO!O$11:O$1504,MATCH($A50,PO!$W$11:$W$1504,0))</f>
        <v>Atividade 09 - Oficina para melhor idade: Região Jardim Ikaraí</v>
      </c>
      <c r="N48" s="273">
        <f ca="1">IF(ROUND(K50,2)=0,K50,ROUND(K50,2))</f>
        <v>4465.74</v>
      </c>
      <c r="O48" s="113" t="s">
        <v>33</v>
      </c>
      <c r="P48" s="112"/>
      <c r="Q48" s="59">
        <v>1</v>
      </c>
      <c r="R48" s="59"/>
      <c r="S48" s="59"/>
      <c r="T48" s="59"/>
      <c r="U48" s="59"/>
      <c r="V48" s="59"/>
      <c r="W48" s="59"/>
      <c r="X48" s="105"/>
    </row>
    <row r="49" spans="1:24" customFormat="1" ht="14.25">
      <c r="A49" s="93"/>
      <c r="B49" s="93"/>
      <c r="C49" s="93"/>
      <c r="D49" s="93"/>
      <c r="E49" s="93"/>
      <c r="F49" s="93"/>
      <c r="G49" s="93"/>
      <c r="H49" s="93"/>
      <c r="I49" s="93"/>
      <c r="J49" s="93"/>
      <c r="K49" s="93"/>
      <c r="L49" s="270"/>
      <c r="M49" s="272"/>
      <c r="N49" s="274"/>
      <c r="O49" s="79" t="s">
        <v>35</v>
      </c>
      <c r="P49" s="107">
        <f t="shared" ref="P49:W49" ca="1" si="27">MIN(IF($B50,P48+IF(ISNUMBER(O49),O49,0),P50/$N48),1)</f>
        <v>0</v>
      </c>
      <c r="Q49" s="77">
        <f t="shared" ca="1" si="27"/>
        <v>1</v>
      </c>
      <c r="R49" s="77">
        <f t="shared" ca="1" si="27"/>
        <v>1</v>
      </c>
      <c r="S49" s="77">
        <f t="shared" ca="1" si="27"/>
        <v>1</v>
      </c>
      <c r="T49" s="77">
        <f t="shared" ca="1" si="27"/>
        <v>1</v>
      </c>
      <c r="U49" s="77">
        <f t="shared" ca="1" si="27"/>
        <v>1</v>
      </c>
      <c r="V49" s="77">
        <f t="shared" ca="1" si="27"/>
        <v>1</v>
      </c>
      <c r="W49" s="77">
        <f t="shared" ca="1" si="27"/>
        <v>1</v>
      </c>
      <c r="X49" s="105"/>
    </row>
    <row r="50" spans="1:24" customFormat="1" ht="14.25">
      <c r="A50" s="93">
        <f ca="1">OFFSET(A50,-CFF.NumLinha,0)+1</f>
        <v>11</v>
      </c>
      <c r="B50" s="93" t="b">
        <f ca="1">$C50&gt;=OFFSET($C50,CFF.NumLinha,0)</f>
        <v>1</v>
      </c>
      <c r="C50" s="93">
        <f ca="1">INDEX(PO!A$11:A$1504,MATCH($A50,PO!$W$11:$W$1504,0))</f>
        <v>2</v>
      </c>
      <c r="D50" s="93">
        <f ca="1">IF(ISERROR(J50),I50,SMALL(I50:J50,1))-1</f>
        <v>2</v>
      </c>
      <c r="E50" s="93">
        <f ca="1">IF($C50=1,OFFSET(E50,-CFF.NumLinha,0)+1,OFFSET(E50,-CFF.NumLinha,0))</f>
        <v>2</v>
      </c>
      <c r="F50" s="93">
        <f ca="1">IF($C50=1,0,IF($C50=2,OFFSET(F50,-CFF.NumLinha,0)+1,OFFSET(F50,-CFF.NumLinha,0)))</f>
        <v>6</v>
      </c>
      <c r="G50" s="93">
        <f ca="1">IF(AND($C50&lt;=2,$C50&lt;&gt;0),0,IF($C50=3,OFFSET(G50,-CFF.NumLinha,0)+1,OFFSET(G50,-CFF.NumLinha,0)))</f>
        <v>0</v>
      </c>
      <c r="H50" s="93">
        <f ca="1">IF(AND($C50&lt;=3,$C50&lt;&gt;0),0,IF($C50=4,OFFSET(H50,-CFF.NumLinha,0)+1,OFFSET(H50,-CFF.NumLinha,0)))</f>
        <v>0</v>
      </c>
      <c r="I50" s="93">
        <f ca="1">MATCH(0,OFFSET($D50,1,$C50,ROW($A$435)-ROW($A50)),0)</f>
        <v>6</v>
      </c>
      <c r="J50" s="93">
        <f ca="1">MATCH(OFFSET($D50,0,$C50)+1,OFFSET($D50,1,$C50,ROW($A$435)-ROW($A50)),0)</f>
        <v>3</v>
      </c>
      <c r="K50" s="94">
        <f ca="1">ROUND(INDEX(PO!U$11:U$1504,MATCH($A50,PO!$W$11:$W$1504,0)),2)+10^-12</f>
        <v>4465.7400000000007</v>
      </c>
      <c r="L50" s="270"/>
      <c r="M50" s="272"/>
      <c r="N50" s="274"/>
      <c r="O50" s="115" t="s">
        <v>7</v>
      </c>
      <c r="P50" s="108">
        <f t="shared" ref="P50:W50" ca="1" si="28">IF($B50,ROUND(P49*$N48,2),ROUND(SUMIF(OFFSET($B50,1,0,$D50),TRUE,OFFSET(P50,1,0,$D50))/SUMIF(OFFSET($B50,1,0,$D50),TRUE,OFFSET($K50,1,0,$D50))*$N48,2))</f>
        <v>0</v>
      </c>
      <c r="Q50" s="78">
        <f t="shared" ca="1" si="28"/>
        <v>4465.74</v>
      </c>
      <c r="R50" s="78">
        <f t="shared" ca="1" si="28"/>
        <v>4465.74</v>
      </c>
      <c r="S50" s="78">
        <f t="shared" ca="1" si="28"/>
        <v>4465.74</v>
      </c>
      <c r="T50" s="78">
        <f t="shared" ca="1" si="28"/>
        <v>4465.74</v>
      </c>
      <c r="U50" s="78">
        <f t="shared" ca="1" si="28"/>
        <v>4465.74</v>
      </c>
      <c r="V50" s="78">
        <f t="shared" ca="1" si="28"/>
        <v>4465.74</v>
      </c>
      <c r="W50" s="118">
        <f t="shared" ca="1" si="28"/>
        <v>4465.74</v>
      </c>
      <c r="X50" s="105"/>
    </row>
    <row r="51" spans="1:24" customFormat="1" ht="14.25" customHeight="1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269" t="str">
        <f ca="1">INDEX(PO!K$11:K$1504,MATCH($A53,PO!$W$11:$W$1504,0))</f>
        <v>2.7.</v>
      </c>
      <c r="M51" s="271" t="str">
        <f ca="1">INDEX(PO!O$11:O$1504,MATCH($A53,PO!$W$11:$W$1504,0))</f>
        <v>Atividade 10 - Visitas domiciliares Região Jardim Ikaraí</v>
      </c>
      <c r="N51" s="273">
        <f ca="1">IF(ROUND(K53,2)=0,K53,ROUND(K53,2))</f>
        <v>1958.58</v>
      </c>
      <c r="O51" s="113" t="s">
        <v>33</v>
      </c>
      <c r="P51" s="112"/>
      <c r="Q51" s="59">
        <v>1</v>
      </c>
      <c r="R51" s="59"/>
      <c r="S51" s="59"/>
      <c r="T51" s="59"/>
      <c r="U51" s="59"/>
      <c r="V51" s="59"/>
      <c r="W51" s="59"/>
      <c r="X51" s="105"/>
    </row>
    <row r="52" spans="1:24" customFormat="1" ht="14.25">
      <c r="A52" s="93"/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270"/>
      <c r="M52" s="272"/>
      <c r="N52" s="274"/>
      <c r="O52" s="79" t="s">
        <v>35</v>
      </c>
      <c r="P52" s="107">
        <f t="shared" ref="P52:W52" ca="1" si="29">MIN(IF($B53,P51+IF(ISNUMBER(O52),O52,0),P53/$N51),1)</f>
        <v>0</v>
      </c>
      <c r="Q52" s="77">
        <f t="shared" ca="1" si="29"/>
        <v>1</v>
      </c>
      <c r="R52" s="77">
        <f t="shared" ca="1" si="29"/>
        <v>1</v>
      </c>
      <c r="S52" s="77">
        <f t="shared" ca="1" si="29"/>
        <v>1</v>
      </c>
      <c r="T52" s="77">
        <f t="shared" ca="1" si="29"/>
        <v>1</v>
      </c>
      <c r="U52" s="77">
        <f t="shared" ca="1" si="29"/>
        <v>1</v>
      </c>
      <c r="V52" s="77">
        <f t="shared" ca="1" si="29"/>
        <v>1</v>
      </c>
      <c r="W52" s="77">
        <f t="shared" ca="1" si="29"/>
        <v>1</v>
      </c>
      <c r="X52" s="105"/>
    </row>
    <row r="53" spans="1:24" customFormat="1" ht="14.25">
      <c r="A53" s="93">
        <f ca="1">OFFSET(A53,-CFF.NumLinha,0)+1</f>
        <v>12</v>
      </c>
      <c r="B53" s="93" t="b">
        <f ca="1">$C53&gt;=OFFSET($C53,CFF.NumLinha,0)</f>
        <v>1</v>
      </c>
      <c r="C53" s="93">
        <f ca="1">INDEX(PO!A$11:A$1504,MATCH($A53,PO!$W$11:$W$1504,0))</f>
        <v>2</v>
      </c>
      <c r="D53" s="93">
        <f ca="1">IF(ISERROR(J53),I53,SMALL(I53:J53,1))-1</f>
        <v>2</v>
      </c>
      <c r="E53" s="93">
        <f ca="1">IF($C53=1,OFFSET(E53,-CFF.NumLinha,0)+1,OFFSET(E53,-CFF.NumLinha,0))</f>
        <v>2</v>
      </c>
      <c r="F53" s="93">
        <f ca="1">IF($C53=1,0,IF($C53=2,OFFSET(F53,-CFF.NumLinha,0)+1,OFFSET(F53,-CFF.NumLinha,0)))</f>
        <v>7</v>
      </c>
      <c r="G53" s="93">
        <f ca="1">IF(AND($C53&lt;=2,$C53&lt;&gt;0),0,IF($C53=3,OFFSET(G53,-CFF.NumLinha,0)+1,OFFSET(G53,-CFF.NumLinha,0)))</f>
        <v>0</v>
      </c>
      <c r="H53" s="93">
        <f ca="1">IF(AND($C53&lt;=3,$C53&lt;&gt;0),0,IF($C53=4,OFFSET(H53,-CFF.NumLinha,0)+1,OFFSET(H53,-CFF.NumLinha,0)))</f>
        <v>0</v>
      </c>
      <c r="I53" s="93">
        <f ca="1">MATCH(0,OFFSET($D53,1,$C53,ROW($A$435)-ROW($A53)),0)</f>
        <v>3</v>
      </c>
      <c r="J53" s="93">
        <f ca="1">MATCH(OFFSET($D53,0,$C53)+1,OFFSET($D53,1,$C53,ROW($A$435)-ROW($A53)),0)</f>
        <v>39</v>
      </c>
      <c r="K53" s="94">
        <f ca="1">ROUND(INDEX(PO!U$11:U$1504,MATCH($A53,PO!$W$11:$W$1504,0)),2)+10^-12</f>
        <v>1958.5800000000008</v>
      </c>
      <c r="L53" s="270"/>
      <c r="M53" s="272"/>
      <c r="N53" s="274"/>
      <c r="O53" s="115" t="s">
        <v>7</v>
      </c>
      <c r="P53" s="108">
        <f t="shared" ref="P53:W53" ca="1" si="30">IF($B53,ROUND(P52*$N51,2),ROUND(SUMIF(OFFSET($B53,1,0,$D53),TRUE,OFFSET(P53,1,0,$D53))/SUMIF(OFFSET($B53,1,0,$D53),TRUE,OFFSET($K53,1,0,$D53))*$N51,2))</f>
        <v>0</v>
      </c>
      <c r="Q53" s="78">
        <f t="shared" ca="1" si="30"/>
        <v>1958.58</v>
      </c>
      <c r="R53" s="78">
        <f t="shared" ca="1" si="30"/>
        <v>1958.58</v>
      </c>
      <c r="S53" s="78">
        <f t="shared" ca="1" si="30"/>
        <v>1958.58</v>
      </c>
      <c r="T53" s="78">
        <f t="shared" ca="1" si="30"/>
        <v>1958.58</v>
      </c>
      <c r="U53" s="78">
        <f t="shared" ca="1" si="30"/>
        <v>1958.58</v>
      </c>
      <c r="V53" s="78">
        <f t="shared" ca="1" si="30"/>
        <v>1958.58</v>
      </c>
      <c r="W53" s="118">
        <f t="shared" ca="1" si="30"/>
        <v>1958.58</v>
      </c>
      <c r="X53" s="105"/>
    </row>
    <row r="54" spans="1:24" customFormat="1" ht="14.25" customHeight="1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269" t="str">
        <f ca="1">INDEX(PO!K$11:K$1504,MATCH($A56,PO!$W$11:$W$1504,0))</f>
        <v>3.</v>
      </c>
      <c r="M54" s="271" t="str">
        <f ca="1">INDEX(PO!O$11:O$1504,MATCH($A56,PO!$W$11:$W$1504,0))</f>
        <v>MÊS 03 - INFORMAÇÕES/PALESTRAS</v>
      </c>
      <c r="N54" s="273">
        <f ca="1">IF(ROUND(K56,2)=0,K56,ROUND(K56,2))</f>
        <v>56911.66</v>
      </c>
      <c r="O54" s="113" t="s">
        <v>33</v>
      </c>
      <c r="P54" s="112"/>
      <c r="Q54" s="59">
        <v>1</v>
      </c>
      <c r="R54" s="59"/>
      <c r="S54" s="59"/>
      <c r="T54" s="59"/>
      <c r="U54" s="59"/>
      <c r="V54" s="59"/>
      <c r="W54" s="59"/>
      <c r="X54" s="105"/>
    </row>
    <row r="55" spans="1:24" customFormat="1" ht="14.25">
      <c r="A55" s="93"/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270"/>
      <c r="M55" s="272"/>
      <c r="N55" s="274"/>
      <c r="O55" s="79" t="s">
        <v>35</v>
      </c>
      <c r="P55" s="107">
        <f t="shared" ref="P55:W55" ca="1" si="31">MIN(IF($B56,P54+IF(ISNUMBER(O55),O55,0),P56/$N54),1)</f>
        <v>0</v>
      </c>
      <c r="Q55" s="77">
        <f t="shared" ca="1" si="31"/>
        <v>0.51556517592352769</v>
      </c>
      <c r="R55" s="77">
        <f t="shared" ca="1" si="31"/>
        <v>1</v>
      </c>
      <c r="S55" s="77">
        <f t="shared" ca="1" si="31"/>
        <v>1</v>
      </c>
      <c r="T55" s="77">
        <f t="shared" ca="1" si="31"/>
        <v>1</v>
      </c>
      <c r="U55" s="77">
        <f t="shared" ca="1" si="31"/>
        <v>1</v>
      </c>
      <c r="V55" s="77">
        <f t="shared" ca="1" si="31"/>
        <v>1</v>
      </c>
      <c r="W55" s="77">
        <f t="shared" ca="1" si="31"/>
        <v>1</v>
      </c>
      <c r="X55" s="105"/>
    </row>
    <row r="56" spans="1:24" customFormat="1" ht="14.25">
      <c r="A56" s="93">
        <f ca="1">OFFSET(A56,-CFF.NumLinha,0)+1</f>
        <v>13</v>
      </c>
      <c r="B56" s="93" t="b">
        <f ca="1">$C56&gt;=OFFSET($C56,CFF.NumLinha,0)</f>
        <v>0</v>
      </c>
      <c r="C56" s="93">
        <f ca="1">INDEX(PO!A$11:A$1504,MATCH($A56,PO!$W$11:$W$1504,0))</f>
        <v>1</v>
      </c>
      <c r="D56" s="93">
        <f ca="1">IF(ISERROR(J56),I56,SMALL(I56:J56,1))-1</f>
        <v>11</v>
      </c>
      <c r="E56" s="93">
        <f ca="1">IF($C56=1,OFFSET(E56,-CFF.NumLinha,0)+1,OFFSET(E56,-CFF.NumLinha,0))</f>
        <v>3</v>
      </c>
      <c r="F56" s="93">
        <f ca="1">IF($C56=1,0,IF($C56=2,OFFSET(F56,-CFF.NumLinha,0)+1,OFFSET(F56,-CFF.NumLinha,0)))</f>
        <v>0</v>
      </c>
      <c r="G56" s="93">
        <f ca="1">IF(AND($C56&lt;=2,$C56&lt;&gt;0),0,IF($C56=3,OFFSET(G56,-CFF.NumLinha,0)+1,OFFSET(G56,-CFF.NumLinha,0)))</f>
        <v>0</v>
      </c>
      <c r="H56" s="93">
        <f ca="1">IF(AND($C56&lt;=3,$C56&lt;&gt;0),0,IF($C56=4,OFFSET(H56,-CFF.NumLinha,0)+1,OFFSET(H56,-CFF.NumLinha,0)))</f>
        <v>0</v>
      </c>
      <c r="I56" s="93">
        <f ca="1">MATCH(0,OFFSET($D56,1,$C56,ROW($A$435)-ROW($A56)),0)</f>
        <v>379</v>
      </c>
      <c r="J56" s="93">
        <f ca="1">MATCH(OFFSET($D56,0,$C56)+1,OFFSET($D56,1,$C56,ROW($A$435)-ROW($A56)),0)</f>
        <v>12</v>
      </c>
      <c r="K56" s="94">
        <f ca="1">ROUND(INDEX(PO!U$11:U$1504,MATCH($A56,PO!$W$11:$W$1504,0)),2)+10^-12</f>
        <v>56911.66</v>
      </c>
      <c r="L56" s="270"/>
      <c r="M56" s="272"/>
      <c r="N56" s="274"/>
      <c r="O56" s="115" t="s">
        <v>7</v>
      </c>
      <c r="P56" s="108">
        <f t="shared" ref="P56:W56" ca="1" si="32">IF($B56,ROUND(P55*$N54,2),ROUND(SUMIF(OFFSET($B56,1,0,$D56),TRUE,OFFSET(P56,1,0,$D56))/SUMIF(OFFSET($B56,1,0,$D56),TRUE,OFFSET($K56,1,0,$D56))*$N54,2))</f>
        <v>0</v>
      </c>
      <c r="Q56" s="78">
        <f t="shared" ca="1" si="32"/>
        <v>29341.67</v>
      </c>
      <c r="R56" s="78">
        <f t="shared" ca="1" si="32"/>
        <v>56911.66</v>
      </c>
      <c r="S56" s="78">
        <f t="shared" ca="1" si="32"/>
        <v>56911.66</v>
      </c>
      <c r="T56" s="78">
        <f t="shared" ca="1" si="32"/>
        <v>56911.66</v>
      </c>
      <c r="U56" s="78">
        <f t="shared" ca="1" si="32"/>
        <v>56911.66</v>
      </c>
      <c r="V56" s="78">
        <f t="shared" ca="1" si="32"/>
        <v>56911.66</v>
      </c>
      <c r="W56" s="118">
        <f t="shared" ca="1" si="32"/>
        <v>56911.66</v>
      </c>
      <c r="X56" s="105"/>
    </row>
    <row r="57" spans="1:24" customFormat="1" ht="14.25" customHeight="1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269" t="str">
        <f ca="1">INDEX(PO!K$11:K$1504,MATCH($A59,PO!$W$11:$W$1504,0))</f>
        <v>3.1.</v>
      </c>
      <c r="M57" s="271" t="str">
        <f ca="1">INDEX(PO!O$11:O$1504,MATCH($A59,PO!$W$11:$W$1504,0))</f>
        <v>Atividade 11 - Palestra: Esgotamento Sanitário e o desenvolvimento de meio ambiente: Região Parque São João</v>
      </c>
      <c r="N57" s="273">
        <f ca="1">IF(ROUND(K59,2)=0,K59,ROUND(K59,2))</f>
        <v>29341.67</v>
      </c>
      <c r="O57" s="113" t="s">
        <v>33</v>
      </c>
      <c r="P57" s="112"/>
      <c r="Q57" s="59">
        <v>1</v>
      </c>
      <c r="R57" s="59"/>
      <c r="S57" s="59"/>
      <c r="T57" s="59"/>
      <c r="U57" s="59"/>
      <c r="V57" s="59"/>
      <c r="W57" s="59"/>
      <c r="X57" s="105"/>
    </row>
    <row r="58" spans="1:24" customFormat="1" ht="14.25">
      <c r="A58" s="93"/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270"/>
      <c r="M58" s="272"/>
      <c r="N58" s="274"/>
      <c r="O58" s="79" t="s">
        <v>35</v>
      </c>
      <c r="P58" s="107">
        <f t="shared" ref="P58:W58" ca="1" si="33">MIN(IF($B59,P57+IF(ISNUMBER(O58),O58,0),P59/$N57),1)</f>
        <v>0</v>
      </c>
      <c r="Q58" s="77">
        <f t="shared" ca="1" si="33"/>
        <v>1</v>
      </c>
      <c r="R58" s="77">
        <f t="shared" ca="1" si="33"/>
        <v>1</v>
      </c>
      <c r="S58" s="77">
        <f t="shared" ca="1" si="33"/>
        <v>1</v>
      </c>
      <c r="T58" s="77">
        <f t="shared" ca="1" si="33"/>
        <v>1</v>
      </c>
      <c r="U58" s="77">
        <f t="shared" ca="1" si="33"/>
        <v>1</v>
      </c>
      <c r="V58" s="77">
        <f t="shared" ca="1" si="33"/>
        <v>1</v>
      </c>
      <c r="W58" s="77">
        <f t="shared" ca="1" si="33"/>
        <v>1</v>
      </c>
      <c r="X58" s="105"/>
    </row>
    <row r="59" spans="1:24" customFormat="1" ht="14.25">
      <c r="A59" s="93">
        <f ca="1">OFFSET(A59,-CFF.NumLinha,0)+1</f>
        <v>14</v>
      </c>
      <c r="B59" s="93" t="b">
        <f ca="1">$C59&gt;=OFFSET($C59,CFF.NumLinha,0)</f>
        <v>1</v>
      </c>
      <c r="C59" s="93">
        <f ca="1">INDEX(PO!A$11:A$1504,MATCH($A59,PO!$W$11:$W$1504,0))</f>
        <v>2</v>
      </c>
      <c r="D59" s="93">
        <f ca="1">IF(ISERROR(J59),I59,SMALL(I59:J59,1))-1</f>
        <v>2</v>
      </c>
      <c r="E59" s="93">
        <f ca="1">IF($C59=1,OFFSET(E59,-CFF.NumLinha,0)+1,OFFSET(E59,-CFF.NumLinha,0))</f>
        <v>3</v>
      </c>
      <c r="F59" s="93">
        <f ca="1">IF($C59=1,0,IF($C59=2,OFFSET(F59,-CFF.NumLinha,0)+1,OFFSET(F59,-CFF.NumLinha,0)))</f>
        <v>1</v>
      </c>
      <c r="G59" s="93">
        <f ca="1">IF(AND($C59&lt;=2,$C59&lt;&gt;0),0,IF($C59=3,OFFSET(G59,-CFF.NumLinha,0)+1,OFFSET(G59,-CFF.NumLinha,0)))</f>
        <v>0</v>
      </c>
      <c r="H59" s="93">
        <f ca="1">IF(AND($C59&lt;=3,$C59&lt;&gt;0),0,IF($C59=4,OFFSET(H59,-CFF.NumLinha,0)+1,OFFSET(H59,-CFF.NumLinha,0)))</f>
        <v>0</v>
      </c>
      <c r="I59" s="93">
        <f ca="1">MATCH(0,OFFSET($D59,1,$C59,ROW($A$435)-ROW($A59)),0)</f>
        <v>9</v>
      </c>
      <c r="J59" s="93">
        <f ca="1">MATCH(OFFSET($D59,0,$C59)+1,OFFSET($D59,1,$C59,ROW($A$435)-ROW($A59)),0)</f>
        <v>3</v>
      </c>
      <c r="K59" s="94">
        <f ca="1">ROUND(INDEX(PO!U$11:U$1504,MATCH($A59,PO!$W$11:$W$1504,0)),2)+10^-12</f>
        <v>29341.67</v>
      </c>
      <c r="L59" s="270"/>
      <c r="M59" s="272"/>
      <c r="N59" s="274"/>
      <c r="O59" s="115" t="s">
        <v>7</v>
      </c>
      <c r="P59" s="108">
        <f t="shared" ref="P59:W59" ca="1" si="34">IF($B59,ROUND(P58*$N57,2),ROUND(SUMIF(OFFSET($B59,1,0,$D59),TRUE,OFFSET(P59,1,0,$D59))/SUMIF(OFFSET($B59,1,0,$D59),TRUE,OFFSET($K59,1,0,$D59))*$N57,2))</f>
        <v>0</v>
      </c>
      <c r="Q59" s="78">
        <f t="shared" ca="1" si="34"/>
        <v>29341.67</v>
      </c>
      <c r="R59" s="78">
        <f t="shared" ca="1" si="34"/>
        <v>29341.67</v>
      </c>
      <c r="S59" s="78">
        <f t="shared" ca="1" si="34"/>
        <v>29341.67</v>
      </c>
      <c r="T59" s="78">
        <f t="shared" ca="1" si="34"/>
        <v>29341.67</v>
      </c>
      <c r="U59" s="78">
        <f t="shared" ca="1" si="34"/>
        <v>29341.67</v>
      </c>
      <c r="V59" s="78">
        <f t="shared" ca="1" si="34"/>
        <v>29341.67</v>
      </c>
      <c r="W59" s="118">
        <f t="shared" ca="1" si="34"/>
        <v>29341.67</v>
      </c>
      <c r="X59" s="105"/>
    </row>
    <row r="60" spans="1:24" customFormat="1" ht="14.25" customHeight="1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269" t="str">
        <f ca="1">INDEX(PO!K$11:K$1504,MATCH($A62,PO!$W$11:$W$1504,0))</f>
        <v>3.2.</v>
      </c>
      <c r="M60" s="271" t="str">
        <f ca="1">INDEX(PO!O$11:O$1504,MATCH($A62,PO!$W$11:$W$1504,0))</f>
        <v>Atividade 12 - Palestra: Esgotamento Sanitário e o Desenvolvimento de Meio Ambiente: Região Jardim Ikaraí</v>
      </c>
      <c r="N60" s="273">
        <f ca="1">IF(ROUND(K62,2)=0,K62,ROUND(K62,2))</f>
        <v>15473.52</v>
      </c>
      <c r="O60" s="113" t="s">
        <v>33</v>
      </c>
      <c r="P60" s="112"/>
      <c r="Q60" s="59"/>
      <c r="R60" s="59">
        <v>1</v>
      </c>
      <c r="S60" s="59"/>
      <c r="T60" s="59"/>
      <c r="U60" s="59"/>
      <c r="V60" s="59"/>
      <c r="W60" s="59"/>
      <c r="X60" s="105"/>
    </row>
    <row r="61" spans="1:24" customFormat="1" ht="14.25">
      <c r="A61" s="93"/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270"/>
      <c r="M61" s="272"/>
      <c r="N61" s="274"/>
      <c r="O61" s="79" t="s">
        <v>35</v>
      </c>
      <c r="P61" s="107">
        <f t="shared" ref="P61:W61" ca="1" si="35">MIN(IF($B62,P60+IF(ISNUMBER(O61),O61,0),P62/$N60),1)</f>
        <v>0</v>
      </c>
      <c r="Q61" s="77">
        <f t="shared" ca="1" si="35"/>
        <v>0</v>
      </c>
      <c r="R61" s="77">
        <f t="shared" ca="1" si="35"/>
        <v>1</v>
      </c>
      <c r="S61" s="77">
        <f t="shared" ca="1" si="35"/>
        <v>1</v>
      </c>
      <c r="T61" s="77">
        <f t="shared" ca="1" si="35"/>
        <v>1</v>
      </c>
      <c r="U61" s="77">
        <f t="shared" ca="1" si="35"/>
        <v>1</v>
      </c>
      <c r="V61" s="77">
        <f t="shared" ca="1" si="35"/>
        <v>1</v>
      </c>
      <c r="W61" s="77">
        <f t="shared" ca="1" si="35"/>
        <v>1</v>
      </c>
      <c r="X61" s="105"/>
    </row>
    <row r="62" spans="1:24" customFormat="1" ht="14.25">
      <c r="A62" s="93">
        <f ca="1">OFFSET(A62,-CFF.NumLinha,0)+1</f>
        <v>15</v>
      </c>
      <c r="B62" s="93" t="b">
        <f ca="1">$C62&gt;=OFFSET($C62,CFF.NumLinha,0)</f>
        <v>1</v>
      </c>
      <c r="C62" s="93">
        <f ca="1">INDEX(PO!A$11:A$1504,MATCH($A62,PO!$W$11:$W$1504,0))</f>
        <v>2</v>
      </c>
      <c r="D62" s="93">
        <f ca="1">IF(ISERROR(J62),I62,SMALL(I62:J62,1))-1</f>
        <v>2</v>
      </c>
      <c r="E62" s="93">
        <f ca="1">IF($C62=1,OFFSET(E62,-CFF.NumLinha,0)+1,OFFSET(E62,-CFF.NumLinha,0))</f>
        <v>3</v>
      </c>
      <c r="F62" s="93">
        <f ca="1">IF($C62=1,0,IF($C62=2,OFFSET(F62,-CFF.NumLinha,0)+1,OFFSET(F62,-CFF.NumLinha,0)))</f>
        <v>2</v>
      </c>
      <c r="G62" s="93">
        <f ca="1">IF(AND($C62&lt;=2,$C62&lt;&gt;0),0,IF($C62=3,OFFSET(G62,-CFF.NumLinha,0)+1,OFFSET(G62,-CFF.NumLinha,0)))</f>
        <v>0</v>
      </c>
      <c r="H62" s="93">
        <f ca="1">IF(AND($C62&lt;=3,$C62&lt;&gt;0),0,IF($C62=4,OFFSET(H62,-CFF.NumLinha,0)+1,OFFSET(H62,-CFF.NumLinha,0)))</f>
        <v>0</v>
      </c>
      <c r="I62" s="93">
        <f ca="1">MATCH(0,OFFSET($D62,1,$C62,ROW($A$435)-ROW($A62)),0)</f>
        <v>6</v>
      </c>
      <c r="J62" s="93">
        <f ca="1">MATCH(OFFSET($D62,0,$C62)+1,OFFSET($D62,1,$C62,ROW($A$435)-ROW($A62)),0)</f>
        <v>3</v>
      </c>
      <c r="K62" s="94">
        <f ca="1">ROUND(INDEX(PO!U$11:U$1504,MATCH($A62,PO!$W$11:$W$1504,0)),2)+10^-12</f>
        <v>15473.520000000002</v>
      </c>
      <c r="L62" s="270"/>
      <c r="M62" s="272"/>
      <c r="N62" s="274"/>
      <c r="O62" s="115" t="s">
        <v>7</v>
      </c>
      <c r="P62" s="108">
        <f t="shared" ref="P62:W62" ca="1" si="36">IF($B62,ROUND(P61*$N60,2),ROUND(SUMIF(OFFSET($B62,1,0,$D62),TRUE,OFFSET(P62,1,0,$D62))/SUMIF(OFFSET($B62,1,0,$D62),TRUE,OFFSET($K62,1,0,$D62))*$N60,2))</f>
        <v>0</v>
      </c>
      <c r="Q62" s="78">
        <f t="shared" ca="1" si="36"/>
        <v>0</v>
      </c>
      <c r="R62" s="78">
        <f t="shared" ca="1" si="36"/>
        <v>15473.52</v>
      </c>
      <c r="S62" s="78">
        <f t="shared" ca="1" si="36"/>
        <v>15473.52</v>
      </c>
      <c r="T62" s="78">
        <f t="shared" ca="1" si="36"/>
        <v>15473.52</v>
      </c>
      <c r="U62" s="78">
        <f t="shared" ca="1" si="36"/>
        <v>15473.52</v>
      </c>
      <c r="V62" s="78">
        <f t="shared" ca="1" si="36"/>
        <v>15473.52</v>
      </c>
      <c r="W62" s="118">
        <f t="shared" ca="1" si="36"/>
        <v>15473.52</v>
      </c>
      <c r="X62" s="105"/>
    </row>
    <row r="63" spans="1:24" customFormat="1" ht="14.25" customHeight="1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269" t="str">
        <f ca="1">INDEX(PO!K$11:K$1504,MATCH($A65,PO!$W$11:$W$1504,0))</f>
        <v>3.3.</v>
      </c>
      <c r="M63" s="271" t="str">
        <f ca="1">INDEX(PO!O$11:O$1504,MATCH($A65,PO!$W$11:$W$1504,0))</f>
        <v>Atividade 13 - Palestra: Esgotamento Sanitário e o Desenvolvimento de meio ambiente: Bairro Frutal de Minas e Jardim Paula II</v>
      </c>
      <c r="N63" s="273">
        <f ca="1">IF(ROUND(K65,2)=0,K65,ROUND(K65,2))</f>
        <v>12096.47</v>
      </c>
      <c r="O63" s="113" t="s">
        <v>33</v>
      </c>
      <c r="P63" s="112"/>
      <c r="Q63" s="59"/>
      <c r="R63" s="59">
        <v>1</v>
      </c>
      <c r="S63" s="59"/>
      <c r="T63" s="59"/>
      <c r="U63" s="59"/>
      <c r="V63" s="59"/>
      <c r="W63" s="59"/>
      <c r="X63" s="105"/>
    </row>
    <row r="64" spans="1:24" customFormat="1" ht="14.25">
      <c r="A64" s="93"/>
      <c r="B64" s="93"/>
      <c r="C64" s="93"/>
      <c r="D64" s="93"/>
      <c r="E64" s="93"/>
      <c r="F64" s="93"/>
      <c r="G64" s="93"/>
      <c r="H64" s="93"/>
      <c r="I64" s="93"/>
      <c r="J64" s="93"/>
      <c r="K64" s="93"/>
      <c r="L64" s="270"/>
      <c r="M64" s="272"/>
      <c r="N64" s="274"/>
      <c r="O64" s="79" t="s">
        <v>35</v>
      </c>
      <c r="P64" s="107">
        <f t="shared" ref="P64:W64" ca="1" si="37">MIN(IF($B65,P63+IF(ISNUMBER(O64),O64,0),P65/$N63),1)</f>
        <v>0</v>
      </c>
      <c r="Q64" s="77">
        <f t="shared" ca="1" si="37"/>
        <v>0</v>
      </c>
      <c r="R64" s="77">
        <f t="shared" ca="1" si="37"/>
        <v>1</v>
      </c>
      <c r="S64" s="77">
        <f t="shared" ca="1" si="37"/>
        <v>1</v>
      </c>
      <c r="T64" s="77">
        <f t="shared" ca="1" si="37"/>
        <v>1</v>
      </c>
      <c r="U64" s="77">
        <f t="shared" ca="1" si="37"/>
        <v>1</v>
      </c>
      <c r="V64" s="77">
        <f t="shared" ca="1" si="37"/>
        <v>1</v>
      </c>
      <c r="W64" s="77">
        <f t="shared" ca="1" si="37"/>
        <v>1</v>
      </c>
      <c r="X64" s="105"/>
    </row>
    <row r="65" spans="1:24" customFormat="1" ht="14.25">
      <c r="A65" s="93">
        <f ca="1">OFFSET(A65,-CFF.NumLinha,0)+1</f>
        <v>16</v>
      </c>
      <c r="B65" s="93" t="b">
        <f ca="1">$C65&gt;=OFFSET($C65,CFF.NumLinha,0)</f>
        <v>1</v>
      </c>
      <c r="C65" s="93">
        <f ca="1">INDEX(PO!A$11:A$1504,MATCH($A65,PO!$W$11:$W$1504,0))</f>
        <v>2</v>
      </c>
      <c r="D65" s="93">
        <f ca="1">IF(ISERROR(J65),I65,SMALL(I65:J65,1))-1</f>
        <v>2</v>
      </c>
      <c r="E65" s="93">
        <f ca="1">IF($C65=1,OFFSET(E65,-CFF.NumLinha,0)+1,OFFSET(E65,-CFF.NumLinha,0))</f>
        <v>3</v>
      </c>
      <c r="F65" s="93">
        <f ca="1">IF($C65=1,0,IF($C65=2,OFFSET(F65,-CFF.NumLinha,0)+1,OFFSET(F65,-CFF.NumLinha,0)))</f>
        <v>3</v>
      </c>
      <c r="G65" s="93">
        <f ca="1">IF(AND($C65&lt;=2,$C65&lt;&gt;0),0,IF($C65=3,OFFSET(G65,-CFF.NumLinha,0)+1,OFFSET(G65,-CFF.NumLinha,0)))</f>
        <v>0</v>
      </c>
      <c r="H65" s="93">
        <f ca="1">IF(AND($C65&lt;=3,$C65&lt;&gt;0),0,IF($C65=4,OFFSET(H65,-CFF.NumLinha,0)+1,OFFSET(H65,-CFF.NumLinha,0)))</f>
        <v>0</v>
      </c>
      <c r="I65" s="93">
        <f ca="1">MATCH(0,OFFSET($D65,1,$C65,ROW($A$435)-ROW($A65)),0)</f>
        <v>3</v>
      </c>
      <c r="J65" s="93">
        <f ca="1">MATCH(OFFSET($D65,0,$C65)+1,OFFSET($D65,1,$C65,ROW($A$435)-ROW($A65)),0)</f>
        <v>15</v>
      </c>
      <c r="K65" s="94">
        <f ca="1">ROUND(INDEX(PO!U$11:U$1504,MATCH($A65,PO!$W$11:$W$1504,0)),2)+10^-12</f>
        <v>12096.470000000001</v>
      </c>
      <c r="L65" s="270"/>
      <c r="M65" s="272"/>
      <c r="N65" s="274"/>
      <c r="O65" s="115" t="s">
        <v>7</v>
      </c>
      <c r="P65" s="108">
        <f t="shared" ref="P65:W65" ca="1" si="38">IF($B65,ROUND(P64*$N63,2),ROUND(SUMIF(OFFSET($B65,1,0,$D65),TRUE,OFFSET(P65,1,0,$D65))/SUMIF(OFFSET($B65,1,0,$D65),TRUE,OFFSET($K65,1,0,$D65))*$N63,2))</f>
        <v>0</v>
      </c>
      <c r="Q65" s="78">
        <f t="shared" ca="1" si="38"/>
        <v>0</v>
      </c>
      <c r="R65" s="78">
        <f t="shared" ca="1" si="38"/>
        <v>12096.47</v>
      </c>
      <c r="S65" s="78">
        <f t="shared" ca="1" si="38"/>
        <v>12096.47</v>
      </c>
      <c r="T65" s="78">
        <f t="shared" ca="1" si="38"/>
        <v>12096.47</v>
      </c>
      <c r="U65" s="78">
        <f t="shared" ca="1" si="38"/>
        <v>12096.47</v>
      </c>
      <c r="V65" s="78">
        <f t="shared" ca="1" si="38"/>
        <v>12096.47</v>
      </c>
      <c r="W65" s="118">
        <f t="shared" ca="1" si="38"/>
        <v>12096.47</v>
      </c>
      <c r="X65" s="105"/>
    </row>
    <row r="66" spans="1:24" customFormat="1" ht="14.25" customHeight="1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269" t="str">
        <f ca="1">INDEX(PO!K$11:K$1504,MATCH($A68,PO!$W$11:$W$1504,0))</f>
        <v>4.</v>
      </c>
      <c r="M66" s="271" t="str">
        <f ca="1">INDEX(PO!O$11:O$1504,MATCH($A68,PO!$W$11:$W$1504,0))</f>
        <v>MÊS 04 - INFORMAÇÕES/OFICINAS</v>
      </c>
      <c r="N66" s="273">
        <f ca="1">IF(ROUND(K68,2)=0,K68,ROUND(K68,2))</f>
        <v>25971.65</v>
      </c>
      <c r="O66" s="113" t="s">
        <v>33</v>
      </c>
      <c r="P66" s="112"/>
      <c r="Q66" s="59"/>
      <c r="R66" s="59">
        <v>1</v>
      </c>
      <c r="S66" s="59"/>
      <c r="T66" s="59"/>
      <c r="U66" s="59"/>
      <c r="V66" s="59"/>
      <c r="W66" s="59"/>
      <c r="X66" s="105"/>
    </row>
    <row r="67" spans="1:24" customFormat="1" ht="14.25">
      <c r="A67" s="93"/>
      <c r="B67" s="93"/>
      <c r="C67" s="93"/>
      <c r="D67" s="93"/>
      <c r="E67" s="93"/>
      <c r="F67" s="93"/>
      <c r="G67" s="93"/>
      <c r="H67" s="93"/>
      <c r="I67" s="93"/>
      <c r="J67" s="93"/>
      <c r="K67" s="93"/>
      <c r="L67" s="270"/>
      <c r="M67" s="272"/>
      <c r="N67" s="274"/>
      <c r="O67" s="79" t="s">
        <v>35</v>
      </c>
      <c r="P67" s="107">
        <f t="shared" ref="P67:W67" ca="1" si="39">MIN(IF($B68,P66+IF(ISNUMBER(O67),O67,0),P68/$N66),1)</f>
        <v>0</v>
      </c>
      <c r="Q67" s="77">
        <f t="shared" ca="1" si="39"/>
        <v>0</v>
      </c>
      <c r="R67" s="77">
        <f t="shared" ca="1" si="39"/>
        <v>0.63296748570075445</v>
      </c>
      <c r="S67" s="77">
        <f t="shared" ca="1" si="39"/>
        <v>1</v>
      </c>
      <c r="T67" s="77">
        <f t="shared" ca="1" si="39"/>
        <v>1</v>
      </c>
      <c r="U67" s="77">
        <f t="shared" ca="1" si="39"/>
        <v>1</v>
      </c>
      <c r="V67" s="77">
        <f t="shared" ca="1" si="39"/>
        <v>1</v>
      </c>
      <c r="W67" s="77">
        <f t="shared" ca="1" si="39"/>
        <v>1</v>
      </c>
      <c r="X67" s="105"/>
    </row>
    <row r="68" spans="1:24" customFormat="1" ht="14.25">
      <c r="A68" s="93">
        <f ca="1">OFFSET(A68,-CFF.NumLinha,0)+1</f>
        <v>17</v>
      </c>
      <c r="B68" s="93" t="b">
        <f ca="1">$C68&gt;=OFFSET($C68,CFF.NumLinha,0)</f>
        <v>0</v>
      </c>
      <c r="C68" s="93">
        <f ca="1">INDEX(PO!A$11:A$1504,MATCH($A68,PO!$W$11:$W$1504,0))</f>
        <v>1</v>
      </c>
      <c r="D68" s="93">
        <f ca="1">IF(ISERROR(J68),I68,SMALL(I68:J68,1))-1</f>
        <v>29</v>
      </c>
      <c r="E68" s="93">
        <f ca="1">IF($C68=1,OFFSET(E68,-CFF.NumLinha,0)+1,OFFSET(E68,-CFF.NumLinha,0))</f>
        <v>4</v>
      </c>
      <c r="F68" s="93">
        <f ca="1">IF($C68=1,0,IF($C68=2,OFFSET(F68,-CFF.NumLinha,0)+1,OFFSET(F68,-CFF.NumLinha,0)))</f>
        <v>0</v>
      </c>
      <c r="G68" s="93">
        <f ca="1">IF(AND($C68&lt;=2,$C68&lt;&gt;0),0,IF($C68=3,OFFSET(G68,-CFF.NumLinha,0)+1,OFFSET(G68,-CFF.NumLinha,0)))</f>
        <v>0</v>
      </c>
      <c r="H68" s="93">
        <f ca="1">IF(AND($C68&lt;=3,$C68&lt;&gt;0),0,IF($C68=4,OFFSET(H68,-CFF.NumLinha,0)+1,OFFSET(H68,-CFF.NumLinha,0)))</f>
        <v>0</v>
      </c>
      <c r="I68" s="93">
        <f ca="1">MATCH(0,OFFSET($D68,1,$C68,ROW($A$435)-ROW($A68)),0)</f>
        <v>367</v>
      </c>
      <c r="J68" s="93">
        <f ca="1">MATCH(OFFSET($D68,0,$C68)+1,OFFSET($D68,1,$C68,ROW($A$435)-ROW($A68)),0)</f>
        <v>30</v>
      </c>
      <c r="K68" s="94">
        <f ca="1">ROUND(INDEX(PO!U$11:U$1504,MATCH($A68,PO!$W$11:$W$1504,0)),2)+10^-12</f>
        <v>25971.65</v>
      </c>
      <c r="L68" s="270"/>
      <c r="M68" s="272"/>
      <c r="N68" s="274"/>
      <c r="O68" s="115" t="s">
        <v>7</v>
      </c>
      <c r="P68" s="108">
        <f t="shared" ref="P68:W68" ca="1" si="40">IF($B68,ROUND(P67*$N66,2),ROUND(SUMIF(OFFSET($B68,1,0,$D68),TRUE,OFFSET(P68,1,0,$D68))/SUMIF(OFFSET($B68,1,0,$D68),TRUE,OFFSET($K68,1,0,$D68))*$N66,2))</f>
        <v>0</v>
      </c>
      <c r="Q68" s="78">
        <f t="shared" ca="1" si="40"/>
        <v>0</v>
      </c>
      <c r="R68" s="78">
        <f t="shared" ca="1" si="40"/>
        <v>16439.21</v>
      </c>
      <c r="S68" s="78">
        <f t="shared" ca="1" si="40"/>
        <v>25971.65</v>
      </c>
      <c r="T68" s="78">
        <f t="shared" ca="1" si="40"/>
        <v>25971.65</v>
      </c>
      <c r="U68" s="78">
        <f t="shared" ca="1" si="40"/>
        <v>25971.65</v>
      </c>
      <c r="V68" s="78">
        <f t="shared" ca="1" si="40"/>
        <v>25971.65</v>
      </c>
      <c r="W68" s="118">
        <f t="shared" ca="1" si="40"/>
        <v>25971.65</v>
      </c>
      <c r="X68" s="105"/>
    </row>
    <row r="69" spans="1:24" customFormat="1" ht="14.25" customHeight="1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269" t="str">
        <f ca="1">INDEX(PO!K$11:K$1504,MATCH($A71,PO!$W$11:$W$1504,0))</f>
        <v>4.1.</v>
      </c>
      <c r="M69" s="271" t="str">
        <f ca="1">INDEX(PO!O$11:O$1504,MATCH($A71,PO!$W$11:$W$1504,0))</f>
        <v>Atividade 14 - Oficina: Produtos de limpeza: Região Parque São João</v>
      </c>
      <c r="N69" s="273">
        <f ca="1">IF(ROUND(K71,2)=0,K71,ROUND(K71,2))</f>
        <v>6625.52</v>
      </c>
      <c r="O69" s="113" t="s">
        <v>33</v>
      </c>
      <c r="P69" s="112"/>
      <c r="Q69" s="59"/>
      <c r="R69" s="59">
        <v>1</v>
      </c>
      <c r="S69" s="59"/>
      <c r="T69" s="59"/>
      <c r="U69" s="59"/>
      <c r="V69" s="59"/>
      <c r="W69" s="59"/>
      <c r="X69" s="105"/>
    </row>
    <row r="70" spans="1:24" customFormat="1" ht="14.25">
      <c r="A70" s="93"/>
      <c r="B70" s="93"/>
      <c r="C70" s="93"/>
      <c r="D70" s="93"/>
      <c r="E70" s="93"/>
      <c r="F70" s="93"/>
      <c r="G70" s="93"/>
      <c r="H70" s="93"/>
      <c r="I70" s="93"/>
      <c r="J70" s="93"/>
      <c r="K70" s="93"/>
      <c r="L70" s="270"/>
      <c r="M70" s="272"/>
      <c r="N70" s="274"/>
      <c r="O70" s="79" t="s">
        <v>35</v>
      </c>
      <c r="P70" s="107">
        <f t="shared" ref="P70:W70" ca="1" si="41">MIN(IF($B71,P69+IF(ISNUMBER(O70),O70,0),P71/$N69),1)</f>
        <v>0</v>
      </c>
      <c r="Q70" s="77">
        <f t="shared" ca="1" si="41"/>
        <v>0</v>
      </c>
      <c r="R70" s="77">
        <f t="shared" ca="1" si="41"/>
        <v>1</v>
      </c>
      <c r="S70" s="77">
        <f t="shared" ca="1" si="41"/>
        <v>1</v>
      </c>
      <c r="T70" s="77">
        <f t="shared" ca="1" si="41"/>
        <v>1</v>
      </c>
      <c r="U70" s="77">
        <f t="shared" ca="1" si="41"/>
        <v>1</v>
      </c>
      <c r="V70" s="77">
        <f t="shared" ca="1" si="41"/>
        <v>1</v>
      </c>
      <c r="W70" s="77">
        <f t="shared" ca="1" si="41"/>
        <v>1</v>
      </c>
      <c r="X70" s="105"/>
    </row>
    <row r="71" spans="1:24" customFormat="1" ht="14.25">
      <c r="A71" s="93">
        <f ca="1">OFFSET(A71,-CFF.NumLinha,0)+1</f>
        <v>18</v>
      </c>
      <c r="B71" s="93" t="b">
        <f ca="1">$C71&gt;=OFFSET($C71,CFF.NumLinha,0)</f>
        <v>1</v>
      </c>
      <c r="C71" s="93">
        <f ca="1">INDEX(PO!A$11:A$1504,MATCH($A71,PO!$W$11:$W$1504,0))</f>
        <v>2</v>
      </c>
      <c r="D71" s="93">
        <f ca="1">IF(ISERROR(J71),I71,SMALL(I71:J71,1))-1</f>
        <v>2</v>
      </c>
      <c r="E71" s="93">
        <f ca="1">IF($C71=1,OFFSET(E71,-CFF.NumLinha,0)+1,OFFSET(E71,-CFF.NumLinha,0))</f>
        <v>4</v>
      </c>
      <c r="F71" s="93">
        <f ca="1">IF($C71=1,0,IF($C71=2,OFFSET(F71,-CFF.NumLinha,0)+1,OFFSET(F71,-CFF.NumLinha,0)))</f>
        <v>1</v>
      </c>
      <c r="G71" s="93">
        <f ca="1">IF(AND($C71&lt;=2,$C71&lt;&gt;0),0,IF($C71=3,OFFSET(G71,-CFF.NumLinha,0)+1,OFFSET(G71,-CFF.NumLinha,0)))</f>
        <v>0</v>
      </c>
      <c r="H71" s="93">
        <f ca="1">IF(AND($C71&lt;=3,$C71&lt;&gt;0),0,IF($C71=4,OFFSET(H71,-CFF.NumLinha,0)+1,OFFSET(H71,-CFF.NumLinha,0)))</f>
        <v>0</v>
      </c>
      <c r="I71" s="93">
        <f ca="1">MATCH(0,OFFSET($D71,1,$C71,ROW($A$435)-ROW($A71)),0)</f>
        <v>27</v>
      </c>
      <c r="J71" s="93">
        <f ca="1">MATCH(OFFSET($D71,0,$C71)+1,OFFSET($D71,1,$C71,ROW($A$435)-ROW($A71)),0)</f>
        <v>3</v>
      </c>
      <c r="K71" s="94">
        <f ca="1">ROUND(INDEX(PO!U$11:U$1504,MATCH($A71,PO!$W$11:$W$1504,0)),2)+10^-12</f>
        <v>6625.5200000000013</v>
      </c>
      <c r="L71" s="270"/>
      <c r="M71" s="272"/>
      <c r="N71" s="274"/>
      <c r="O71" s="115" t="s">
        <v>7</v>
      </c>
      <c r="P71" s="108">
        <f t="shared" ref="P71:W71" ca="1" si="42">IF($B71,ROUND(P70*$N69,2),ROUND(SUMIF(OFFSET($B71,1,0,$D71),TRUE,OFFSET(P71,1,0,$D71))/SUMIF(OFFSET($B71,1,0,$D71),TRUE,OFFSET($K71,1,0,$D71))*$N69,2))</f>
        <v>0</v>
      </c>
      <c r="Q71" s="78">
        <f t="shared" ca="1" si="42"/>
        <v>0</v>
      </c>
      <c r="R71" s="78">
        <f t="shared" ca="1" si="42"/>
        <v>6625.52</v>
      </c>
      <c r="S71" s="78">
        <f t="shared" ca="1" si="42"/>
        <v>6625.52</v>
      </c>
      <c r="T71" s="78">
        <f t="shared" ca="1" si="42"/>
        <v>6625.52</v>
      </c>
      <c r="U71" s="78">
        <f t="shared" ca="1" si="42"/>
        <v>6625.52</v>
      </c>
      <c r="V71" s="78">
        <f t="shared" ca="1" si="42"/>
        <v>6625.52</v>
      </c>
      <c r="W71" s="118">
        <f t="shared" ca="1" si="42"/>
        <v>6625.52</v>
      </c>
      <c r="X71" s="105"/>
    </row>
    <row r="72" spans="1:24" customFormat="1" ht="14.25" customHeight="1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269" t="str">
        <f ca="1">INDEX(PO!K$11:K$1504,MATCH($A74,PO!$W$11:$W$1504,0))</f>
        <v>4.2.</v>
      </c>
      <c r="M72" s="271" t="str">
        <f ca="1">INDEX(PO!O$11:O$1504,MATCH($A74,PO!$W$11:$W$1504,0))</f>
        <v>Atividade 15 - Oficina para melhor idade: Região Parque São João</v>
      </c>
      <c r="N72" s="273">
        <f ca="1">IF(ROUND(K74,2)=0,K74,ROUND(K74,2))</f>
        <v>4064.49</v>
      </c>
      <c r="O72" s="113" t="s">
        <v>33</v>
      </c>
      <c r="P72" s="112"/>
      <c r="Q72" s="59"/>
      <c r="R72" s="59">
        <v>1</v>
      </c>
      <c r="S72" s="59"/>
      <c r="T72" s="59"/>
      <c r="U72" s="59"/>
      <c r="V72" s="59"/>
      <c r="W72" s="59"/>
      <c r="X72" s="105"/>
    </row>
    <row r="73" spans="1:24" customFormat="1" ht="14.25">
      <c r="A73" s="93"/>
      <c r="B73" s="93"/>
      <c r="C73" s="93"/>
      <c r="D73" s="93"/>
      <c r="E73" s="93"/>
      <c r="F73" s="93"/>
      <c r="G73" s="93"/>
      <c r="H73" s="93"/>
      <c r="I73" s="93"/>
      <c r="J73" s="93"/>
      <c r="K73" s="93"/>
      <c r="L73" s="270"/>
      <c r="M73" s="272"/>
      <c r="N73" s="274"/>
      <c r="O73" s="79" t="s">
        <v>35</v>
      </c>
      <c r="P73" s="107">
        <f t="shared" ref="P73:W73" ca="1" si="43">MIN(IF($B74,P72+IF(ISNUMBER(O73),O73,0),P74/$N72),1)</f>
        <v>0</v>
      </c>
      <c r="Q73" s="77">
        <f t="shared" ca="1" si="43"/>
        <v>0</v>
      </c>
      <c r="R73" s="77">
        <f t="shared" ca="1" si="43"/>
        <v>1</v>
      </c>
      <c r="S73" s="77">
        <f t="shared" ca="1" si="43"/>
        <v>1</v>
      </c>
      <c r="T73" s="77">
        <f t="shared" ca="1" si="43"/>
        <v>1</v>
      </c>
      <c r="U73" s="77">
        <f t="shared" ca="1" si="43"/>
        <v>1</v>
      </c>
      <c r="V73" s="77">
        <f t="shared" ca="1" si="43"/>
        <v>1</v>
      </c>
      <c r="W73" s="77">
        <f t="shared" ca="1" si="43"/>
        <v>1</v>
      </c>
      <c r="X73" s="105"/>
    </row>
    <row r="74" spans="1:24" customFormat="1" ht="14.25">
      <c r="A74" s="93">
        <f ca="1">OFFSET(A74,-CFF.NumLinha,0)+1</f>
        <v>19</v>
      </c>
      <c r="B74" s="93" t="b">
        <f ca="1">$C74&gt;=OFFSET($C74,CFF.NumLinha,0)</f>
        <v>1</v>
      </c>
      <c r="C74" s="93">
        <f ca="1">INDEX(PO!A$11:A$1504,MATCH($A74,PO!$W$11:$W$1504,0))</f>
        <v>2</v>
      </c>
      <c r="D74" s="93">
        <f ca="1">IF(ISERROR(J74),I74,SMALL(I74:J74,1))-1</f>
        <v>2</v>
      </c>
      <c r="E74" s="93">
        <f ca="1">IF($C74=1,OFFSET(E74,-CFF.NumLinha,0)+1,OFFSET(E74,-CFF.NumLinha,0))</f>
        <v>4</v>
      </c>
      <c r="F74" s="93">
        <f ca="1">IF($C74=1,0,IF($C74=2,OFFSET(F74,-CFF.NumLinha,0)+1,OFFSET(F74,-CFF.NumLinha,0)))</f>
        <v>2</v>
      </c>
      <c r="G74" s="93">
        <f ca="1">IF(AND($C74&lt;=2,$C74&lt;&gt;0),0,IF($C74=3,OFFSET(G74,-CFF.NumLinha,0)+1,OFFSET(G74,-CFF.NumLinha,0)))</f>
        <v>0</v>
      </c>
      <c r="H74" s="93">
        <f ca="1">IF(AND($C74&lt;=3,$C74&lt;&gt;0),0,IF($C74=4,OFFSET(H74,-CFF.NumLinha,0)+1,OFFSET(H74,-CFF.NumLinha,0)))</f>
        <v>0</v>
      </c>
      <c r="I74" s="93">
        <f ca="1">MATCH(0,OFFSET($D74,1,$C74,ROW($A$435)-ROW($A74)),0)</f>
        <v>24</v>
      </c>
      <c r="J74" s="93">
        <f ca="1">MATCH(OFFSET($D74,0,$C74)+1,OFFSET($D74,1,$C74,ROW($A$435)-ROW($A74)),0)</f>
        <v>3</v>
      </c>
      <c r="K74" s="94">
        <f ca="1">ROUND(INDEX(PO!U$11:U$1504,MATCH($A74,PO!$W$11:$W$1504,0)),2)+10^-12</f>
        <v>4064.4900000000007</v>
      </c>
      <c r="L74" s="270"/>
      <c r="M74" s="272"/>
      <c r="N74" s="274"/>
      <c r="O74" s="115" t="s">
        <v>7</v>
      </c>
      <c r="P74" s="108">
        <f t="shared" ref="P74:W74" ca="1" si="44">IF($B74,ROUND(P73*$N72,2),ROUND(SUMIF(OFFSET($B74,1,0,$D74),TRUE,OFFSET(P74,1,0,$D74))/SUMIF(OFFSET($B74,1,0,$D74),TRUE,OFFSET($K74,1,0,$D74))*$N72,2))</f>
        <v>0</v>
      </c>
      <c r="Q74" s="78">
        <f t="shared" ca="1" si="44"/>
        <v>0</v>
      </c>
      <c r="R74" s="78">
        <f t="shared" ca="1" si="44"/>
        <v>4064.49</v>
      </c>
      <c r="S74" s="78">
        <f t="shared" ca="1" si="44"/>
        <v>4064.49</v>
      </c>
      <c r="T74" s="78">
        <f t="shared" ca="1" si="44"/>
        <v>4064.49</v>
      </c>
      <c r="U74" s="78">
        <f t="shared" ca="1" si="44"/>
        <v>4064.49</v>
      </c>
      <c r="V74" s="78">
        <f t="shared" ca="1" si="44"/>
        <v>4064.49</v>
      </c>
      <c r="W74" s="118">
        <f t="shared" ca="1" si="44"/>
        <v>4064.49</v>
      </c>
      <c r="X74" s="105"/>
    </row>
    <row r="75" spans="1:24" customFormat="1" ht="14.25" customHeight="1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269" t="str">
        <f ca="1">INDEX(PO!K$11:K$1504,MATCH($A77,PO!$W$11:$W$1504,0))</f>
        <v>4.3.</v>
      </c>
      <c r="M75" s="271" t="str">
        <f ca="1">INDEX(PO!O$11:O$1504,MATCH($A77,PO!$W$11:$W$1504,0))</f>
        <v>Atividade 16 - Plantão Social região Parque São João</v>
      </c>
      <c r="N75" s="273">
        <f ca="1">IF(ROUND(K77,2)=0,K77,ROUND(K77,2))</f>
        <v>1713.78</v>
      </c>
      <c r="O75" s="113" t="s">
        <v>33</v>
      </c>
      <c r="P75" s="112"/>
      <c r="Q75" s="59"/>
      <c r="R75" s="59">
        <v>1</v>
      </c>
      <c r="S75" s="59"/>
      <c r="T75" s="59"/>
      <c r="U75" s="59"/>
      <c r="V75" s="59"/>
      <c r="W75" s="59"/>
      <c r="X75" s="105"/>
    </row>
    <row r="76" spans="1:24" customFormat="1" ht="14.25">
      <c r="A76" s="93"/>
      <c r="B76" s="93"/>
      <c r="C76" s="93"/>
      <c r="D76" s="93"/>
      <c r="E76" s="93"/>
      <c r="F76" s="93"/>
      <c r="G76" s="93"/>
      <c r="H76" s="93"/>
      <c r="I76" s="93"/>
      <c r="J76" s="93"/>
      <c r="K76" s="93"/>
      <c r="L76" s="270"/>
      <c r="M76" s="272"/>
      <c r="N76" s="274"/>
      <c r="O76" s="79" t="s">
        <v>35</v>
      </c>
      <c r="P76" s="107">
        <f t="shared" ref="P76:W76" ca="1" si="45">MIN(IF($B77,P75+IF(ISNUMBER(O76),O76,0),P77/$N75),1)</f>
        <v>0</v>
      </c>
      <c r="Q76" s="77">
        <f t="shared" ca="1" si="45"/>
        <v>0</v>
      </c>
      <c r="R76" s="77">
        <f t="shared" ca="1" si="45"/>
        <v>1</v>
      </c>
      <c r="S76" s="77">
        <f t="shared" ca="1" si="45"/>
        <v>1</v>
      </c>
      <c r="T76" s="77">
        <f t="shared" ca="1" si="45"/>
        <v>1</v>
      </c>
      <c r="U76" s="77">
        <f t="shared" ca="1" si="45"/>
        <v>1</v>
      </c>
      <c r="V76" s="77">
        <f t="shared" ca="1" si="45"/>
        <v>1</v>
      </c>
      <c r="W76" s="77">
        <f t="shared" ca="1" si="45"/>
        <v>1</v>
      </c>
      <c r="X76" s="105"/>
    </row>
    <row r="77" spans="1:24" customFormat="1" ht="14.25">
      <c r="A77" s="93">
        <f ca="1">OFFSET(A77,-CFF.NumLinha,0)+1</f>
        <v>20</v>
      </c>
      <c r="B77" s="93" t="b">
        <f ca="1">$C77&gt;=OFFSET($C77,CFF.NumLinha,0)</f>
        <v>1</v>
      </c>
      <c r="C77" s="93">
        <f ca="1">INDEX(PO!A$11:A$1504,MATCH($A77,PO!$W$11:$W$1504,0))</f>
        <v>2</v>
      </c>
      <c r="D77" s="93">
        <f ca="1">IF(ISERROR(J77),I77,SMALL(I77:J77,1))-1</f>
        <v>2</v>
      </c>
      <c r="E77" s="93">
        <f ca="1">IF($C77=1,OFFSET(E77,-CFF.NumLinha,0)+1,OFFSET(E77,-CFF.NumLinha,0))</f>
        <v>4</v>
      </c>
      <c r="F77" s="93">
        <f ca="1">IF($C77=1,0,IF($C77=2,OFFSET(F77,-CFF.NumLinha,0)+1,OFFSET(F77,-CFF.NumLinha,0)))</f>
        <v>3</v>
      </c>
      <c r="G77" s="93">
        <f ca="1">IF(AND($C77&lt;=2,$C77&lt;&gt;0),0,IF($C77=3,OFFSET(G77,-CFF.NumLinha,0)+1,OFFSET(G77,-CFF.NumLinha,0)))</f>
        <v>0</v>
      </c>
      <c r="H77" s="93">
        <f ca="1">IF(AND($C77&lt;=3,$C77&lt;&gt;0),0,IF($C77=4,OFFSET(H77,-CFF.NumLinha,0)+1,OFFSET(H77,-CFF.NumLinha,0)))</f>
        <v>0</v>
      </c>
      <c r="I77" s="93">
        <f ca="1">MATCH(0,OFFSET($D77,1,$C77,ROW($A$435)-ROW($A77)),0)</f>
        <v>21</v>
      </c>
      <c r="J77" s="93">
        <f ca="1">MATCH(OFFSET($D77,0,$C77)+1,OFFSET($D77,1,$C77,ROW($A$435)-ROW($A77)),0)</f>
        <v>3</v>
      </c>
      <c r="K77" s="94">
        <f ca="1">ROUND(INDEX(PO!U$11:U$1504,MATCH($A77,PO!$W$11:$W$1504,0)),2)+10^-12</f>
        <v>1713.7800000000009</v>
      </c>
      <c r="L77" s="270"/>
      <c r="M77" s="272"/>
      <c r="N77" s="274"/>
      <c r="O77" s="115" t="s">
        <v>7</v>
      </c>
      <c r="P77" s="108">
        <f t="shared" ref="P77:W77" ca="1" si="46">IF($B77,ROUND(P76*$N75,2),ROUND(SUMIF(OFFSET($B77,1,0,$D77),TRUE,OFFSET(P77,1,0,$D77))/SUMIF(OFFSET($B77,1,0,$D77),TRUE,OFFSET($K77,1,0,$D77))*$N75,2))</f>
        <v>0</v>
      </c>
      <c r="Q77" s="78">
        <f t="shared" ca="1" si="46"/>
        <v>0</v>
      </c>
      <c r="R77" s="78">
        <f t="shared" ca="1" si="46"/>
        <v>1713.78</v>
      </c>
      <c r="S77" s="78">
        <f t="shared" ca="1" si="46"/>
        <v>1713.78</v>
      </c>
      <c r="T77" s="78">
        <f t="shared" ca="1" si="46"/>
        <v>1713.78</v>
      </c>
      <c r="U77" s="78">
        <f t="shared" ca="1" si="46"/>
        <v>1713.78</v>
      </c>
      <c r="V77" s="78">
        <f t="shared" ca="1" si="46"/>
        <v>1713.78</v>
      </c>
      <c r="W77" s="118">
        <f t="shared" ca="1" si="46"/>
        <v>1713.78</v>
      </c>
      <c r="X77" s="105"/>
    </row>
    <row r="78" spans="1:24" customFormat="1" ht="14.25" customHeight="1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269" t="str">
        <f ca="1">INDEX(PO!K$11:K$1504,MATCH($A80,PO!$W$11:$W$1504,0))</f>
        <v>4.4.</v>
      </c>
      <c r="M78" s="271" t="str">
        <f ca="1">INDEX(PO!O$11:O$1504,MATCH($A80,PO!$W$11:$W$1504,0))</f>
        <v>Atividade 17 - Assembléia para eleição CAO Comissão  Acompanamento da Obra região Parque São João</v>
      </c>
      <c r="N78" s="273">
        <f ca="1">IF(ROUND(K80,2)=0,K80,ROUND(K80,2))</f>
        <v>1080.33</v>
      </c>
      <c r="O78" s="113" t="s">
        <v>33</v>
      </c>
      <c r="P78" s="112"/>
      <c r="Q78" s="59"/>
      <c r="R78" s="59">
        <v>1</v>
      </c>
      <c r="S78" s="59"/>
      <c r="T78" s="59"/>
      <c r="U78" s="59"/>
      <c r="V78" s="59"/>
      <c r="W78" s="59"/>
      <c r="X78" s="105"/>
    </row>
    <row r="79" spans="1:24" customFormat="1" ht="14.25">
      <c r="A79" s="93"/>
      <c r="B79" s="93"/>
      <c r="C79" s="93"/>
      <c r="D79" s="93"/>
      <c r="E79" s="93"/>
      <c r="F79" s="93"/>
      <c r="G79" s="93"/>
      <c r="H79" s="93"/>
      <c r="I79" s="93"/>
      <c r="J79" s="93"/>
      <c r="K79" s="93"/>
      <c r="L79" s="270"/>
      <c r="M79" s="272"/>
      <c r="N79" s="274"/>
      <c r="O79" s="79" t="s">
        <v>35</v>
      </c>
      <c r="P79" s="107">
        <f t="shared" ref="P79:W79" ca="1" si="47">MIN(IF($B80,P78+IF(ISNUMBER(O79),O79,0),P80/$N78),1)</f>
        <v>0</v>
      </c>
      <c r="Q79" s="77">
        <f t="shared" ca="1" si="47"/>
        <v>0</v>
      </c>
      <c r="R79" s="77">
        <f t="shared" ca="1" si="47"/>
        <v>1</v>
      </c>
      <c r="S79" s="77">
        <f t="shared" ca="1" si="47"/>
        <v>1</v>
      </c>
      <c r="T79" s="77">
        <f t="shared" ca="1" si="47"/>
        <v>1</v>
      </c>
      <c r="U79" s="77">
        <f t="shared" ca="1" si="47"/>
        <v>1</v>
      </c>
      <c r="V79" s="77">
        <f t="shared" ca="1" si="47"/>
        <v>1</v>
      </c>
      <c r="W79" s="77">
        <f t="shared" ca="1" si="47"/>
        <v>1</v>
      </c>
      <c r="X79" s="105"/>
    </row>
    <row r="80" spans="1:24" customFormat="1" ht="14.25">
      <c r="A80" s="93">
        <f ca="1">OFFSET(A80,-CFF.NumLinha,0)+1</f>
        <v>21</v>
      </c>
      <c r="B80" s="93" t="b">
        <f ca="1">$C80&gt;=OFFSET($C80,CFF.NumLinha,0)</f>
        <v>1</v>
      </c>
      <c r="C80" s="93">
        <f ca="1">INDEX(PO!A$11:A$1504,MATCH($A80,PO!$W$11:$W$1504,0))</f>
        <v>2</v>
      </c>
      <c r="D80" s="93">
        <f ca="1">IF(ISERROR(J80),I80,SMALL(I80:J80,1))-1</f>
        <v>2</v>
      </c>
      <c r="E80" s="93">
        <f ca="1">IF($C80=1,OFFSET(E80,-CFF.NumLinha,0)+1,OFFSET(E80,-CFF.NumLinha,0))</f>
        <v>4</v>
      </c>
      <c r="F80" s="93">
        <f ca="1">IF($C80=1,0,IF($C80=2,OFFSET(F80,-CFF.NumLinha,0)+1,OFFSET(F80,-CFF.NumLinha,0)))</f>
        <v>4</v>
      </c>
      <c r="G80" s="93">
        <f ca="1">IF(AND($C80&lt;=2,$C80&lt;&gt;0),0,IF($C80=3,OFFSET(G80,-CFF.NumLinha,0)+1,OFFSET(G80,-CFF.NumLinha,0)))</f>
        <v>0</v>
      </c>
      <c r="H80" s="93">
        <f ca="1">IF(AND($C80&lt;=3,$C80&lt;&gt;0),0,IF($C80=4,OFFSET(H80,-CFF.NumLinha,0)+1,OFFSET(H80,-CFF.NumLinha,0)))</f>
        <v>0</v>
      </c>
      <c r="I80" s="93">
        <f ca="1">MATCH(0,OFFSET($D80,1,$C80,ROW($A$435)-ROW($A80)),0)</f>
        <v>18</v>
      </c>
      <c r="J80" s="93">
        <f ca="1">MATCH(OFFSET($D80,0,$C80)+1,OFFSET($D80,1,$C80,ROW($A$435)-ROW($A80)),0)</f>
        <v>3</v>
      </c>
      <c r="K80" s="94">
        <f ca="1">ROUND(INDEX(PO!U$11:U$1504,MATCH($A80,PO!$W$11:$W$1504,0)),2)+10^-12</f>
        <v>1080.3300000000008</v>
      </c>
      <c r="L80" s="270"/>
      <c r="M80" s="272"/>
      <c r="N80" s="274"/>
      <c r="O80" s="115" t="s">
        <v>7</v>
      </c>
      <c r="P80" s="108">
        <f t="shared" ref="P80:W80" ca="1" si="48">IF($B80,ROUND(P79*$N78,2),ROUND(SUMIF(OFFSET($B80,1,0,$D80),TRUE,OFFSET(P80,1,0,$D80))/SUMIF(OFFSET($B80,1,0,$D80),TRUE,OFFSET($K80,1,0,$D80))*$N78,2))</f>
        <v>0</v>
      </c>
      <c r="Q80" s="78">
        <f t="shared" ca="1" si="48"/>
        <v>0</v>
      </c>
      <c r="R80" s="78">
        <f t="shared" ca="1" si="48"/>
        <v>1080.33</v>
      </c>
      <c r="S80" s="78">
        <f t="shared" ca="1" si="48"/>
        <v>1080.33</v>
      </c>
      <c r="T80" s="78">
        <f t="shared" ca="1" si="48"/>
        <v>1080.33</v>
      </c>
      <c r="U80" s="78">
        <f t="shared" ca="1" si="48"/>
        <v>1080.33</v>
      </c>
      <c r="V80" s="78">
        <f t="shared" ca="1" si="48"/>
        <v>1080.33</v>
      </c>
      <c r="W80" s="118">
        <f t="shared" ca="1" si="48"/>
        <v>1080.33</v>
      </c>
      <c r="X80" s="105"/>
    </row>
    <row r="81" spans="1:24" customFormat="1" ht="14.25" customHeight="1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269" t="str">
        <f ca="1">INDEX(PO!K$11:K$1504,MATCH($A83,PO!$W$11:$W$1504,0))</f>
        <v>4.5.</v>
      </c>
      <c r="M81" s="271" t="str">
        <f ca="1">INDEX(PO!O$11:O$1504,MATCH($A83,PO!$W$11:$W$1504,0))</f>
        <v>Atividade 18 - Oficina: Produtos de limpeza região Jardim Ikaraí</v>
      </c>
      <c r="N81" s="273">
        <f ca="1">IF(ROUND(K83,2)=0,K83,ROUND(K83,2))</f>
        <v>2955.09</v>
      </c>
      <c r="O81" s="113" t="s">
        <v>33</v>
      </c>
      <c r="P81" s="112"/>
      <c r="Q81" s="59"/>
      <c r="R81" s="59">
        <v>1</v>
      </c>
      <c r="S81" s="59"/>
      <c r="T81" s="59"/>
      <c r="U81" s="59"/>
      <c r="V81" s="59"/>
      <c r="W81" s="59"/>
      <c r="X81" s="105"/>
    </row>
    <row r="82" spans="1:24" customFormat="1" ht="14.25">
      <c r="A82" s="93"/>
      <c r="B82" s="93"/>
      <c r="C82" s="93"/>
      <c r="D82" s="93"/>
      <c r="E82" s="93"/>
      <c r="F82" s="93"/>
      <c r="G82" s="93"/>
      <c r="H82" s="93"/>
      <c r="I82" s="93"/>
      <c r="J82" s="93"/>
      <c r="K82" s="93"/>
      <c r="L82" s="270"/>
      <c r="M82" s="272"/>
      <c r="N82" s="274"/>
      <c r="O82" s="79" t="s">
        <v>35</v>
      </c>
      <c r="P82" s="107">
        <f t="shared" ref="P82:W82" ca="1" si="49">MIN(IF($B83,P81+IF(ISNUMBER(O82),O82,0),P83/$N81),1)</f>
        <v>0</v>
      </c>
      <c r="Q82" s="77">
        <f t="shared" ca="1" si="49"/>
        <v>0</v>
      </c>
      <c r="R82" s="77">
        <f t="shared" ca="1" si="49"/>
        <v>1</v>
      </c>
      <c r="S82" s="77">
        <f t="shared" ca="1" si="49"/>
        <v>1</v>
      </c>
      <c r="T82" s="77">
        <f t="shared" ca="1" si="49"/>
        <v>1</v>
      </c>
      <c r="U82" s="77">
        <f t="shared" ca="1" si="49"/>
        <v>1</v>
      </c>
      <c r="V82" s="77">
        <f t="shared" ca="1" si="49"/>
        <v>1</v>
      </c>
      <c r="W82" s="77">
        <f t="shared" ca="1" si="49"/>
        <v>1</v>
      </c>
      <c r="X82" s="105"/>
    </row>
    <row r="83" spans="1:24" customFormat="1" ht="14.25">
      <c r="A83" s="93">
        <f ca="1">OFFSET(A83,-CFF.NumLinha,0)+1</f>
        <v>22</v>
      </c>
      <c r="B83" s="93" t="b">
        <f ca="1">$C83&gt;=OFFSET($C83,CFF.NumLinha,0)</f>
        <v>1</v>
      </c>
      <c r="C83" s="93">
        <f ca="1">INDEX(PO!A$11:A$1504,MATCH($A83,PO!$W$11:$W$1504,0))</f>
        <v>2</v>
      </c>
      <c r="D83" s="93">
        <f ca="1">IF(ISERROR(J83),I83,SMALL(I83:J83,1))-1</f>
        <v>2</v>
      </c>
      <c r="E83" s="93">
        <f ca="1">IF($C83=1,OFFSET(E83,-CFF.NumLinha,0)+1,OFFSET(E83,-CFF.NumLinha,0))</f>
        <v>4</v>
      </c>
      <c r="F83" s="93">
        <f ca="1">IF($C83=1,0,IF($C83=2,OFFSET(F83,-CFF.NumLinha,0)+1,OFFSET(F83,-CFF.NumLinha,0)))</f>
        <v>5</v>
      </c>
      <c r="G83" s="93">
        <f ca="1">IF(AND($C83&lt;=2,$C83&lt;&gt;0),0,IF($C83=3,OFFSET(G83,-CFF.NumLinha,0)+1,OFFSET(G83,-CFF.NumLinha,0)))</f>
        <v>0</v>
      </c>
      <c r="H83" s="93">
        <f ca="1">IF(AND($C83&lt;=3,$C83&lt;&gt;0),0,IF($C83=4,OFFSET(H83,-CFF.NumLinha,0)+1,OFFSET(H83,-CFF.NumLinha,0)))</f>
        <v>0</v>
      </c>
      <c r="I83" s="93">
        <f ca="1">MATCH(0,OFFSET($D83,1,$C83,ROW($A$435)-ROW($A83)),0)</f>
        <v>15</v>
      </c>
      <c r="J83" s="93">
        <f ca="1">MATCH(OFFSET($D83,0,$C83)+1,OFFSET($D83,1,$C83,ROW($A$435)-ROW($A83)),0)</f>
        <v>3</v>
      </c>
      <c r="K83" s="94">
        <f ca="1">ROUND(INDEX(PO!U$11:U$1504,MATCH($A83,PO!$W$11:$W$1504,0)),2)+10^-12</f>
        <v>2955.0900000000011</v>
      </c>
      <c r="L83" s="270"/>
      <c r="M83" s="272"/>
      <c r="N83" s="274"/>
      <c r="O83" s="115" t="s">
        <v>7</v>
      </c>
      <c r="P83" s="108">
        <f t="shared" ref="P83:W83" ca="1" si="50">IF($B83,ROUND(P82*$N81,2),ROUND(SUMIF(OFFSET($B83,1,0,$D83),TRUE,OFFSET(P83,1,0,$D83))/SUMIF(OFFSET($B83,1,0,$D83),TRUE,OFFSET($K83,1,0,$D83))*$N81,2))</f>
        <v>0</v>
      </c>
      <c r="Q83" s="78">
        <f t="shared" ca="1" si="50"/>
        <v>0</v>
      </c>
      <c r="R83" s="78">
        <f t="shared" ca="1" si="50"/>
        <v>2955.09</v>
      </c>
      <c r="S83" s="78">
        <f t="shared" ca="1" si="50"/>
        <v>2955.09</v>
      </c>
      <c r="T83" s="78">
        <f t="shared" ca="1" si="50"/>
        <v>2955.09</v>
      </c>
      <c r="U83" s="78">
        <f t="shared" ca="1" si="50"/>
        <v>2955.09</v>
      </c>
      <c r="V83" s="78">
        <f t="shared" ca="1" si="50"/>
        <v>2955.09</v>
      </c>
      <c r="W83" s="118">
        <f t="shared" ca="1" si="50"/>
        <v>2955.09</v>
      </c>
      <c r="X83" s="105"/>
    </row>
    <row r="84" spans="1:24" customFormat="1" ht="14.25" customHeight="1">
      <c r="A84" s="39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269" t="str">
        <f ca="1">INDEX(PO!K$11:K$1504,MATCH($A86,PO!$W$11:$W$1504,0))</f>
        <v>4.6.</v>
      </c>
      <c r="M84" s="271" t="str">
        <f ca="1">INDEX(PO!O$11:O$1504,MATCH($A86,PO!$W$11:$W$1504,0))</f>
        <v>Atividade 19 - Oficina para melhor idade região Jardim Ikaraí</v>
      </c>
      <c r="N84" s="273">
        <f ca="1">IF(ROUND(K86,2)=0,K86,ROUND(K86,2))</f>
        <v>4049.49</v>
      </c>
      <c r="O84" s="113" t="s">
        <v>33</v>
      </c>
      <c r="P84" s="112"/>
      <c r="Q84" s="59"/>
      <c r="R84" s="59"/>
      <c r="S84" s="59">
        <v>1</v>
      </c>
      <c r="T84" s="59"/>
      <c r="U84" s="59"/>
      <c r="V84" s="59"/>
      <c r="W84" s="59"/>
      <c r="X84" s="105"/>
    </row>
    <row r="85" spans="1:24" customFormat="1" ht="14.25">
      <c r="A85" s="93"/>
      <c r="B85" s="93"/>
      <c r="C85" s="93"/>
      <c r="D85" s="93"/>
      <c r="E85" s="93"/>
      <c r="F85" s="93"/>
      <c r="G85" s="93"/>
      <c r="H85" s="93"/>
      <c r="I85" s="93"/>
      <c r="J85" s="93"/>
      <c r="K85" s="93"/>
      <c r="L85" s="270"/>
      <c r="M85" s="272"/>
      <c r="N85" s="274"/>
      <c r="O85" s="79" t="s">
        <v>35</v>
      </c>
      <c r="P85" s="107">
        <f t="shared" ref="P85:W85" ca="1" si="51">MIN(IF($B86,P84+IF(ISNUMBER(O85),O85,0),P86/$N84),1)</f>
        <v>0</v>
      </c>
      <c r="Q85" s="77">
        <f t="shared" ca="1" si="51"/>
        <v>0</v>
      </c>
      <c r="R85" s="77">
        <f t="shared" ca="1" si="51"/>
        <v>0</v>
      </c>
      <c r="S85" s="77">
        <f t="shared" ca="1" si="51"/>
        <v>1</v>
      </c>
      <c r="T85" s="77">
        <f t="shared" ca="1" si="51"/>
        <v>1</v>
      </c>
      <c r="U85" s="77">
        <f t="shared" ca="1" si="51"/>
        <v>1</v>
      </c>
      <c r="V85" s="77">
        <f t="shared" ca="1" si="51"/>
        <v>1</v>
      </c>
      <c r="W85" s="77">
        <f t="shared" ca="1" si="51"/>
        <v>1</v>
      </c>
      <c r="X85" s="105"/>
    </row>
    <row r="86" spans="1:24" customFormat="1" ht="14.25">
      <c r="A86" s="93">
        <f ca="1">OFFSET(A86,-CFF.NumLinha,0)+1</f>
        <v>23</v>
      </c>
      <c r="B86" s="93" t="b">
        <f ca="1">$C86&gt;=OFFSET($C86,CFF.NumLinha,0)</f>
        <v>1</v>
      </c>
      <c r="C86" s="93">
        <f ca="1">INDEX(PO!A$11:A$1504,MATCH($A86,PO!$W$11:$W$1504,0))</f>
        <v>2</v>
      </c>
      <c r="D86" s="93">
        <f ca="1">IF(ISERROR(J86),I86,SMALL(I86:J86,1))-1</f>
        <v>2</v>
      </c>
      <c r="E86" s="93">
        <f ca="1">IF($C86=1,OFFSET(E86,-CFF.NumLinha,0)+1,OFFSET(E86,-CFF.NumLinha,0))</f>
        <v>4</v>
      </c>
      <c r="F86" s="93">
        <f ca="1">IF($C86=1,0,IF($C86=2,OFFSET(F86,-CFF.NumLinha,0)+1,OFFSET(F86,-CFF.NumLinha,0)))</f>
        <v>6</v>
      </c>
      <c r="G86" s="93">
        <f ca="1">IF(AND($C86&lt;=2,$C86&lt;&gt;0),0,IF($C86=3,OFFSET(G86,-CFF.NumLinha,0)+1,OFFSET(G86,-CFF.NumLinha,0)))</f>
        <v>0</v>
      </c>
      <c r="H86" s="93">
        <f ca="1">IF(AND($C86&lt;=3,$C86&lt;&gt;0),0,IF($C86=4,OFFSET(H86,-CFF.NumLinha,0)+1,OFFSET(H86,-CFF.NumLinha,0)))</f>
        <v>0</v>
      </c>
      <c r="I86" s="93">
        <f ca="1">MATCH(0,OFFSET($D86,1,$C86,ROW($A$435)-ROW($A86)),0)</f>
        <v>12</v>
      </c>
      <c r="J86" s="93">
        <f ca="1">MATCH(OFFSET($D86,0,$C86)+1,OFFSET($D86,1,$C86,ROW($A$435)-ROW($A86)),0)</f>
        <v>3</v>
      </c>
      <c r="K86" s="94">
        <f ca="1">ROUND(INDEX(PO!U$11:U$1504,MATCH($A86,PO!$W$11:$W$1504,0)),2)+10^-12</f>
        <v>4049.4900000000007</v>
      </c>
      <c r="L86" s="270"/>
      <c r="M86" s="272"/>
      <c r="N86" s="274"/>
      <c r="O86" s="115" t="s">
        <v>7</v>
      </c>
      <c r="P86" s="108">
        <f t="shared" ref="P86:W86" ca="1" si="52">IF($B86,ROUND(P85*$N84,2),ROUND(SUMIF(OFFSET($B86,1,0,$D86),TRUE,OFFSET(P86,1,0,$D86))/SUMIF(OFFSET($B86,1,0,$D86),TRUE,OFFSET($K86,1,0,$D86))*$N84,2))</f>
        <v>0</v>
      </c>
      <c r="Q86" s="78">
        <f t="shared" ca="1" si="52"/>
        <v>0</v>
      </c>
      <c r="R86" s="78">
        <f t="shared" ca="1" si="52"/>
        <v>0</v>
      </c>
      <c r="S86" s="78">
        <f t="shared" ca="1" si="52"/>
        <v>4049.49</v>
      </c>
      <c r="T86" s="78">
        <f t="shared" ca="1" si="52"/>
        <v>4049.49</v>
      </c>
      <c r="U86" s="78">
        <f t="shared" ca="1" si="52"/>
        <v>4049.49</v>
      </c>
      <c r="V86" s="78">
        <f t="shared" ca="1" si="52"/>
        <v>4049.49</v>
      </c>
      <c r="W86" s="118">
        <f t="shared" ca="1" si="52"/>
        <v>4049.49</v>
      </c>
      <c r="X86" s="105"/>
    </row>
    <row r="87" spans="1:24" customFormat="1" ht="14.25" customHeight="1">
      <c r="A87" s="3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269" t="str">
        <f ca="1">INDEX(PO!K$11:K$1504,MATCH($A89,PO!$W$11:$W$1504,0))</f>
        <v>4.7.</v>
      </c>
      <c r="M87" s="271" t="str">
        <f ca="1">INDEX(PO!O$11:O$1504,MATCH($A89,PO!$W$11:$W$1504,0))</f>
        <v>Atividade 20 - Plantão Social região Jardim Ikaraí</v>
      </c>
      <c r="N87" s="273">
        <f ca="1">IF(ROUND(K89,2)=0,K89,ROUND(K89,2))</f>
        <v>1713.78</v>
      </c>
      <c r="O87" s="113" t="s">
        <v>33</v>
      </c>
      <c r="P87" s="112"/>
      <c r="Q87" s="59"/>
      <c r="R87" s="59"/>
      <c r="S87" s="59">
        <v>1</v>
      </c>
      <c r="T87" s="59"/>
      <c r="U87" s="59"/>
      <c r="V87" s="59"/>
      <c r="W87" s="59"/>
      <c r="X87" s="105"/>
    </row>
    <row r="88" spans="1:24" customFormat="1" ht="14.25">
      <c r="A88" s="93"/>
      <c r="B88" s="93"/>
      <c r="C88" s="93"/>
      <c r="D88" s="93"/>
      <c r="E88" s="93"/>
      <c r="F88" s="93"/>
      <c r="G88" s="93"/>
      <c r="H88" s="93"/>
      <c r="I88" s="93"/>
      <c r="J88" s="93"/>
      <c r="K88" s="93"/>
      <c r="L88" s="270"/>
      <c r="M88" s="272"/>
      <c r="N88" s="274"/>
      <c r="O88" s="79" t="s">
        <v>35</v>
      </c>
      <c r="P88" s="107">
        <f t="shared" ref="P88:W88" ca="1" si="53">MIN(IF($B89,P87+IF(ISNUMBER(O88),O88,0),P89/$N87),1)</f>
        <v>0</v>
      </c>
      <c r="Q88" s="77">
        <f t="shared" ca="1" si="53"/>
        <v>0</v>
      </c>
      <c r="R88" s="77">
        <f t="shared" ca="1" si="53"/>
        <v>0</v>
      </c>
      <c r="S88" s="77">
        <f t="shared" ca="1" si="53"/>
        <v>1</v>
      </c>
      <c r="T88" s="77">
        <f t="shared" ca="1" si="53"/>
        <v>1</v>
      </c>
      <c r="U88" s="77">
        <f t="shared" ca="1" si="53"/>
        <v>1</v>
      </c>
      <c r="V88" s="77">
        <f t="shared" ca="1" si="53"/>
        <v>1</v>
      </c>
      <c r="W88" s="77">
        <f t="shared" ca="1" si="53"/>
        <v>1</v>
      </c>
      <c r="X88" s="105"/>
    </row>
    <row r="89" spans="1:24" customFormat="1" ht="14.25">
      <c r="A89" s="93">
        <f ca="1">OFFSET(A89,-CFF.NumLinha,0)+1</f>
        <v>24</v>
      </c>
      <c r="B89" s="93" t="b">
        <f ca="1">$C89&gt;=OFFSET($C89,CFF.NumLinha,0)</f>
        <v>1</v>
      </c>
      <c r="C89" s="93">
        <f ca="1">INDEX(PO!A$11:A$1504,MATCH($A89,PO!$W$11:$W$1504,0))</f>
        <v>2</v>
      </c>
      <c r="D89" s="93">
        <f ca="1">IF(ISERROR(J89),I89,SMALL(I89:J89,1))-1</f>
        <v>2</v>
      </c>
      <c r="E89" s="93">
        <f ca="1">IF($C89=1,OFFSET(E89,-CFF.NumLinha,0)+1,OFFSET(E89,-CFF.NumLinha,0))</f>
        <v>4</v>
      </c>
      <c r="F89" s="93">
        <f ca="1">IF($C89=1,0,IF($C89=2,OFFSET(F89,-CFF.NumLinha,0)+1,OFFSET(F89,-CFF.NumLinha,0)))</f>
        <v>7</v>
      </c>
      <c r="G89" s="93">
        <f ca="1">IF(AND($C89&lt;=2,$C89&lt;&gt;0),0,IF($C89=3,OFFSET(G89,-CFF.NumLinha,0)+1,OFFSET(G89,-CFF.NumLinha,0)))</f>
        <v>0</v>
      </c>
      <c r="H89" s="93">
        <f ca="1">IF(AND($C89&lt;=3,$C89&lt;&gt;0),0,IF($C89=4,OFFSET(H89,-CFF.NumLinha,0)+1,OFFSET(H89,-CFF.NumLinha,0)))</f>
        <v>0</v>
      </c>
      <c r="I89" s="93">
        <f ca="1">MATCH(0,OFFSET($D89,1,$C89,ROW($A$435)-ROW($A89)),0)</f>
        <v>9</v>
      </c>
      <c r="J89" s="93">
        <f ca="1">MATCH(OFFSET($D89,0,$C89)+1,OFFSET($D89,1,$C89,ROW($A$435)-ROW($A89)),0)</f>
        <v>3</v>
      </c>
      <c r="K89" s="94">
        <f ca="1">ROUND(INDEX(PO!U$11:U$1504,MATCH($A89,PO!$W$11:$W$1504,0)),2)+10^-12</f>
        <v>1713.7800000000009</v>
      </c>
      <c r="L89" s="270"/>
      <c r="M89" s="272"/>
      <c r="N89" s="274"/>
      <c r="O89" s="115" t="s">
        <v>7</v>
      </c>
      <c r="P89" s="108">
        <f t="shared" ref="P89:W89" ca="1" si="54">IF($B89,ROUND(P88*$N87,2),ROUND(SUMIF(OFFSET($B89,1,0,$D89),TRUE,OFFSET(P89,1,0,$D89))/SUMIF(OFFSET($B89,1,0,$D89),TRUE,OFFSET($K89,1,0,$D89))*$N87,2))</f>
        <v>0</v>
      </c>
      <c r="Q89" s="78">
        <f t="shared" ca="1" si="54"/>
        <v>0</v>
      </c>
      <c r="R89" s="78">
        <f t="shared" ca="1" si="54"/>
        <v>0</v>
      </c>
      <c r="S89" s="78">
        <f t="shared" ca="1" si="54"/>
        <v>1713.78</v>
      </c>
      <c r="T89" s="78">
        <f t="shared" ca="1" si="54"/>
        <v>1713.78</v>
      </c>
      <c r="U89" s="78">
        <f t="shared" ca="1" si="54"/>
        <v>1713.78</v>
      </c>
      <c r="V89" s="78">
        <f t="shared" ca="1" si="54"/>
        <v>1713.78</v>
      </c>
      <c r="W89" s="118">
        <f t="shared" ca="1" si="54"/>
        <v>1713.78</v>
      </c>
      <c r="X89" s="105"/>
    </row>
    <row r="90" spans="1:24" customFormat="1" ht="14.25" customHeight="1">
      <c r="A90" s="39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269" t="str">
        <f ca="1">INDEX(PO!K$11:K$1504,MATCH($A92,PO!$W$11:$W$1504,0))</f>
        <v>4.8.</v>
      </c>
      <c r="M90" s="271" t="str">
        <f ca="1">INDEX(PO!O$11:O$1504,MATCH($A92,PO!$W$11:$W$1504,0))</f>
        <v>Atividade 21 - Assembléia para eleição CAO Comissão Acompanhamento da Obra região Jardim Ikaraí</v>
      </c>
      <c r="N90" s="273">
        <f ca="1">IF(ROUND(K92,2)=0,K92,ROUND(K92,2))</f>
        <v>1080.33</v>
      </c>
      <c r="O90" s="113" t="s">
        <v>33</v>
      </c>
      <c r="P90" s="112"/>
      <c r="Q90" s="59"/>
      <c r="R90" s="59"/>
      <c r="S90" s="59">
        <v>1</v>
      </c>
      <c r="T90" s="59"/>
      <c r="U90" s="59"/>
      <c r="V90" s="59"/>
      <c r="W90" s="59"/>
      <c r="X90" s="105"/>
    </row>
    <row r="91" spans="1:24" customFormat="1" ht="14.25">
      <c r="A91" s="93"/>
      <c r="B91" s="93"/>
      <c r="C91" s="93"/>
      <c r="D91" s="93"/>
      <c r="E91" s="93"/>
      <c r="F91" s="93"/>
      <c r="G91" s="93"/>
      <c r="H91" s="93"/>
      <c r="I91" s="93"/>
      <c r="J91" s="93"/>
      <c r="K91" s="93"/>
      <c r="L91" s="270"/>
      <c r="M91" s="272"/>
      <c r="N91" s="274"/>
      <c r="O91" s="79" t="s">
        <v>35</v>
      </c>
      <c r="P91" s="107">
        <f t="shared" ref="P91:W91" ca="1" si="55">MIN(IF($B92,P90+IF(ISNUMBER(O91),O91,0),P92/$N90),1)</f>
        <v>0</v>
      </c>
      <c r="Q91" s="77">
        <f t="shared" ca="1" si="55"/>
        <v>0</v>
      </c>
      <c r="R91" s="77">
        <f t="shared" ca="1" si="55"/>
        <v>0</v>
      </c>
      <c r="S91" s="77">
        <f t="shared" ca="1" si="55"/>
        <v>1</v>
      </c>
      <c r="T91" s="77">
        <f t="shared" ca="1" si="55"/>
        <v>1</v>
      </c>
      <c r="U91" s="77">
        <f t="shared" ca="1" si="55"/>
        <v>1</v>
      </c>
      <c r="V91" s="77">
        <f t="shared" ca="1" si="55"/>
        <v>1</v>
      </c>
      <c r="W91" s="77">
        <f t="shared" ca="1" si="55"/>
        <v>1</v>
      </c>
      <c r="X91" s="105"/>
    </row>
    <row r="92" spans="1:24" customFormat="1" ht="14.25">
      <c r="A92" s="93">
        <f ca="1">OFFSET(A92,-CFF.NumLinha,0)+1</f>
        <v>25</v>
      </c>
      <c r="B92" s="93" t="b">
        <f ca="1">$C92&gt;=OFFSET($C92,CFF.NumLinha,0)</f>
        <v>1</v>
      </c>
      <c r="C92" s="93">
        <f ca="1">INDEX(PO!A$11:A$1504,MATCH($A92,PO!$W$11:$W$1504,0))</f>
        <v>2</v>
      </c>
      <c r="D92" s="93">
        <f ca="1">IF(ISERROR(J92),I92,SMALL(I92:J92,1))-1</f>
        <v>2</v>
      </c>
      <c r="E92" s="93">
        <f ca="1">IF($C92=1,OFFSET(E92,-CFF.NumLinha,0)+1,OFFSET(E92,-CFF.NumLinha,0))</f>
        <v>4</v>
      </c>
      <c r="F92" s="93">
        <f ca="1">IF($C92=1,0,IF($C92=2,OFFSET(F92,-CFF.NumLinha,0)+1,OFFSET(F92,-CFF.NumLinha,0)))</f>
        <v>8</v>
      </c>
      <c r="G92" s="93">
        <f ca="1">IF(AND($C92&lt;=2,$C92&lt;&gt;0),0,IF($C92=3,OFFSET(G92,-CFF.NumLinha,0)+1,OFFSET(G92,-CFF.NumLinha,0)))</f>
        <v>0</v>
      </c>
      <c r="H92" s="93">
        <f ca="1">IF(AND($C92&lt;=3,$C92&lt;&gt;0),0,IF($C92=4,OFFSET(H92,-CFF.NumLinha,0)+1,OFFSET(H92,-CFF.NumLinha,0)))</f>
        <v>0</v>
      </c>
      <c r="I92" s="93">
        <f ca="1">MATCH(0,OFFSET($D92,1,$C92,ROW($A$435)-ROW($A92)),0)</f>
        <v>6</v>
      </c>
      <c r="J92" s="93">
        <f ca="1">MATCH(OFFSET($D92,0,$C92)+1,OFFSET($D92,1,$C92,ROW($A$435)-ROW($A92)),0)</f>
        <v>3</v>
      </c>
      <c r="K92" s="94">
        <f ca="1">ROUND(INDEX(PO!U$11:U$1504,MATCH($A92,PO!$W$11:$W$1504,0)),2)+10^-12</f>
        <v>1080.3300000000008</v>
      </c>
      <c r="L92" s="270"/>
      <c r="M92" s="272"/>
      <c r="N92" s="274"/>
      <c r="O92" s="115" t="s">
        <v>7</v>
      </c>
      <c r="P92" s="108">
        <f t="shared" ref="P92:W92" ca="1" si="56">IF($B92,ROUND(P91*$N90,2),ROUND(SUMIF(OFFSET($B92,1,0,$D92),TRUE,OFFSET(P92,1,0,$D92))/SUMIF(OFFSET($B92,1,0,$D92),TRUE,OFFSET($K92,1,0,$D92))*$N90,2))</f>
        <v>0</v>
      </c>
      <c r="Q92" s="78">
        <f t="shared" ca="1" si="56"/>
        <v>0</v>
      </c>
      <c r="R92" s="78">
        <f t="shared" ca="1" si="56"/>
        <v>0</v>
      </c>
      <c r="S92" s="78">
        <f t="shared" ca="1" si="56"/>
        <v>1080.33</v>
      </c>
      <c r="T92" s="78">
        <f t="shared" ca="1" si="56"/>
        <v>1080.33</v>
      </c>
      <c r="U92" s="78">
        <f t="shared" ca="1" si="56"/>
        <v>1080.33</v>
      </c>
      <c r="V92" s="78">
        <f t="shared" ca="1" si="56"/>
        <v>1080.33</v>
      </c>
      <c r="W92" s="118">
        <f t="shared" ca="1" si="56"/>
        <v>1080.33</v>
      </c>
      <c r="X92" s="105"/>
    </row>
    <row r="93" spans="1:24" customFormat="1" ht="14.25" customHeight="1">
      <c r="A93" s="3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269" t="str">
        <f ca="1">INDEX(PO!K$11:K$1504,MATCH($A95,PO!$W$11:$W$1504,0))</f>
        <v>4.9.</v>
      </c>
      <c r="M93" s="271" t="str">
        <f ca="1">INDEX(PO!O$11:O$1504,MATCH($A95,PO!$W$11:$W$1504,0))</f>
        <v>Atividade 22 - Oficina: Produtos de limpeza Bairro Frutal de Minas e Jardim Paula II</v>
      </c>
      <c r="N93" s="273">
        <f ca="1">IF(ROUND(K95,2)=0,K95,ROUND(K95,2))</f>
        <v>2688.84</v>
      </c>
      <c r="O93" s="113" t="s">
        <v>33</v>
      </c>
      <c r="P93" s="112"/>
      <c r="Q93" s="59"/>
      <c r="R93" s="59"/>
      <c r="S93" s="59">
        <v>1</v>
      </c>
      <c r="T93" s="59"/>
      <c r="U93" s="59"/>
      <c r="V93" s="59"/>
      <c r="W93" s="59"/>
      <c r="X93" s="105"/>
    </row>
    <row r="94" spans="1:24" customFormat="1" ht="14.25">
      <c r="A94" s="93"/>
      <c r="B94" s="93"/>
      <c r="C94" s="93"/>
      <c r="D94" s="93"/>
      <c r="E94" s="93"/>
      <c r="F94" s="93"/>
      <c r="G94" s="93"/>
      <c r="H94" s="93"/>
      <c r="I94" s="93"/>
      <c r="J94" s="93"/>
      <c r="K94" s="93"/>
      <c r="L94" s="270"/>
      <c r="M94" s="272"/>
      <c r="N94" s="274"/>
      <c r="O94" s="79" t="s">
        <v>35</v>
      </c>
      <c r="P94" s="107">
        <f t="shared" ref="P94:W94" ca="1" si="57">MIN(IF($B95,P93+IF(ISNUMBER(O94),O94,0),P95/$N93),1)</f>
        <v>0</v>
      </c>
      <c r="Q94" s="77">
        <f t="shared" ca="1" si="57"/>
        <v>0</v>
      </c>
      <c r="R94" s="77">
        <f t="shared" ca="1" si="57"/>
        <v>0</v>
      </c>
      <c r="S94" s="77">
        <f t="shared" ca="1" si="57"/>
        <v>1</v>
      </c>
      <c r="T94" s="77">
        <f t="shared" ca="1" si="57"/>
        <v>1</v>
      </c>
      <c r="U94" s="77">
        <f t="shared" ca="1" si="57"/>
        <v>1</v>
      </c>
      <c r="V94" s="77">
        <f t="shared" ca="1" si="57"/>
        <v>1</v>
      </c>
      <c r="W94" s="77">
        <f t="shared" ca="1" si="57"/>
        <v>1</v>
      </c>
      <c r="X94" s="105"/>
    </row>
    <row r="95" spans="1:24" customFormat="1" ht="14.25">
      <c r="A95" s="93">
        <f ca="1">OFFSET(A95,-CFF.NumLinha,0)+1</f>
        <v>26</v>
      </c>
      <c r="B95" s="93" t="b">
        <f ca="1">$C95&gt;=OFFSET($C95,CFF.NumLinha,0)</f>
        <v>1</v>
      </c>
      <c r="C95" s="93">
        <f ca="1">INDEX(PO!A$11:A$1504,MATCH($A95,PO!$W$11:$W$1504,0))</f>
        <v>2</v>
      </c>
      <c r="D95" s="93">
        <f ca="1">IF(ISERROR(J95),I95,SMALL(I95:J95,1))-1</f>
        <v>2</v>
      </c>
      <c r="E95" s="93">
        <f ca="1">IF($C95=1,OFFSET(E95,-CFF.NumLinha,0)+1,OFFSET(E95,-CFF.NumLinha,0))</f>
        <v>4</v>
      </c>
      <c r="F95" s="93">
        <f ca="1">IF($C95=1,0,IF($C95=2,OFFSET(F95,-CFF.NumLinha,0)+1,OFFSET(F95,-CFF.NumLinha,0)))</f>
        <v>9</v>
      </c>
      <c r="G95" s="93">
        <f ca="1">IF(AND($C95&lt;=2,$C95&lt;&gt;0),0,IF($C95=3,OFFSET(G95,-CFF.NumLinha,0)+1,OFFSET(G95,-CFF.NumLinha,0)))</f>
        <v>0</v>
      </c>
      <c r="H95" s="93">
        <f ca="1">IF(AND($C95&lt;=3,$C95&lt;&gt;0),0,IF($C95=4,OFFSET(H95,-CFF.NumLinha,0)+1,OFFSET(H95,-CFF.NumLinha,0)))</f>
        <v>0</v>
      </c>
      <c r="I95" s="93">
        <f ca="1">MATCH(0,OFFSET($D95,1,$C95,ROW($A$435)-ROW($A95)),0)</f>
        <v>3</v>
      </c>
      <c r="J95" s="93">
        <f ca="1">MATCH(OFFSET($D95,0,$C95)+1,OFFSET($D95,1,$C95,ROW($A$435)-ROW($A95)),0)</f>
        <v>75</v>
      </c>
      <c r="K95" s="94">
        <f ca="1">ROUND(INDEX(PO!U$11:U$1504,MATCH($A95,PO!$W$11:$W$1504,0)),2)+10^-12</f>
        <v>2688.8400000000011</v>
      </c>
      <c r="L95" s="270"/>
      <c r="M95" s="272"/>
      <c r="N95" s="274"/>
      <c r="O95" s="115" t="s">
        <v>7</v>
      </c>
      <c r="P95" s="108">
        <f t="shared" ref="P95:W95" ca="1" si="58">IF($B95,ROUND(P94*$N93,2),ROUND(SUMIF(OFFSET($B95,1,0,$D95),TRUE,OFFSET(P95,1,0,$D95))/SUMIF(OFFSET($B95,1,0,$D95),TRUE,OFFSET($K95,1,0,$D95))*$N93,2))</f>
        <v>0</v>
      </c>
      <c r="Q95" s="78">
        <f t="shared" ca="1" si="58"/>
        <v>0</v>
      </c>
      <c r="R95" s="78">
        <f t="shared" ca="1" si="58"/>
        <v>0</v>
      </c>
      <c r="S95" s="78">
        <f t="shared" ca="1" si="58"/>
        <v>2688.84</v>
      </c>
      <c r="T95" s="78">
        <f t="shared" ca="1" si="58"/>
        <v>2688.84</v>
      </c>
      <c r="U95" s="78">
        <f t="shared" ca="1" si="58"/>
        <v>2688.84</v>
      </c>
      <c r="V95" s="78">
        <f t="shared" ca="1" si="58"/>
        <v>2688.84</v>
      </c>
      <c r="W95" s="118">
        <f t="shared" ca="1" si="58"/>
        <v>2688.84</v>
      </c>
      <c r="X95" s="105"/>
    </row>
    <row r="96" spans="1:24" customFormat="1" ht="14.25" customHeight="1">
      <c r="A96" s="39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269" t="str">
        <f ca="1">INDEX(PO!K$11:K$1504,MATCH($A98,PO!$W$11:$W$1504,0))</f>
        <v>5.</v>
      </c>
      <c r="M96" s="271" t="str">
        <f ca="1">INDEX(PO!O$11:O$1504,MATCH($A98,PO!$W$11:$W$1504,0))</f>
        <v>MÊS 05 - INFORMAÇÕES/PALESTRAS</v>
      </c>
      <c r="N96" s="273">
        <f ca="1">IF(ROUND(K98,2)=0,K98,ROUND(K98,2))</f>
        <v>34594.32</v>
      </c>
      <c r="O96" s="113" t="s">
        <v>33</v>
      </c>
      <c r="P96" s="112"/>
      <c r="Q96" s="59"/>
      <c r="R96" s="59"/>
      <c r="S96" s="59">
        <v>1</v>
      </c>
      <c r="T96" s="59"/>
      <c r="U96" s="59"/>
      <c r="V96" s="59"/>
      <c r="W96" s="59"/>
      <c r="X96" s="105"/>
    </row>
    <row r="97" spans="1:24" customFormat="1" ht="14.25">
      <c r="A97" s="93"/>
      <c r="B97" s="93"/>
      <c r="C97" s="93"/>
      <c r="D97" s="93"/>
      <c r="E97" s="93"/>
      <c r="F97" s="93"/>
      <c r="G97" s="93"/>
      <c r="H97" s="93"/>
      <c r="I97" s="93"/>
      <c r="J97" s="93"/>
      <c r="K97" s="93"/>
      <c r="L97" s="270"/>
      <c r="M97" s="272"/>
      <c r="N97" s="274"/>
      <c r="O97" s="79" t="s">
        <v>35</v>
      </c>
      <c r="P97" s="107">
        <f t="shared" ref="P97:W97" ca="1" si="59">MIN(IF($B98,P96+IF(ISNUMBER(O97),O97,0),P98/$N96),1)</f>
        <v>0</v>
      </c>
      <c r="Q97" s="77">
        <f t="shared" ca="1" si="59"/>
        <v>0</v>
      </c>
      <c r="R97" s="77">
        <f t="shared" ca="1" si="59"/>
        <v>0</v>
      </c>
      <c r="S97" s="77">
        <f t="shared" ca="1" si="59"/>
        <v>1</v>
      </c>
      <c r="T97" s="77">
        <f t="shared" ca="1" si="59"/>
        <v>1</v>
      </c>
      <c r="U97" s="77">
        <f t="shared" ca="1" si="59"/>
        <v>1</v>
      </c>
      <c r="V97" s="77">
        <f t="shared" ca="1" si="59"/>
        <v>1</v>
      </c>
      <c r="W97" s="77">
        <f t="shared" ca="1" si="59"/>
        <v>1</v>
      </c>
      <c r="X97" s="105"/>
    </row>
    <row r="98" spans="1:24" customFormat="1" ht="14.25">
      <c r="A98" s="93">
        <f ca="1">OFFSET(A98,-CFF.NumLinha,0)+1</f>
        <v>27</v>
      </c>
      <c r="B98" s="93" t="b">
        <f ca="1">$C98&gt;=OFFSET($C98,CFF.NumLinha,0)</f>
        <v>0</v>
      </c>
      <c r="C98" s="93">
        <f ca="1">INDEX(PO!A$11:A$1504,MATCH($A98,PO!$W$11:$W$1504,0))</f>
        <v>1</v>
      </c>
      <c r="D98" s="93">
        <f ca="1">IF(ISERROR(J98),I98,SMALL(I98:J98,1))-1</f>
        <v>17</v>
      </c>
      <c r="E98" s="93">
        <f ca="1">IF($C98=1,OFFSET(E98,-CFF.NumLinha,0)+1,OFFSET(E98,-CFF.NumLinha,0))</f>
        <v>5</v>
      </c>
      <c r="F98" s="93">
        <f ca="1">IF($C98=1,0,IF($C98=2,OFFSET(F98,-CFF.NumLinha,0)+1,OFFSET(F98,-CFF.NumLinha,0)))</f>
        <v>0</v>
      </c>
      <c r="G98" s="93">
        <f ca="1">IF(AND($C98&lt;=2,$C98&lt;&gt;0),0,IF($C98=3,OFFSET(G98,-CFF.NumLinha,0)+1,OFFSET(G98,-CFF.NumLinha,0)))</f>
        <v>0</v>
      </c>
      <c r="H98" s="93">
        <f ca="1">IF(AND($C98&lt;=3,$C98&lt;&gt;0),0,IF($C98=4,OFFSET(H98,-CFF.NumLinha,0)+1,OFFSET(H98,-CFF.NumLinha,0)))</f>
        <v>0</v>
      </c>
      <c r="I98" s="93">
        <f ca="1">MATCH(0,OFFSET($D98,1,$C98,ROW($A$435)-ROW($A98)),0)</f>
        <v>337</v>
      </c>
      <c r="J98" s="93">
        <f ca="1">MATCH(OFFSET($D98,0,$C98)+1,OFFSET($D98,1,$C98,ROW($A$435)-ROW($A98)),0)</f>
        <v>18</v>
      </c>
      <c r="K98" s="94">
        <f ca="1">ROUND(INDEX(PO!U$11:U$1504,MATCH($A98,PO!$W$11:$W$1504,0)),2)+10^-12</f>
        <v>34594.32</v>
      </c>
      <c r="L98" s="270"/>
      <c r="M98" s="272"/>
      <c r="N98" s="274"/>
      <c r="O98" s="115" t="s">
        <v>7</v>
      </c>
      <c r="P98" s="108">
        <f t="shared" ref="P98:W98" ca="1" si="60">IF($B98,ROUND(P97*$N96,2),ROUND(SUMIF(OFFSET($B98,1,0,$D98),TRUE,OFFSET(P98,1,0,$D98))/SUMIF(OFFSET($B98,1,0,$D98),TRUE,OFFSET($K98,1,0,$D98))*$N96,2))</f>
        <v>0</v>
      </c>
      <c r="Q98" s="78">
        <f t="shared" ca="1" si="60"/>
        <v>0</v>
      </c>
      <c r="R98" s="78">
        <f t="shared" ca="1" si="60"/>
        <v>0</v>
      </c>
      <c r="S98" s="78">
        <f t="shared" ca="1" si="60"/>
        <v>34594.32</v>
      </c>
      <c r="T98" s="78">
        <f t="shared" ca="1" si="60"/>
        <v>34594.32</v>
      </c>
      <c r="U98" s="78">
        <f t="shared" ca="1" si="60"/>
        <v>34594.32</v>
      </c>
      <c r="V98" s="78">
        <f t="shared" ca="1" si="60"/>
        <v>34594.32</v>
      </c>
      <c r="W98" s="118">
        <f t="shared" ca="1" si="60"/>
        <v>34594.32</v>
      </c>
      <c r="X98" s="105"/>
    </row>
    <row r="99" spans="1:24" customFormat="1" ht="14.25" customHeight="1">
      <c r="A99" s="39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269" t="str">
        <f ca="1">INDEX(PO!K$11:K$1504,MATCH($A101,PO!$W$11:$W$1504,0))</f>
        <v>5.1.</v>
      </c>
      <c r="M99" s="271" t="str">
        <f ca="1">INDEX(PO!O$11:O$1504,MATCH($A101,PO!$W$11:$W$1504,0))</f>
        <v>Atividade 23 -Segurança pública e cibernética tecnologia, educação, brincar, estudar e navegar com segurança na internet e fazer boletim de ocorrência região Parque São João</v>
      </c>
      <c r="N99" s="273">
        <f ca="1">IF(ROUND(K101,2)=0,K101,ROUND(K101,2))</f>
        <v>13709.78</v>
      </c>
      <c r="O99" s="113" t="s">
        <v>33</v>
      </c>
      <c r="P99" s="112"/>
      <c r="Q99" s="59"/>
      <c r="R99" s="59"/>
      <c r="S99" s="59">
        <v>1</v>
      </c>
      <c r="T99" s="59"/>
      <c r="U99" s="59"/>
      <c r="V99" s="59"/>
      <c r="W99" s="59"/>
      <c r="X99" s="105"/>
    </row>
    <row r="100" spans="1:24" customFormat="1" ht="14.25">
      <c r="A100" s="93"/>
      <c r="B100" s="93"/>
      <c r="C100" s="93"/>
      <c r="D100" s="93"/>
      <c r="E100" s="93"/>
      <c r="F100" s="93"/>
      <c r="G100" s="93"/>
      <c r="H100" s="93"/>
      <c r="I100" s="93"/>
      <c r="J100" s="93"/>
      <c r="K100" s="93"/>
      <c r="L100" s="270"/>
      <c r="M100" s="272"/>
      <c r="N100" s="274"/>
      <c r="O100" s="79" t="s">
        <v>35</v>
      </c>
      <c r="P100" s="107">
        <f t="shared" ref="P100:W100" ca="1" si="61">MIN(IF($B101,P99+IF(ISNUMBER(O100),O100,0),P101/$N99),1)</f>
        <v>0</v>
      </c>
      <c r="Q100" s="77">
        <f t="shared" ca="1" si="61"/>
        <v>0</v>
      </c>
      <c r="R100" s="77">
        <f t="shared" ca="1" si="61"/>
        <v>0</v>
      </c>
      <c r="S100" s="77">
        <f t="shared" ca="1" si="61"/>
        <v>1</v>
      </c>
      <c r="T100" s="77">
        <f t="shared" ca="1" si="61"/>
        <v>1</v>
      </c>
      <c r="U100" s="77">
        <f t="shared" ca="1" si="61"/>
        <v>1</v>
      </c>
      <c r="V100" s="77">
        <f t="shared" ca="1" si="61"/>
        <v>1</v>
      </c>
      <c r="W100" s="77">
        <f t="shared" ca="1" si="61"/>
        <v>1</v>
      </c>
      <c r="X100" s="105"/>
    </row>
    <row r="101" spans="1:24" customFormat="1" ht="14.25">
      <c r="A101" s="93">
        <f ca="1">OFFSET(A101,-CFF.NumLinha,0)+1</f>
        <v>28</v>
      </c>
      <c r="B101" s="93" t="b">
        <f ca="1">$C101&gt;=OFFSET($C101,CFF.NumLinha,0)</f>
        <v>1</v>
      </c>
      <c r="C101" s="93">
        <f ca="1">INDEX(PO!A$11:A$1504,MATCH($A101,PO!$W$11:$W$1504,0))</f>
        <v>2</v>
      </c>
      <c r="D101" s="93">
        <f ca="1">IF(ISERROR(J101),I101,SMALL(I101:J101,1))-1</f>
        <v>2</v>
      </c>
      <c r="E101" s="93">
        <f ca="1">IF($C101=1,OFFSET(E101,-CFF.NumLinha,0)+1,OFFSET(E101,-CFF.NumLinha,0))</f>
        <v>5</v>
      </c>
      <c r="F101" s="93">
        <f ca="1">IF($C101=1,0,IF($C101=2,OFFSET(F101,-CFF.NumLinha,0)+1,OFFSET(F101,-CFF.NumLinha,0)))</f>
        <v>1</v>
      </c>
      <c r="G101" s="93">
        <f ca="1">IF(AND($C101&lt;=2,$C101&lt;&gt;0),0,IF($C101=3,OFFSET(G101,-CFF.NumLinha,0)+1,OFFSET(G101,-CFF.NumLinha,0)))</f>
        <v>0</v>
      </c>
      <c r="H101" s="93">
        <f ca="1">IF(AND($C101&lt;=3,$C101&lt;&gt;0),0,IF($C101=4,OFFSET(H101,-CFF.NumLinha,0)+1,OFFSET(H101,-CFF.NumLinha,0)))</f>
        <v>0</v>
      </c>
      <c r="I101" s="93">
        <f ca="1">MATCH(0,OFFSET($D101,1,$C101,ROW($A$435)-ROW($A101)),0)</f>
        <v>15</v>
      </c>
      <c r="J101" s="93">
        <f ca="1">MATCH(OFFSET($D101,0,$C101)+1,OFFSET($D101,1,$C101,ROW($A$435)-ROW($A101)),0)</f>
        <v>3</v>
      </c>
      <c r="K101" s="94">
        <f ca="1">ROUND(INDEX(PO!U$11:U$1504,MATCH($A101,PO!$W$11:$W$1504,0)),2)+10^-12</f>
        <v>13709.780000000002</v>
      </c>
      <c r="L101" s="270"/>
      <c r="M101" s="272"/>
      <c r="N101" s="274"/>
      <c r="O101" s="115" t="s">
        <v>7</v>
      </c>
      <c r="P101" s="108">
        <f t="shared" ref="P101:W101" ca="1" si="62">IF($B101,ROUND(P100*$N99,2),ROUND(SUMIF(OFFSET($B101,1,0,$D101),TRUE,OFFSET(P101,1,0,$D101))/SUMIF(OFFSET($B101,1,0,$D101),TRUE,OFFSET($K101,1,0,$D101))*$N99,2))</f>
        <v>0</v>
      </c>
      <c r="Q101" s="78">
        <f t="shared" ca="1" si="62"/>
        <v>0</v>
      </c>
      <c r="R101" s="78">
        <f t="shared" ca="1" si="62"/>
        <v>0</v>
      </c>
      <c r="S101" s="78">
        <f t="shared" ca="1" si="62"/>
        <v>13709.78</v>
      </c>
      <c r="T101" s="78">
        <f t="shared" ca="1" si="62"/>
        <v>13709.78</v>
      </c>
      <c r="U101" s="78">
        <f t="shared" ca="1" si="62"/>
        <v>13709.78</v>
      </c>
      <c r="V101" s="78">
        <f t="shared" ca="1" si="62"/>
        <v>13709.78</v>
      </c>
      <c r="W101" s="118">
        <f t="shared" ca="1" si="62"/>
        <v>13709.78</v>
      </c>
      <c r="X101" s="105"/>
    </row>
    <row r="102" spans="1:24" customFormat="1" ht="14.25" customHeight="1">
      <c r="A102" s="39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269" t="str">
        <f ca="1">INDEX(PO!K$11:K$1504,MATCH($A104,PO!$W$11:$W$1504,0))</f>
        <v>5.2.</v>
      </c>
      <c r="M102" s="271" t="str">
        <f ca="1">INDEX(PO!O$11:O$1504,MATCH($A104,PO!$W$11:$W$1504,0))</f>
        <v>Atividade 24 - Plantão Social região Parque São João</v>
      </c>
      <c r="N102" s="273">
        <f ca="1">IF(ROUND(K104,2)=0,K104,ROUND(K104,2))</f>
        <v>1713.78</v>
      </c>
      <c r="O102" s="113" t="s">
        <v>33</v>
      </c>
      <c r="P102" s="112"/>
      <c r="Q102" s="59"/>
      <c r="R102" s="59"/>
      <c r="S102" s="59">
        <v>1</v>
      </c>
      <c r="T102" s="59"/>
      <c r="U102" s="59"/>
      <c r="V102" s="59"/>
      <c r="W102" s="59"/>
      <c r="X102" s="105"/>
    </row>
    <row r="103" spans="1:24" customFormat="1" ht="14.25">
      <c r="A103" s="93"/>
      <c r="B103" s="93"/>
      <c r="C103" s="93"/>
      <c r="D103" s="93"/>
      <c r="E103" s="93"/>
      <c r="F103" s="93"/>
      <c r="G103" s="93"/>
      <c r="H103" s="93"/>
      <c r="I103" s="93"/>
      <c r="J103" s="93"/>
      <c r="K103" s="93"/>
      <c r="L103" s="270"/>
      <c r="M103" s="272"/>
      <c r="N103" s="274"/>
      <c r="O103" s="79" t="s">
        <v>35</v>
      </c>
      <c r="P103" s="107">
        <f t="shared" ref="P103:W103" ca="1" si="63">MIN(IF($B104,P102+IF(ISNUMBER(O103),O103,0),P104/$N102),1)</f>
        <v>0</v>
      </c>
      <c r="Q103" s="77">
        <f t="shared" ca="1" si="63"/>
        <v>0</v>
      </c>
      <c r="R103" s="77">
        <f t="shared" ca="1" si="63"/>
        <v>0</v>
      </c>
      <c r="S103" s="77">
        <f t="shared" ca="1" si="63"/>
        <v>1</v>
      </c>
      <c r="T103" s="77">
        <f t="shared" ca="1" si="63"/>
        <v>1</v>
      </c>
      <c r="U103" s="77">
        <f t="shared" ca="1" si="63"/>
        <v>1</v>
      </c>
      <c r="V103" s="77">
        <f t="shared" ca="1" si="63"/>
        <v>1</v>
      </c>
      <c r="W103" s="77">
        <f t="shared" ca="1" si="63"/>
        <v>1</v>
      </c>
      <c r="X103" s="105"/>
    </row>
    <row r="104" spans="1:24" customFormat="1" ht="14.25">
      <c r="A104" s="93">
        <f ca="1">OFFSET(A104,-CFF.NumLinha,0)+1</f>
        <v>29</v>
      </c>
      <c r="B104" s="93" t="b">
        <f ca="1">$C104&gt;=OFFSET($C104,CFF.NumLinha,0)</f>
        <v>1</v>
      </c>
      <c r="C104" s="93">
        <f ca="1">INDEX(PO!A$11:A$1504,MATCH($A104,PO!$W$11:$W$1504,0))</f>
        <v>2</v>
      </c>
      <c r="D104" s="93">
        <f ca="1">IF(ISERROR(J104),I104,SMALL(I104:J104,1))-1</f>
        <v>2</v>
      </c>
      <c r="E104" s="93">
        <f ca="1">IF($C104=1,OFFSET(E104,-CFF.NumLinha,0)+1,OFFSET(E104,-CFF.NumLinha,0))</f>
        <v>5</v>
      </c>
      <c r="F104" s="93">
        <f ca="1">IF($C104=1,0,IF($C104=2,OFFSET(F104,-CFF.NumLinha,0)+1,OFFSET(F104,-CFF.NumLinha,0)))</f>
        <v>2</v>
      </c>
      <c r="G104" s="93">
        <f ca="1">IF(AND($C104&lt;=2,$C104&lt;&gt;0),0,IF($C104=3,OFFSET(G104,-CFF.NumLinha,0)+1,OFFSET(G104,-CFF.NumLinha,0)))</f>
        <v>0</v>
      </c>
      <c r="H104" s="93">
        <f ca="1">IF(AND($C104&lt;=3,$C104&lt;&gt;0),0,IF($C104=4,OFFSET(H104,-CFF.NumLinha,0)+1,OFFSET(H104,-CFF.NumLinha,0)))</f>
        <v>0</v>
      </c>
      <c r="I104" s="93">
        <f ca="1">MATCH(0,OFFSET($D104,1,$C104,ROW($A$435)-ROW($A104)),0)</f>
        <v>12</v>
      </c>
      <c r="J104" s="93">
        <f ca="1">MATCH(OFFSET($D104,0,$C104)+1,OFFSET($D104,1,$C104,ROW($A$435)-ROW($A104)),0)</f>
        <v>3</v>
      </c>
      <c r="K104" s="94">
        <f ca="1">ROUND(INDEX(PO!U$11:U$1504,MATCH($A104,PO!$W$11:$W$1504,0)),2)+10^-12</f>
        <v>1713.7800000000009</v>
      </c>
      <c r="L104" s="270"/>
      <c r="M104" s="272"/>
      <c r="N104" s="274"/>
      <c r="O104" s="115" t="s">
        <v>7</v>
      </c>
      <c r="P104" s="108">
        <f t="shared" ref="P104:W104" ca="1" si="64">IF($B104,ROUND(P103*$N102,2),ROUND(SUMIF(OFFSET($B104,1,0,$D104),TRUE,OFFSET(P104,1,0,$D104))/SUMIF(OFFSET($B104,1,0,$D104),TRUE,OFFSET($K104,1,0,$D104))*$N102,2))</f>
        <v>0</v>
      </c>
      <c r="Q104" s="78">
        <f t="shared" ca="1" si="64"/>
        <v>0</v>
      </c>
      <c r="R104" s="78">
        <f t="shared" ca="1" si="64"/>
        <v>0</v>
      </c>
      <c r="S104" s="78">
        <f t="shared" ca="1" si="64"/>
        <v>1713.78</v>
      </c>
      <c r="T104" s="78">
        <f t="shared" ca="1" si="64"/>
        <v>1713.78</v>
      </c>
      <c r="U104" s="78">
        <f t="shared" ca="1" si="64"/>
        <v>1713.78</v>
      </c>
      <c r="V104" s="78">
        <f t="shared" ca="1" si="64"/>
        <v>1713.78</v>
      </c>
      <c r="W104" s="118">
        <f t="shared" ca="1" si="64"/>
        <v>1713.78</v>
      </c>
      <c r="X104" s="105"/>
    </row>
    <row r="105" spans="1:24" customFormat="1" ht="14.25" customHeight="1">
      <c r="A105" s="39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269" t="str">
        <f ca="1">INDEX(PO!K$11:K$1504,MATCH($A107,PO!$W$11:$W$1504,0))</f>
        <v>5.3.</v>
      </c>
      <c r="M105" s="271" t="str">
        <f ca="1">INDEX(PO!O$11:O$1504,MATCH($A107,PO!$W$11:$W$1504,0))</f>
        <v>Atividade 25 - Segurança pública e cibernética tecnologia, educação. brincar, estudar e navegar com segurança na internet e fazer boleetim de ocorrência região Jardim Ikaraí</v>
      </c>
      <c r="N105" s="273">
        <f ca="1">IF(ROUND(K107,2)=0,K107,ROUND(K107,2))</f>
        <v>8728.35</v>
      </c>
      <c r="O105" s="113" t="s">
        <v>33</v>
      </c>
      <c r="P105" s="112"/>
      <c r="Q105" s="59"/>
      <c r="R105" s="59"/>
      <c r="S105" s="59">
        <v>1</v>
      </c>
      <c r="T105" s="59"/>
      <c r="U105" s="59"/>
      <c r="V105" s="59"/>
      <c r="W105" s="59"/>
      <c r="X105" s="105"/>
    </row>
    <row r="106" spans="1:24" customFormat="1" ht="14.25">
      <c r="A106" s="93"/>
      <c r="B106" s="93"/>
      <c r="C106" s="93"/>
      <c r="D106" s="93"/>
      <c r="E106" s="93"/>
      <c r="F106" s="93"/>
      <c r="G106" s="93"/>
      <c r="H106" s="93"/>
      <c r="I106" s="93"/>
      <c r="J106" s="93"/>
      <c r="K106" s="93"/>
      <c r="L106" s="270"/>
      <c r="M106" s="272"/>
      <c r="N106" s="274"/>
      <c r="O106" s="79" t="s">
        <v>35</v>
      </c>
      <c r="P106" s="107">
        <f t="shared" ref="P106:W106" ca="1" si="65">MIN(IF($B107,P105+IF(ISNUMBER(O106),O106,0),P107/$N105),1)</f>
        <v>0</v>
      </c>
      <c r="Q106" s="77">
        <f t="shared" ca="1" si="65"/>
        <v>0</v>
      </c>
      <c r="R106" s="77">
        <f t="shared" ca="1" si="65"/>
        <v>0</v>
      </c>
      <c r="S106" s="77">
        <f t="shared" ca="1" si="65"/>
        <v>1</v>
      </c>
      <c r="T106" s="77">
        <f t="shared" ca="1" si="65"/>
        <v>1</v>
      </c>
      <c r="U106" s="77">
        <f t="shared" ca="1" si="65"/>
        <v>1</v>
      </c>
      <c r="V106" s="77">
        <f t="shared" ca="1" si="65"/>
        <v>1</v>
      </c>
      <c r="W106" s="77">
        <f t="shared" ca="1" si="65"/>
        <v>1</v>
      </c>
      <c r="X106" s="105"/>
    </row>
    <row r="107" spans="1:24" customFormat="1" ht="14.25">
      <c r="A107" s="93">
        <f ca="1">OFFSET(A107,-CFF.NumLinha,0)+1</f>
        <v>30</v>
      </c>
      <c r="B107" s="93" t="b">
        <f ca="1">$C107&gt;=OFFSET($C107,CFF.NumLinha,0)</f>
        <v>1</v>
      </c>
      <c r="C107" s="93">
        <f ca="1">INDEX(PO!A$11:A$1504,MATCH($A107,PO!$W$11:$W$1504,0))</f>
        <v>2</v>
      </c>
      <c r="D107" s="93">
        <f ca="1">IF(ISERROR(J107),I107,SMALL(I107:J107,1))-1</f>
        <v>2</v>
      </c>
      <c r="E107" s="93">
        <f ca="1">IF($C107=1,OFFSET(E107,-CFF.NumLinha,0)+1,OFFSET(E107,-CFF.NumLinha,0))</f>
        <v>5</v>
      </c>
      <c r="F107" s="93">
        <f ca="1">IF($C107=1,0,IF($C107=2,OFFSET(F107,-CFF.NumLinha,0)+1,OFFSET(F107,-CFF.NumLinha,0)))</f>
        <v>3</v>
      </c>
      <c r="G107" s="93">
        <f ca="1">IF(AND($C107&lt;=2,$C107&lt;&gt;0),0,IF($C107=3,OFFSET(G107,-CFF.NumLinha,0)+1,OFFSET(G107,-CFF.NumLinha,0)))</f>
        <v>0</v>
      </c>
      <c r="H107" s="93">
        <f ca="1">IF(AND($C107&lt;=3,$C107&lt;&gt;0),0,IF($C107=4,OFFSET(H107,-CFF.NumLinha,0)+1,OFFSET(H107,-CFF.NumLinha,0)))</f>
        <v>0</v>
      </c>
      <c r="I107" s="93">
        <f ca="1">MATCH(0,OFFSET($D107,1,$C107,ROW($A$435)-ROW($A107)),0)</f>
        <v>9</v>
      </c>
      <c r="J107" s="93">
        <f ca="1">MATCH(OFFSET($D107,0,$C107)+1,OFFSET($D107,1,$C107,ROW($A$435)-ROW($A107)),0)</f>
        <v>3</v>
      </c>
      <c r="K107" s="94">
        <f ca="1">ROUND(INDEX(PO!U$11:U$1504,MATCH($A107,PO!$W$11:$W$1504,0)),2)+10^-12</f>
        <v>8728.3500000000022</v>
      </c>
      <c r="L107" s="270"/>
      <c r="M107" s="272"/>
      <c r="N107" s="274"/>
      <c r="O107" s="115" t="s">
        <v>7</v>
      </c>
      <c r="P107" s="108">
        <f t="shared" ref="P107:W107" ca="1" si="66">IF($B107,ROUND(P106*$N105,2),ROUND(SUMIF(OFFSET($B107,1,0,$D107),TRUE,OFFSET(P107,1,0,$D107))/SUMIF(OFFSET($B107,1,0,$D107),TRUE,OFFSET($K107,1,0,$D107))*$N105,2))</f>
        <v>0</v>
      </c>
      <c r="Q107" s="78">
        <f t="shared" ca="1" si="66"/>
        <v>0</v>
      </c>
      <c r="R107" s="78">
        <f t="shared" ca="1" si="66"/>
        <v>0</v>
      </c>
      <c r="S107" s="78">
        <f t="shared" ca="1" si="66"/>
        <v>8728.35</v>
      </c>
      <c r="T107" s="78">
        <f t="shared" ca="1" si="66"/>
        <v>8728.35</v>
      </c>
      <c r="U107" s="78">
        <f t="shared" ca="1" si="66"/>
        <v>8728.35</v>
      </c>
      <c r="V107" s="78">
        <f t="shared" ca="1" si="66"/>
        <v>8728.35</v>
      </c>
      <c r="W107" s="118">
        <f t="shared" ca="1" si="66"/>
        <v>8728.35</v>
      </c>
      <c r="X107" s="105"/>
    </row>
    <row r="108" spans="1:24" customFormat="1" ht="14.25" customHeight="1">
      <c r="A108" s="39"/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269" t="str">
        <f ca="1">INDEX(PO!K$11:K$1504,MATCH($A110,PO!$W$11:$W$1504,0))</f>
        <v>5.4.</v>
      </c>
      <c r="M108" s="271" t="str">
        <f ca="1">INDEX(PO!O$11:O$1504,MATCH($A110,PO!$W$11:$W$1504,0))</f>
        <v>Atividade 26 - Plantão Social região Jardim Ikaraí</v>
      </c>
      <c r="N108" s="273">
        <f ca="1">IF(ROUND(K110,2)=0,K110,ROUND(K110,2))</f>
        <v>1713.78</v>
      </c>
      <c r="O108" s="113" t="s">
        <v>33</v>
      </c>
      <c r="P108" s="112"/>
      <c r="Q108" s="59"/>
      <c r="R108" s="59"/>
      <c r="S108" s="59">
        <v>1</v>
      </c>
      <c r="T108" s="59"/>
      <c r="U108" s="59"/>
      <c r="V108" s="59"/>
      <c r="W108" s="59"/>
      <c r="X108" s="105"/>
    </row>
    <row r="109" spans="1:24" customFormat="1" ht="14.25">
      <c r="A109" s="93"/>
      <c r="B109" s="93"/>
      <c r="C109" s="93"/>
      <c r="D109" s="93"/>
      <c r="E109" s="93"/>
      <c r="F109" s="93"/>
      <c r="G109" s="93"/>
      <c r="H109" s="93"/>
      <c r="I109" s="93"/>
      <c r="J109" s="93"/>
      <c r="K109" s="93"/>
      <c r="L109" s="270"/>
      <c r="M109" s="272"/>
      <c r="N109" s="274"/>
      <c r="O109" s="79" t="s">
        <v>35</v>
      </c>
      <c r="P109" s="107">
        <f t="shared" ref="P109:W109" ca="1" si="67">MIN(IF($B110,P108+IF(ISNUMBER(O109),O109,0),P110/$N108),1)</f>
        <v>0</v>
      </c>
      <c r="Q109" s="77">
        <f t="shared" ca="1" si="67"/>
        <v>0</v>
      </c>
      <c r="R109" s="77">
        <f t="shared" ca="1" si="67"/>
        <v>0</v>
      </c>
      <c r="S109" s="77">
        <f t="shared" ca="1" si="67"/>
        <v>1</v>
      </c>
      <c r="T109" s="77">
        <f t="shared" ca="1" si="67"/>
        <v>1</v>
      </c>
      <c r="U109" s="77">
        <f t="shared" ca="1" si="67"/>
        <v>1</v>
      </c>
      <c r="V109" s="77">
        <f t="shared" ca="1" si="67"/>
        <v>1</v>
      </c>
      <c r="W109" s="77">
        <f t="shared" ca="1" si="67"/>
        <v>1</v>
      </c>
      <c r="X109" s="105"/>
    </row>
    <row r="110" spans="1:24" customFormat="1" ht="14.25">
      <c r="A110" s="93">
        <f ca="1">OFFSET(A110,-CFF.NumLinha,0)+1</f>
        <v>31</v>
      </c>
      <c r="B110" s="93" t="b">
        <f ca="1">$C110&gt;=OFFSET($C110,CFF.NumLinha,0)</f>
        <v>1</v>
      </c>
      <c r="C110" s="93">
        <f ca="1">INDEX(PO!A$11:A$1504,MATCH($A110,PO!$W$11:$W$1504,0))</f>
        <v>2</v>
      </c>
      <c r="D110" s="93">
        <f ca="1">IF(ISERROR(J110),I110,SMALL(I110:J110,1))-1</f>
        <v>2</v>
      </c>
      <c r="E110" s="93">
        <f ca="1">IF($C110=1,OFFSET(E110,-CFF.NumLinha,0)+1,OFFSET(E110,-CFF.NumLinha,0))</f>
        <v>5</v>
      </c>
      <c r="F110" s="93">
        <f ca="1">IF($C110=1,0,IF($C110=2,OFFSET(F110,-CFF.NumLinha,0)+1,OFFSET(F110,-CFF.NumLinha,0)))</f>
        <v>4</v>
      </c>
      <c r="G110" s="93">
        <f ca="1">IF(AND($C110&lt;=2,$C110&lt;&gt;0),0,IF($C110=3,OFFSET(G110,-CFF.NumLinha,0)+1,OFFSET(G110,-CFF.NumLinha,0)))</f>
        <v>0</v>
      </c>
      <c r="H110" s="93">
        <f ca="1">IF(AND($C110&lt;=3,$C110&lt;&gt;0),0,IF($C110=4,OFFSET(H110,-CFF.NumLinha,0)+1,OFFSET(H110,-CFF.NumLinha,0)))</f>
        <v>0</v>
      </c>
      <c r="I110" s="93">
        <f ca="1">MATCH(0,OFFSET($D110,1,$C110,ROW($A$435)-ROW($A110)),0)</f>
        <v>6</v>
      </c>
      <c r="J110" s="93">
        <f ca="1">MATCH(OFFSET($D110,0,$C110)+1,OFFSET($D110,1,$C110,ROW($A$435)-ROW($A110)),0)</f>
        <v>3</v>
      </c>
      <c r="K110" s="94">
        <f ca="1">ROUND(INDEX(PO!U$11:U$1504,MATCH($A110,PO!$W$11:$W$1504,0)),2)+10^-12</f>
        <v>1713.7800000000009</v>
      </c>
      <c r="L110" s="270"/>
      <c r="M110" s="272"/>
      <c r="N110" s="274"/>
      <c r="O110" s="115" t="s">
        <v>7</v>
      </c>
      <c r="P110" s="108">
        <f t="shared" ref="P110:W110" ca="1" si="68">IF($B110,ROUND(P109*$N108,2),ROUND(SUMIF(OFFSET($B110,1,0,$D110),TRUE,OFFSET(P110,1,0,$D110))/SUMIF(OFFSET($B110,1,0,$D110),TRUE,OFFSET($K110,1,0,$D110))*$N108,2))</f>
        <v>0</v>
      </c>
      <c r="Q110" s="78">
        <f t="shared" ca="1" si="68"/>
        <v>0</v>
      </c>
      <c r="R110" s="78">
        <f t="shared" ca="1" si="68"/>
        <v>0</v>
      </c>
      <c r="S110" s="78">
        <f t="shared" ca="1" si="68"/>
        <v>1713.78</v>
      </c>
      <c r="T110" s="78">
        <f t="shared" ca="1" si="68"/>
        <v>1713.78</v>
      </c>
      <c r="U110" s="78">
        <f t="shared" ca="1" si="68"/>
        <v>1713.78</v>
      </c>
      <c r="V110" s="78">
        <f t="shared" ca="1" si="68"/>
        <v>1713.78</v>
      </c>
      <c r="W110" s="118">
        <f t="shared" ca="1" si="68"/>
        <v>1713.78</v>
      </c>
      <c r="X110" s="105"/>
    </row>
    <row r="111" spans="1:24" customFormat="1" ht="14.25" customHeight="1">
      <c r="A111" s="39"/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269" t="str">
        <f ca="1">INDEX(PO!K$11:K$1504,MATCH($A113,PO!$W$11:$W$1504,0))</f>
        <v>5.5.</v>
      </c>
      <c r="M111" s="271" t="str">
        <f ca="1">INDEX(PO!O$11:O$1504,MATCH($A113,PO!$W$11:$W$1504,0))</f>
        <v>Atividade 27 - Segurança púlblica e cibernética tecnologia, educação, brincar, estudar e navegar com segurança na internet e fazer boletim de ocorrência Bairro: Frutal de Minas e Jardim Paula II</v>
      </c>
      <c r="N111" s="273">
        <f ca="1">IF(ROUND(K113,2)=0,K113,ROUND(K113,2))</f>
        <v>8728.6299999999992</v>
      </c>
      <c r="O111" s="113" t="s">
        <v>33</v>
      </c>
      <c r="P111" s="112"/>
      <c r="Q111" s="59"/>
      <c r="R111" s="59"/>
      <c r="S111" s="59">
        <v>1</v>
      </c>
      <c r="T111" s="59"/>
      <c r="U111" s="59"/>
      <c r="V111" s="59"/>
      <c r="W111" s="59"/>
      <c r="X111" s="105"/>
    </row>
    <row r="112" spans="1:24" customFormat="1" ht="14.25">
      <c r="A112" s="93"/>
      <c r="B112" s="93"/>
      <c r="C112" s="93"/>
      <c r="D112" s="93"/>
      <c r="E112" s="93"/>
      <c r="F112" s="93"/>
      <c r="G112" s="93"/>
      <c r="H112" s="93"/>
      <c r="I112" s="93"/>
      <c r="J112" s="93"/>
      <c r="K112" s="93"/>
      <c r="L112" s="270"/>
      <c r="M112" s="272"/>
      <c r="N112" s="274"/>
      <c r="O112" s="79" t="s">
        <v>35</v>
      </c>
      <c r="P112" s="107">
        <f t="shared" ref="P112:W112" ca="1" si="69">MIN(IF($B113,P111+IF(ISNUMBER(O112),O112,0),P113/$N111),1)</f>
        <v>0</v>
      </c>
      <c r="Q112" s="77">
        <f t="shared" ca="1" si="69"/>
        <v>0</v>
      </c>
      <c r="R112" s="77">
        <f t="shared" ca="1" si="69"/>
        <v>0</v>
      </c>
      <c r="S112" s="77">
        <f t="shared" ca="1" si="69"/>
        <v>1</v>
      </c>
      <c r="T112" s="77">
        <f t="shared" ca="1" si="69"/>
        <v>1</v>
      </c>
      <c r="U112" s="77">
        <f t="shared" ca="1" si="69"/>
        <v>1</v>
      </c>
      <c r="V112" s="77">
        <f t="shared" ca="1" si="69"/>
        <v>1</v>
      </c>
      <c r="W112" s="77">
        <f t="shared" ca="1" si="69"/>
        <v>1</v>
      </c>
      <c r="X112" s="105"/>
    </row>
    <row r="113" spans="1:24" customFormat="1" ht="14.25">
      <c r="A113" s="93">
        <f ca="1">OFFSET(A113,-CFF.NumLinha,0)+1</f>
        <v>32</v>
      </c>
      <c r="B113" s="93" t="b">
        <f ca="1">$C113&gt;=OFFSET($C113,CFF.NumLinha,0)</f>
        <v>1</v>
      </c>
      <c r="C113" s="93">
        <f ca="1">INDEX(PO!A$11:A$1504,MATCH($A113,PO!$W$11:$W$1504,0))</f>
        <v>2</v>
      </c>
      <c r="D113" s="93">
        <f ca="1">IF(ISERROR(J113),I113,SMALL(I113:J113,1))-1</f>
        <v>2</v>
      </c>
      <c r="E113" s="93">
        <f ca="1">IF($C113=1,OFFSET(E113,-CFF.NumLinha,0)+1,OFFSET(E113,-CFF.NumLinha,0))</f>
        <v>5</v>
      </c>
      <c r="F113" s="93">
        <f ca="1">IF($C113=1,0,IF($C113=2,OFFSET(F113,-CFF.NumLinha,0)+1,OFFSET(F113,-CFF.NumLinha,0)))</f>
        <v>5</v>
      </c>
      <c r="G113" s="93">
        <f ca="1">IF(AND($C113&lt;=2,$C113&lt;&gt;0),0,IF($C113=3,OFFSET(G113,-CFF.NumLinha,0)+1,OFFSET(G113,-CFF.NumLinha,0)))</f>
        <v>0</v>
      </c>
      <c r="H113" s="93">
        <f ca="1">IF(AND($C113&lt;=3,$C113&lt;&gt;0),0,IF($C113=4,OFFSET(H113,-CFF.NumLinha,0)+1,OFFSET(H113,-CFF.NumLinha,0)))</f>
        <v>0</v>
      </c>
      <c r="I113" s="93">
        <f ca="1">MATCH(0,OFFSET($D113,1,$C113,ROW($A$435)-ROW($A113)),0)</f>
        <v>3</v>
      </c>
      <c r="J113" s="93">
        <f ca="1">MATCH(OFFSET($D113,0,$C113)+1,OFFSET($D113,1,$C113,ROW($A$435)-ROW($A113)),0)</f>
        <v>21</v>
      </c>
      <c r="K113" s="94">
        <f ca="1">ROUND(INDEX(PO!U$11:U$1504,MATCH($A113,PO!$W$11:$W$1504,0)),2)+10^-12</f>
        <v>8728.630000000001</v>
      </c>
      <c r="L113" s="270"/>
      <c r="M113" s="272"/>
      <c r="N113" s="274"/>
      <c r="O113" s="115" t="s">
        <v>7</v>
      </c>
      <c r="P113" s="108">
        <f t="shared" ref="P113:W113" ca="1" si="70">IF($B113,ROUND(P112*$N111,2),ROUND(SUMIF(OFFSET($B113,1,0,$D113),TRUE,OFFSET(P113,1,0,$D113))/SUMIF(OFFSET($B113,1,0,$D113),TRUE,OFFSET($K113,1,0,$D113))*$N111,2))</f>
        <v>0</v>
      </c>
      <c r="Q113" s="78">
        <f t="shared" ca="1" si="70"/>
        <v>0</v>
      </c>
      <c r="R113" s="78">
        <f t="shared" ca="1" si="70"/>
        <v>0</v>
      </c>
      <c r="S113" s="78">
        <f t="shared" ca="1" si="70"/>
        <v>8728.6299999999992</v>
      </c>
      <c r="T113" s="78">
        <f t="shared" ca="1" si="70"/>
        <v>8728.6299999999992</v>
      </c>
      <c r="U113" s="78">
        <f t="shared" ca="1" si="70"/>
        <v>8728.6299999999992</v>
      </c>
      <c r="V113" s="78">
        <f t="shared" ca="1" si="70"/>
        <v>8728.6299999999992</v>
      </c>
      <c r="W113" s="118">
        <f t="shared" ca="1" si="70"/>
        <v>8728.6299999999992</v>
      </c>
      <c r="X113" s="105"/>
    </row>
    <row r="114" spans="1:24" customFormat="1" ht="14.25" customHeight="1">
      <c r="A114" s="39"/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269" t="str">
        <f ca="1">INDEX(PO!K$11:K$1504,MATCH($A116,PO!$W$11:$W$1504,0))</f>
        <v>6.</v>
      </c>
      <c r="M114" s="271" t="str">
        <f ca="1">INDEX(PO!O$11:O$1504,MATCH($A116,PO!$W$11:$W$1504,0))</f>
        <v>MÊS 06 - INFORMAÇÕES/OFICINAS</v>
      </c>
      <c r="N114" s="273">
        <f ca="1">IF(ROUND(K116,2)=0,K116,ROUND(K116,2))</f>
        <v>34125.56</v>
      </c>
      <c r="O114" s="113" t="s">
        <v>33</v>
      </c>
      <c r="P114" s="112"/>
      <c r="Q114" s="59"/>
      <c r="R114" s="59"/>
      <c r="S114" s="59">
        <v>1</v>
      </c>
      <c r="T114" s="59"/>
      <c r="U114" s="59"/>
      <c r="V114" s="59"/>
      <c r="W114" s="59"/>
      <c r="X114" s="105"/>
    </row>
    <row r="115" spans="1:24" customFormat="1" ht="14.25">
      <c r="A115" s="93"/>
      <c r="B115" s="93"/>
      <c r="C115" s="93"/>
      <c r="D115" s="93"/>
      <c r="E115" s="93"/>
      <c r="F115" s="93"/>
      <c r="G115" s="93"/>
      <c r="H115" s="93"/>
      <c r="I115" s="93"/>
      <c r="J115" s="93"/>
      <c r="K115" s="93"/>
      <c r="L115" s="270"/>
      <c r="M115" s="272"/>
      <c r="N115" s="274"/>
      <c r="O115" s="79" t="s">
        <v>35</v>
      </c>
      <c r="P115" s="107">
        <f t="shared" ref="P115:W115" ca="1" si="71">MIN(IF($B116,P114+IF(ISNUMBER(O115),O115,0),P116/$N114),1)</f>
        <v>0</v>
      </c>
      <c r="Q115" s="77">
        <f t="shared" ca="1" si="71"/>
        <v>0</v>
      </c>
      <c r="R115" s="77">
        <f t="shared" ca="1" si="71"/>
        <v>0</v>
      </c>
      <c r="S115" s="77">
        <f t="shared" ca="1" si="71"/>
        <v>0.38286844230541567</v>
      </c>
      <c r="T115" s="77">
        <f t="shared" ca="1" si="71"/>
        <v>1</v>
      </c>
      <c r="U115" s="77">
        <f t="shared" ca="1" si="71"/>
        <v>1</v>
      </c>
      <c r="V115" s="77">
        <f t="shared" ca="1" si="71"/>
        <v>1</v>
      </c>
      <c r="W115" s="77">
        <f t="shared" ca="1" si="71"/>
        <v>1</v>
      </c>
      <c r="X115" s="105"/>
    </row>
    <row r="116" spans="1:24" customFormat="1" ht="14.25">
      <c r="A116" s="93">
        <f ca="1">OFFSET(A116,-CFF.NumLinha,0)+1</f>
        <v>33</v>
      </c>
      <c r="B116" s="93" t="b">
        <f ca="1">$C116&gt;=OFFSET($C116,CFF.NumLinha,0)</f>
        <v>0</v>
      </c>
      <c r="C116" s="93">
        <f ca="1">INDEX(PO!A$11:A$1504,MATCH($A116,PO!$W$11:$W$1504,0))</f>
        <v>1</v>
      </c>
      <c r="D116" s="93">
        <f ca="1">IF(ISERROR(J116),I116,SMALL(I116:J116,1))-1</f>
        <v>23</v>
      </c>
      <c r="E116" s="93">
        <f ca="1">IF($C116=1,OFFSET(E116,-CFF.NumLinha,0)+1,OFFSET(E116,-CFF.NumLinha,0))</f>
        <v>6</v>
      </c>
      <c r="F116" s="93">
        <f ca="1">IF($C116=1,0,IF($C116=2,OFFSET(F116,-CFF.NumLinha,0)+1,OFFSET(F116,-CFF.NumLinha,0)))</f>
        <v>0</v>
      </c>
      <c r="G116" s="93">
        <f ca="1">IF(AND($C116&lt;=2,$C116&lt;&gt;0),0,IF($C116=3,OFFSET(G116,-CFF.NumLinha,0)+1,OFFSET(G116,-CFF.NumLinha,0)))</f>
        <v>0</v>
      </c>
      <c r="H116" s="93">
        <f ca="1">IF(AND($C116&lt;=3,$C116&lt;&gt;0),0,IF($C116=4,OFFSET(H116,-CFF.NumLinha,0)+1,OFFSET(H116,-CFF.NumLinha,0)))</f>
        <v>0</v>
      </c>
      <c r="I116" s="93">
        <f ca="1">MATCH(0,OFFSET($D116,1,$C116,ROW($A$435)-ROW($A116)),0)</f>
        <v>319</v>
      </c>
      <c r="J116" s="93">
        <f ca="1">MATCH(OFFSET($D116,0,$C116)+1,OFFSET($D116,1,$C116,ROW($A$435)-ROW($A116)),0)</f>
        <v>24</v>
      </c>
      <c r="K116" s="94">
        <f ca="1">ROUND(INDEX(PO!U$11:U$1504,MATCH($A116,PO!$W$11:$W$1504,0)),2)+10^-12</f>
        <v>34125.56</v>
      </c>
      <c r="L116" s="270"/>
      <c r="M116" s="272"/>
      <c r="N116" s="274"/>
      <c r="O116" s="115" t="s">
        <v>7</v>
      </c>
      <c r="P116" s="108">
        <f t="shared" ref="P116:W116" ca="1" si="72">IF($B116,ROUND(P115*$N114,2),ROUND(SUMIF(OFFSET($B116,1,0,$D116),TRUE,OFFSET(P116,1,0,$D116))/SUMIF(OFFSET($B116,1,0,$D116),TRUE,OFFSET($K116,1,0,$D116))*$N114,2))</f>
        <v>0</v>
      </c>
      <c r="Q116" s="78">
        <f t="shared" ca="1" si="72"/>
        <v>0</v>
      </c>
      <c r="R116" s="78">
        <f t="shared" ca="1" si="72"/>
        <v>0</v>
      </c>
      <c r="S116" s="78">
        <f t="shared" ca="1" si="72"/>
        <v>13065.6</v>
      </c>
      <c r="T116" s="78">
        <f t="shared" ca="1" si="72"/>
        <v>34125.56</v>
      </c>
      <c r="U116" s="78">
        <f t="shared" ca="1" si="72"/>
        <v>34125.56</v>
      </c>
      <c r="V116" s="78">
        <f t="shared" ca="1" si="72"/>
        <v>34125.56</v>
      </c>
      <c r="W116" s="118">
        <f t="shared" ca="1" si="72"/>
        <v>34125.56</v>
      </c>
      <c r="X116" s="105"/>
    </row>
    <row r="117" spans="1:24" customFormat="1" ht="14.25" customHeight="1">
      <c r="A117" s="39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269" t="str">
        <f ca="1">INDEX(PO!K$11:K$1504,MATCH($A119,PO!$W$11:$W$1504,0))</f>
        <v>6.1.</v>
      </c>
      <c r="M117" s="271" t="str">
        <f ca="1">INDEX(PO!O$11:O$1504,MATCH($A119,PO!$W$11:$W$1504,0))</f>
        <v>Atividade 28 - Oficina como fazer e manter vasos e canteiros de plantas medicinais região Parque São João</v>
      </c>
      <c r="N117" s="273">
        <f ca="1">IF(ROUND(K119,2)=0,K119,ROUND(K119,2))</f>
        <v>13065.6</v>
      </c>
      <c r="O117" s="113" t="s">
        <v>33</v>
      </c>
      <c r="P117" s="112"/>
      <c r="Q117" s="59"/>
      <c r="R117" s="59"/>
      <c r="S117" s="59">
        <v>1</v>
      </c>
      <c r="T117" s="59"/>
      <c r="U117" s="59"/>
      <c r="V117" s="59"/>
      <c r="W117" s="59"/>
      <c r="X117" s="105"/>
    </row>
    <row r="118" spans="1:24" customFormat="1" ht="14.25">
      <c r="A118" s="93"/>
      <c r="B118" s="93"/>
      <c r="C118" s="93"/>
      <c r="D118" s="93"/>
      <c r="E118" s="93"/>
      <c r="F118" s="93"/>
      <c r="G118" s="93"/>
      <c r="H118" s="93"/>
      <c r="I118" s="93"/>
      <c r="J118" s="93"/>
      <c r="K118" s="93"/>
      <c r="L118" s="270"/>
      <c r="M118" s="272"/>
      <c r="N118" s="274"/>
      <c r="O118" s="79" t="s">
        <v>35</v>
      </c>
      <c r="P118" s="107">
        <f t="shared" ref="P118:W118" ca="1" si="73">MIN(IF($B119,P117+IF(ISNUMBER(O118),O118,0),P119/$N117),1)</f>
        <v>0</v>
      </c>
      <c r="Q118" s="77">
        <f t="shared" ca="1" si="73"/>
        <v>0</v>
      </c>
      <c r="R118" s="77">
        <f t="shared" ca="1" si="73"/>
        <v>0</v>
      </c>
      <c r="S118" s="77">
        <f t="shared" ca="1" si="73"/>
        <v>1</v>
      </c>
      <c r="T118" s="77">
        <f t="shared" ca="1" si="73"/>
        <v>1</v>
      </c>
      <c r="U118" s="77">
        <f t="shared" ca="1" si="73"/>
        <v>1</v>
      </c>
      <c r="V118" s="77">
        <f t="shared" ca="1" si="73"/>
        <v>1</v>
      </c>
      <c r="W118" s="77">
        <f t="shared" ca="1" si="73"/>
        <v>1</v>
      </c>
      <c r="X118" s="105"/>
    </row>
    <row r="119" spans="1:24" customFormat="1" ht="14.25">
      <c r="A119" s="93">
        <f ca="1">OFFSET(A119,-CFF.NumLinha,0)+1</f>
        <v>34</v>
      </c>
      <c r="B119" s="93" t="b">
        <f ca="1">$C119&gt;=OFFSET($C119,CFF.NumLinha,0)</f>
        <v>1</v>
      </c>
      <c r="C119" s="93">
        <f ca="1">INDEX(PO!A$11:A$1504,MATCH($A119,PO!$W$11:$W$1504,0))</f>
        <v>2</v>
      </c>
      <c r="D119" s="93">
        <f ca="1">IF(ISERROR(J119),I119,SMALL(I119:J119,1))-1</f>
        <v>2</v>
      </c>
      <c r="E119" s="93">
        <f ca="1">IF($C119=1,OFFSET(E119,-CFF.NumLinha,0)+1,OFFSET(E119,-CFF.NumLinha,0))</f>
        <v>6</v>
      </c>
      <c r="F119" s="93">
        <f ca="1">IF($C119=1,0,IF($C119=2,OFFSET(F119,-CFF.NumLinha,0)+1,OFFSET(F119,-CFF.NumLinha,0)))</f>
        <v>1</v>
      </c>
      <c r="G119" s="93">
        <f ca="1">IF(AND($C119&lt;=2,$C119&lt;&gt;0),0,IF($C119=3,OFFSET(G119,-CFF.NumLinha,0)+1,OFFSET(G119,-CFF.NumLinha,0)))</f>
        <v>0</v>
      </c>
      <c r="H119" s="93">
        <f ca="1">IF(AND($C119&lt;=3,$C119&lt;&gt;0),0,IF($C119=4,OFFSET(H119,-CFF.NumLinha,0)+1,OFFSET(H119,-CFF.NumLinha,0)))</f>
        <v>0</v>
      </c>
      <c r="I119" s="93">
        <f ca="1">MATCH(0,OFFSET($D119,1,$C119,ROW($A$435)-ROW($A119)),0)</f>
        <v>21</v>
      </c>
      <c r="J119" s="93">
        <f ca="1">MATCH(OFFSET($D119,0,$C119)+1,OFFSET($D119,1,$C119,ROW($A$435)-ROW($A119)),0)</f>
        <v>3</v>
      </c>
      <c r="K119" s="94">
        <f ca="1">ROUND(INDEX(PO!U$11:U$1504,MATCH($A119,PO!$W$11:$W$1504,0)),2)+10^-12</f>
        <v>13065.600000000002</v>
      </c>
      <c r="L119" s="270"/>
      <c r="M119" s="272"/>
      <c r="N119" s="274"/>
      <c r="O119" s="115" t="s">
        <v>7</v>
      </c>
      <c r="P119" s="108">
        <f t="shared" ref="P119:W119" ca="1" si="74">IF($B119,ROUND(P118*$N117,2),ROUND(SUMIF(OFFSET($B119,1,0,$D119),TRUE,OFFSET(P119,1,0,$D119))/SUMIF(OFFSET($B119,1,0,$D119),TRUE,OFFSET($K119,1,0,$D119))*$N117,2))</f>
        <v>0</v>
      </c>
      <c r="Q119" s="78">
        <f t="shared" ca="1" si="74"/>
        <v>0</v>
      </c>
      <c r="R119" s="78">
        <f t="shared" ca="1" si="74"/>
        <v>0</v>
      </c>
      <c r="S119" s="78">
        <f t="shared" ca="1" si="74"/>
        <v>13065.6</v>
      </c>
      <c r="T119" s="78">
        <f t="shared" ca="1" si="74"/>
        <v>13065.6</v>
      </c>
      <c r="U119" s="78">
        <f t="shared" ca="1" si="74"/>
        <v>13065.6</v>
      </c>
      <c r="V119" s="78">
        <f t="shared" ca="1" si="74"/>
        <v>13065.6</v>
      </c>
      <c r="W119" s="118">
        <f t="shared" ca="1" si="74"/>
        <v>13065.6</v>
      </c>
      <c r="X119" s="105"/>
    </row>
    <row r="120" spans="1:24" customFormat="1" ht="14.25" customHeight="1">
      <c r="A120" s="39"/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269" t="str">
        <f ca="1">INDEX(PO!K$11:K$1504,MATCH($A122,PO!$W$11:$W$1504,0))</f>
        <v>6.2.</v>
      </c>
      <c r="M120" s="271" t="str">
        <f ca="1">INDEX(PO!O$11:O$1504,MATCH($A122,PO!$W$11:$W$1504,0))</f>
        <v>Atividade 29 - Plantão Social região Parque São João</v>
      </c>
      <c r="N120" s="273">
        <f ca="1">IF(ROUND(K122,2)=0,K122,ROUND(K122,2))</f>
        <v>1713.78</v>
      </c>
      <c r="O120" s="113" t="s">
        <v>33</v>
      </c>
      <c r="P120" s="112"/>
      <c r="Q120" s="59"/>
      <c r="R120" s="59"/>
      <c r="S120" s="59"/>
      <c r="T120" s="59">
        <v>1</v>
      </c>
      <c r="U120" s="59"/>
      <c r="V120" s="59"/>
      <c r="W120" s="59"/>
      <c r="X120" s="105"/>
    </row>
    <row r="121" spans="1:24" customFormat="1" ht="14.25">
      <c r="A121" s="93"/>
      <c r="B121" s="93"/>
      <c r="C121" s="93"/>
      <c r="D121" s="93"/>
      <c r="E121" s="93"/>
      <c r="F121" s="93"/>
      <c r="G121" s="93"/>
      <c r="H121" s="93"/>
      <c r="I121" s="93"/>
      <c r="J121" s="93"/>
      <c r="K121" s="93"/>
      <c r="L121" s="270"/>
      <c r="M121" s="272"/>
      <c r="N121" s="274"/>
      <c r="O121" s="79" t="s">
        <v>35</v>
      </c>
      <c r="P121" s="107">
        <f t="shared" ref="P121:W121" ca="1" si="75">MIN(IF($B122,P120+IF(ISNUMBER(O121),O121,0),P122/$N120),1)</f>
        <v>0</v>
      </c>
      <c r="Q121" s="77">
        <f t="shared" ca="1" si="75"/>
        <v>0</v>
      </c>
      <c r="R121" s="77">
        <f t="shared" ca="1" si="75"/>
        <v>0</v>
      </c>
      <c r="S121" s="77">
        <f t="shared" ca="1" si="75"/>
        <v>0</v>
      </c>
      <c r="T121" s="77">
        <f t="shared" ca="1" si="75"/>
        <v>1</v>
      </c>
      <c r="U121" s="77">
        <f t="shared" ca="1" si="75"/>
        <v>1</v>
      </c>
      <c r="V121" s="77">
        <f t="shared" ca="1" si="75"/>
        <v>1</v>
      </c>
      <c r="W121" s="77">
        <f t="shared" ca="1" si="75"/>
        <v>1</v>
      </c>
      <c r="X121" s="105"/>
    </row>
    <row r="122" spans="1:24" customFormat="1" ht="14.25">
      <c r="A122" s="93">
        <f ca="1">OFFSET(A122,-CFF.NumLinha,0)+1</f>
        <v>35</v>
      </c>
      <c r="B122" s="93" t="b">
        <f ca="1">$C122&gt;=OFFSET($C122,CFF.NumLinha,0)</f>
        <v>1</v>
      </c>
      <c r="C122" s="93">
        <f ca="1">INDEX(PO!A$11:A$1504,MATCH($A122,PO!$W$11:$W$1504,0))</f>
        <v>2</v>
      </c>
      <c r="D122" s="93">
        <f ca="1">IF(ISERROR(J122),I122,SMALL(I122:J122,1))-1</f>
        <v>2</v>
      </c>
      <c r="E122" s="93">
        <f ca="1">IF($C122=1,OFFSET(E122,-CFF.NumLinha,0)+1,OFFSET(E122,-CFF.NumLinha,0))</f>
        <v>6</v>
      </c>
      <c r="F122" s="93">
        <f ca="1">IF($C122=1,0,IF($C122=2,OFFSET(F122,-CFF.NumLinha,0)+1,OFFSET(F122,-CFF.NumLinha,0)))</f>
        <v>2</v>
      </c>
      <c r="G122" s="93">
        <f ca="1">IF(AND($C122&lt;=2,$C122&lt;&gt;0),0,IF($C122=3,OFFSET(G122,-CFF.NumLinha,0)+1,OFFSET(G122,-CFF.NumLinha,0)))</f>
        <v>0</v>
      </c>
      <c r="H122" s="93">
        <f ca="1">IF(AND($C122&lt;=3,$C122&lt;&gt;0),0,IF($C122=4,OFFSET(H122,-CFF.NumLinha,0)+1,OFFSET(H122,-CFF.NumLinha,0)))</f>
        <v>0</v>
      </c>
      <c r="I122" s="93">
        <f ca="1">MATCH(0,OFFSET($D122,1,$C122,ROW($A$435)-ROW($A122)),0)</f>
        <v>18</v>
      </c>
      <c r="J122" s="93">
        <f ca="1">MATCH(OFFSET($D122,0,$C122)+1,OFFSET($D122,1,$C122,ROW($A$435)-ROW($A122)),0)</f>
        <v>3</v>
      </c>
      <c r="K122" s="94">
        <f ca="1">ROUND(INDEX(PO!U$11:U$1504,MATCH($A122,PO!$W$11:$W$1504,0)),2)+10^-12</f>
        <v>1713.7800000000009</v>
      </c>
      <c r="L122" s="270"/>
      <c r="M122" s="272"/>
      <c r="N122" s="274"/>
      <c r="O122" s="115" t="s">
        <v>7</v>
      </c>
      <c r="P122" s="108">
        <f t="shared" ref="P122:W122" ca="1" si="76">IF($B122,ROUND(P121*$N120,2),ROUND(SUMIF(OFFSET($B122,1,0,$D122),TRUE,OFFSET(P122,1,0,$D122))/SUMIF(OFFSET($B122,1,0,$D122),TRUE,OFFSET($K122,1,0,$D122))*$N120,2))</f>
        <v>0</v>
      </c>
      <c r="Q122" s="78">
        <f t="shared" ca="1" si="76"/>
        <v>0</v>
      </c>
      <c r="R122" s="78">
        <f t="shared" ca="1" si="76"/>
        <v>0</v>
      </c>
      <c r="S122" s="78">
        <f t="shared" ca="1" si="76"/>
        <v>0</v>
      </c>
      <c r="T122" s="78">
        <f t="shared" ca="1" si="76"/>
        <v>1713.78</v>
      </c>
      <c r="U122" s="78">
        <f t="shared" ca="1" si="76"/>
        <v>1713.78</v>
      </c>
      <c r="V122" s="78">
        <f t="shared" ca="1" si="76"/>
        <v>1713.78</v>
      </c>
      <c r="W122" s="118">
        <f t="shared" ca="1" si="76"/>
        <v>1713.78</v>
      </c>
      <c r="X122" s="105"/>
    </row>
    <row r="123" spans="1:24" customFormat="1" ht="14.25" customHeight="1">
      <c r="A123" s="39"/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269" t="str">
        <f ca="1">INDEX(PO!K$11:K$1504,MATCH($A125,PO!$W$11:$W$1504,0))</f>
        <v>6.3.</v>
      </c>
      <c r="M123" s="271" t="str">
        <f ca="1">INDEX(PO!O$11:O$1504,MATCH($A125,PO!$W$11:$W$1504,0))</f>
        <v>Atividade 30 - Capacitação CAO região Parque São João</v>
      </c>
      <c r="N123" s="273">
        <f ca="1">IF(ROUND(K125,2)=0,K125,ROUND(K125,2))</f>
        <v>1075.33</v>
      </c>
      <c r="O123" s="113" t="s">
        <v>33</v>
      </c>
      <c r="P123" s="112"/>
      <c r="Q123" s="59"/>
      <c r="R123" s="59"/>
      <c r="S123" s="59"/>
      <c r="T123" s="59">
        <v>1</v>
      </c>
      <c r="U123" s="59"/>
      <c r="V123" s="59"/>
      <c r="W123" s="59"/>
      <c r="X123" s="105"/>
    </row>
    <row r="124" spans="1:24" customFormat="1" ht="14.25">
      <c r="A124" s="93"/>
      <c r="B124" s="93"/>
      <c r="C124" s="93"/>
      <c r="D124" s="93"/>
      <c r="E124" s="93"/>
      <c r="F124" s="93"/>
      <c r="G124" s="93"/>
      <c r="H124" s="93"/>
      <c r="I124" s="93"/>
      <c r="J124" s="93"/>
      <c r="K124" s="93"/>
      <c r="L124" s="270"/>
      <c r="M124" s="272"/>
      <c r="N124" s="274"/>
      <c r="O124" s="79" t="s">
        <v>35</v>
      </c>
      <c r="P124" s="107">
        <f t="shared" ref="P124:W124" ca="1" si="77">MIN(IF($B125,P123+IF(ISNUMBER(O124),O124,0),P125/$N123),1)</f>
        <v>0</v>
      </c>
      <c r="Q124" s="77">
        <f t="shared" ca="1" si="77"/>
        <v>0</v>
      </c>
      <c r="R124" s="77">
        <f t="shared" ca="1" si="77"/>
        <v>0</v>
      </c>
      <c r="S124" s="77">
        <f t="shared" ca="1" si="77"/>
        <v>0</v>
      </c>
      <c r="T124" s="77">
        <f t="shared" ca="1" si="77"/>
        <v>1</v>
      </c>
      <c r="U124" s="77">
        <f t="shared" ca="1" si="77"/>
        <v>1</v>
      </c>
      <c r="V124" s="77">
        <f t="shared" ca="1" si="77"/>
        <v>1</v>
      </c>
      <c r="W124" s="77">
        <f t="shared" ca="1" si="77"/>
        <v>1</v>
      </c>
      <c r="X124" s="105"/>
    </row>
    <row r="125" spans="1:24" customFormat="1" ht="14.25">
      <c r="A125" s="93">
        <f ca="1">OFFSET(A125,-CFF.NumLinha,0)+1</f>
        <v>36</v>
      </c>
      <c r="B125" s="93" t="b">
        <f ca="1">$C125&gt;=OFFSET($C125,CFF.NumLinha,0)</f>
        <v>1</v>
      </c>
      <c r="C125" s="93">
        <f ca="1">INDEX(PO!A$11:A$1504,MATCH($A125,PO!$W$11:$W$1504,0))</f>
        <v>2</v>
      </c>
      <c r="D125" s="93">
        <f ca="1">IF(ISERROR(J125),I125,SMALL(I125:J125,1))-1</f>
        <v>2</v>
      </c>
      <c r="E125" s="93">
        <f ca="1">IF($C125=1,OFFSET(E125,-CFF.NumLinha,0)+1,OFFSET(E125,-CFF.NumLinha,0))</f>
        <v>6</v>
      </c>
      <c r="F125" s="93">
        <f ca="1">IF($C125=1,0,IF($C125=2,OFFSET(F125,-CFF.NumLinha,0)+1,OFFSET(F125,-CFF.NumLinha,0)))</f>
        <v>3</v>
      </c>
      <c r="G125" s="93">
        <f ca="1">IF(AND($C125&lt;=2,$C125&lt;&gt;0),0,IF($C125=3,OFFSET(G125,-CFF.NumLinha,0)+1,OFFSET(G125,-CFF.NumLinha,0)))</f>
        <v>0</v>
      </c>
      <c r="H125" s="93">
        <f ca="1">IF(AND($C125&lt;=3,$C125&lt;&gt;0),0,IF($C125=4,OFFSET(H125,-CFF.NumLinha,0)+1,OFFSET(H125,-CFF.NumLinha,0)))</f>
        <v>0</v>
      </c>
      <c r="I125" s="93">
        <f ca="1">MATCH(0,OFFSET($D125,1,$C125,ROW($A$435)-ROW($A125)),0)</f>
        <v>15</v>
      </c>
      <c r="J125" s="93">
        <f ca="1">MATCH(OFFSET($D125,0,$C125)+1,OFFSET($D125,1,$C125,ROW($A$435)-ROW($A125)),0)</f>
        <v>3</v>
      </c>
      <c r="K125" s="94">
        <f ca="1">ROUND(INDEX(PO!U$11:U$1504,MATCH($A125,PO!$W$11:$W$1504,0)),2)+10^-12</f>
        <v>1075.3300000000008</v>
      </c>
      <c r="L125" s="270"/>
      <c r="M125" s="272"/>
      <c r="N125" s="274"/>
      <c r="O125" s="115" t="s">
        <v>7</v>
      </c>
      <c r="P125" s="108">
        <f t="shared" ref="P125:W125" ca="1" si="78">IF($B125,ROUND(P124*$N123,2),ROUND(SUMIF(OFFSET($B125,1,0,$D125),TRUE,OFFSET(P125,1,0,$D125))/SUMIF(OFFSET($B125,1,0,$D125),TRUE,OFFSET($K125,1,0,$D125))*$N123,2))</f>
        <v>0</v>
      </c>
      <c r="Q125" s="78">
        <f t="shared" ca="1" si="78"/>
        <v>0</v>
      </c>
      <c r="R125" s="78">
        <f t="shared" ca="1" si="78"/>
        <v>0</v>
      </c>
      <c r="S125" s="78">
        <f t="shared" ca="1" si="78"/>
        <v>0</v>
      </c>
      <c r="T125" s="78">
        <f t="shared" ca="1" si="78"/>
        <v>1075.33</v>
      </c>
      <c r="U125" s="78">
        <f t="shared" ca="1" si="78"/>
        <v>1075.33</v>
      </c>
      <c r="V125" s="78">
        <f t="shared" ca="1" si="78"/>
        <v>1075.33</v>
      </c>
      <c r="W125" s="118">
        <f t="shared" ca="1" si="78"/>
        <v>1075.33</v>
      </c>
      <c r="X125" s="105"/>
    </row>
    <row r="126" spans="1:24" customFormat="1" ht="14.25" customHeight="1">
      <c r="A126" s="39"/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269" t="str">
        <f ca="1">INDEX(PO!K$11:K$1504,MATCH($A128,PO!$W$11:$W$1504,0))</f>
        <v>6.4.</v>
      </c>
      <c r="M126" s="271" t="str">
        <f ca="1">INDEX(PO!O$11:O$1504,MATCH($A128,PO!$W$11:$W$1504,0))</f>
        <v>Atividade 31 - Oficina como fazer e manter vasos e canteiros de plantas medicinais região Jardim Ikaraí</v>
      </c>
      <c r="N126" s="273">
        <f ca="1">IF(ROUND(K128,2)=0,K128,ROUND(K128,2))</f>
        <v>7735.87</v>
      </c>
      <c r="O126" s="113" t="s">
        <v>33</v>
      </c>
      <c r="P126" s="112"/>
      <c r="Q126" s="59"/>
      <c r="R126" s="59"/>
      <c r="S126" s="59"/>
      <c r="T126" s="59">
        <v>1</v>
      </c>
      <c r="U126" s="59"/>
      <c r="V126" s="59"/>
      <c r="W126" s="59"/>
      <c r="X126" s="105"/>
    </row>
    <row r="127" spans="1:24" customFormat="1" ht="14.25">
      <c r="A127" s="93"/>
      <c r="B127" s="93"/>
      <c r="C127" s="93"/>
      <c r="D127" s="93"/>
      <c r="E127" s="93"/>
      <c r="F127" s="93"/>
      <c r="G127" s="93"/>
      <c r="H127" s="93"/>
      <c r="I127" s="93"/>
      <c r="J127" s="93"/>
      <c r="K127" s="93"/>
      <c r="L127" s="270"/>
      <c r="M127" s="272"/>
      <c r="N127" s="274"/>
      <c r="O127" s="79" t="s">
        <v>35</v>
      </c>
      <c r="P127" s="107">
        <f t="shared" ref="P127:W127" ca="1" si="79">MIN(IF($B128,P126+IF(ISNUMBER(O127),O127,0),P128/$N126),1)</f>
        <v>0</v>
      </c>
      <c r="Q127" s="77">
        <f t="shared" ca="1" si="79"/>
        <v>0</v>
      </c>
      <c r="R127" s="77">
        <f t="shared" ca="1" si="79"/>
        <v>0</v>
      </c>
      <c r="S127" s="77">
        <f t="shared" ca="1" si="79"/>
        <v>0</v>
      </c>
      <c r="T127" s="77">
        <f t="shared" ca="1" si="79"/>
        <v>1</v>
      </c>
      <c r="U127" s="77">
        <f t="shared" ca="1" si="79"/>
        <v>1</v>
      </c>
      <c r="V127" s="77">
        <f t="shared" ca="1" si="79"/>
        <v>1</v>
      </c>
      <c r="W127" s="77">
        <f t="shared" ca="1" si="79"/>
        <v>1</v>
      </c>
      <c r="X127" s="105"/>
    </row>
    <row r="128" spans="1:24" customFormat="1" ht="14.25">
      <c r="A128" s="93">
        <f ca="1">OFFSET(A128,-CFF.NumLinha,0)+1</f>
        <v>37</v>
      </c>
      <c r="B128" s="93" t="b">
        <f ca="1">$C128&gt;=OFFSET($C128,CFF.NumLinha,0)</f>
        <v>1</v>
      </c>
      <c r="C128" s="93">
        <f ca="1">INDEX(PO!A$11:A$1504,MATCH($A128,PO!$W$11:$W$1504,0))</f>
        <v>2</v>
      </c>
      <c r="D128" s="93">
        <f ca="1">IF(ISERROR(J128),I128,SMALL(I128:J128,1))-1</f>
        <v>2</v>
      </c>
      <c r="E128" s="93">
        <f ca="1">IF($C128=1,OFFSET(E128,-CFF.NumLinha,0)+1,OFFSET(E128,-CFF.NumLinha,0))</f>
        <v>6</v>
      </c>
      <c r="F128" s="93">
        <f ca="1">IF($C128=1,0,IF($C128=2,OFFSET(F128,-CFF.NumLinha,0)+1,OFFSET(F128,-CFF.NumLinha,0)))</f>
        <v>4</v>
      </c>
      <c r="G128" s="93">
        <f ca="1">IF(AND($C128&lt;=2,$C128&lt;&gt;0),0,IF($C128=3,OFFSET(G128,-CFF.NumLinha,0)+1,OFFSET(G128,-CFF.NumLinha,0)))</f>
        <v>0</v>
      </c>
      <c r="H128" s="93">
        <f ca="1">IF(AND($C128&lt;=3,$C128&lt;&gt;0),0,IF($C128=4,OFFSET(H128,-CFF.NumLinha,0)+1,OFFSET(H128,-CFF.NumLinha,0)))</f>
        <v>0</v>
      </c>
      <c r="I128" s="93">
        <f ca="1">MATCH(0,OFFSET($D128,1,$C128,ROW($A$435)-ROW($A128)),0)</f>
        <v>12</v>
      </c>
      <c r="J128" s="93">
        <f ca="1">MATCH(OFFSET($D128,0,$C128)+1,OFFSET($D128,1,$C128,ROW($A$435)-ROW($A128)),0)</f>
        <v>3</v>
      </c>
      <c r="K128" s="94">
        <f ca="1">ROUND(INDEX(PO!U$11:U$1504,MATCH($A128,PO!$W$11:$W$1504,0)),2)+10^-12</f>
        <v>7735.8700000000008</v>
      </c>
      <c r="L128" s="270"/>
      <c r="M128" s="272"/>
      <c r="N128" s="274"/>
      <c r="O128" s="115" t="s">
        <v>7</v>
      </c>
      <c r="P128" s="108">
        <f t="shared" ref="P128:W128" ca="1" si="80">IF($B128,ROUND(P127*$N126,2),ROUND(SUMIF(OFFSET($B128,1,0,$D128),TRUE,OFFSET(P128,1,0,$D128))/SUMIF(OFFSET($B128,1,0,$D128),TRUE,OFFSET($K128,1,0,$D128))*$N126,2))</f>
        <v>0</v>
      </c>
      <c r="Q128" s="78">
        <f t="shared" ca="1" si="80"/>
        <v>0</v>
      </c>
      <c r="R128" s="78">
        <f t="shared" ca="1" si="80"/>
        <v>0</v>
      </c>
      <c r="S128" s="78">
        <f t="shared" ca="1" si="80"/>
        <v>0</v>
      </c>
      <c r="T128" s="78">
        <f t="shared" ca="1" si="80"/>
        <v>7735.87</v>
      </c>
      <c r="U128" s="78">
        <f t="shared" ca="1" si="80"/>
        <v>7735.87</v>
      </c>
      <c r="V128" s="78">
        <f t="shared" ca="1" si="80"/>
        <v>7735.87</v>
      </c>
      <c r="W128" s="118">
        <f t="shared" ca="1" si="80"/>
        <v>7735.87</v>
      </c>
      <c r="X128" s="105"/>
    </row>
    <row r="129" spans="1:24" customFormat="1" ht="14.25" customHeight="1">
      <c r="A129" s="39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269" t="str">
        <f ca="1">INDEX(PO!K$11:K$1504,MATCH($A131,PO!$W$11:$W$1504,0))</f>
        <v>6.5.</v>
      </c>
      <c r="M129" s="271" t="str">
        <f ca="1">INDEX(PO!O$11:O$1504,MATCH($A131,PO!$W$11:$W$1504,0))</f>
        <v>Atividade 32 - Plantão Social região Jardim Ikaraí</v>
      </c>
      <c r="N129" s="273">
        <f ca="1">IF(ROUND(K131,2)=0,K131,ROUND(K131,2))</f>
        <v>1713.78</v>
      </c>
      <c r="O129" s="113" t="s">
        <v>33</v>
      </c>
      <c r="P129" s="112"/>
      <c r="Q129" s="59"/>
      <c r="R129" s="59"/>
      <c r="S129" s="59"/>
      <c r="T129" s="59">
        <v>1</v>
      </c>
      <c r="U129" s="59"/>
      <c r="V129" s="59"/>
      <c r="W129" s="59"/>
      <c r="X129" s="105"/>
    </row>
    <row r="130" spans="1:24" customFormat="1" ht="14.25">
      <c r="A130" s="93"/>
      <c r="B130" s="93"/>
      <c r="C130" s="93"/>
      <c r="D130" s="93"/>
      <c r="E130" s="93"/>
      <c r="F130" s="93"/>
      <c r="G130" s="93"/>
      <c r="H130" s="93"/>
      <c r="I130" s="93"/>
      <c r="J130" s="93"/>
      <c r="K130" s="93"/>
      <c r="L130" s="270"/>
      <c r="M130" s="272"/>
      <c r="N130" s="274"/>
      <c r="O130" s="79" t="s">
        <v>35</v>
      </c>
      <c r="P130" s="107">
        <f t="shared" ref="P130:W130" ca="1" si="81">MIN(IF($B131,P129+IF(ISNUMBER(O130),O130,0),P131/$N129),1)</f>
        <v>0</v>
      </c>
      <c r="Q130" s="77">
        <f t="shared" ca="1" si="81"/>
        <v>0</v>
      </c>
      <c r="R130" s="77">
        <f t="shared" ca="1" si="81"/>
        <v>0</v>
      </c>
      <c r="S130" s="77">
        <f t="shared" ca="1" si="81"/>
        <v>0</v>
      </c>
      <c r="T130" s="77">
        <f t="shared" ca="1" si="81"/>
        <v>1</v>
      </c>
      <c r="U130" s="77">
        <f t="shared" ca="1" si="81"/>
        <v>1</v>
      </c>
      <c r="V130" s="77">
        <f t="shared" ca="1" si="81"/>
        <v>1</v>
      </c>
      <c r="W130" s="77">
        <f t="shared" ca="1" si="81"/>
        <v>1</v>
      </c>
      <c r="X130" s="105"/>
    </row>
    <row r="131" spans="1:24" customFormat="1" ht="14.25">
      <c r="A131" s="93">
        <f ca="1">OFFSET(A131,-CFF.NumLinha,0)+1</f>
        <v>38</v>
      </c>
      <c r="B131" s="93" t="b">
        <f ca="1">$C131&gt;=OFFSET($C131,CFF.NumLinha,0)</f>
        <v>1</v>
      </c>
      <c r="C131" s="93">
        <f ca="1">INDEX(PO!A$11:A$1504,MATCH($A131,PO!$W$11:$W$1504,0))</f>
        <v>2</v>
      </c>
      <c r="D131" s="93">
        <f ca="1">IF(ISERROR(J131),I131,SMALL(I131:J131,1))-1</f>
        <v>2</v>
      </c>
      <c r="E131" s="93">
        <f ca="1">IF($C131=1,OFFSET(E131,-CFF.NumLinha,0)+1,OFFSET(E131,-CFF.NumLinha,0))</f>
        <v>6</v>
      </c>
      <c r="F131" s="93">
        <f ca="1">IF($C131=1,0,IF($C131=2,OFFSET(F131,-CFF.NumLinha,0)+1,OFFSET(F131,-CFF.NumLinha,0)))</f>
        <v>5</v>
      </c>
      <c r="G131" s="93">
        <f ca="1">IF(AND($C131&lt;=2,$C131&lt;&gt;0),0,IF($C131=3,OFFSET(G131,-CFF.NumLinha,0)+1,OFFSET(G131,-CFF.NumLinha,0)))</f>
        <v>0</v>
      </c>
      <c r="H131" s="93">
        <f ca="1">IF(AND($C131&lt;=3,$C131&lt;&gt;0),0,IF($C131=4,OFFSET(H131,-CFF.NumLinha,0)+1,OFFSET(H131,-CFF.NumLinha,0)))</f>
        <v>0</v>
      </c>
      <c r="I131" s="93">
        <f ca="1">MATCH(0,OFFSET($D131,1,$C131,ROW($A$435)-ROW($A131)),0)</f>
        <v>9</v>
      </c>
      <c r="J131" s="93">
        <f ca="1">MATCH(OFFSET($D131,0,$C131)+1,OFFSET($D131,1,$C131,ROW($A$435)-ROW($A131)),0)</f>
        <v>3</v>
      </c>
      <c r="K131" s="94">
        <f ca="1">ROUND(INDEX(PO!U$11:U$1504,MATCH($A131,PO!$W$11:$W$1504,0)),2)+10^-12</f>
        <v>1713.7800000000009</v>
      </c>
      <c r="L131" s="270"/>
      <c r="M131" s="272"/>
      <c r="N131" s="274"/>
      <c r="O131" s="115" t="s">
        <v>7</v>
      </c>
      <c r="P131" s="108">
        <f t="shared" ref="P131:W131" ca="1" si="82">IF($B131,ROUND(P130*$N129,2),ROUND(SUMIF(OFFSET($B131,1,0,$D131),TRUE,OFFSET(P131,1,0,$D131))/SUMIF(OFFSET($B131,1,0,$D131),TRUE,OFFSET($K131,1,0,$D131))*$N129,2))</f>
        <v>0</v>
      </c>
      <c r="Q131" s="78">
        <f t="shared" ca="1" si="82"/>
        <v>0</v>
      </c>
      <c r="R131" s="78">
        <f t="shared" ca="1" si="82"/>
        <v>0</v>
      </c>
      <c r="S131" s="78">
        <f t="shared" ca="1" si="82"/>
        <v>0</v>
      </c>
      <c r="T131" s="78">
        <f t="shared" ca="1" si="82"/>
        <v>1713.78</v>
      </c>
      <c r="U131" s="78">
        <f t="shared" ca="1" si="82"/>
        <v>1713.78</v>
      </c>
      <c r="V131" s="78">
        <f t="shared" ca="1" si="82"/>
        <v>1713.78</v>
      </c>
      <c r="W131" s="118">
        <f t="shared" ca="1" si="82"/>
        <v>1713.78</v>
      </c>
      <c r="X131" s="105"/>
    </row>
    <row r="132" spans="1:24" customFormat="1" ht="14.25" customHeight="1">
      <c r="A132" s="39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269" t="str">
        <f ca="1">INDEX(PO!K$11:K$1504,MATCH($A134,PO!$W$11:$W$1504,0))</f>
        <v>6.6.</v>
      </c>
      <c r="M132" s="271" t="str">
        <f ca="1">INDEX(PO!O$11:O$1504,MATCH($A134,PO!$W$11:$W$1504,0))</f>
        <v>Atividade 33 - Capacitação CAO região Jardim Ikaraí</v>
      </c>
      <c r="N132" s="273">
        <f ca="1">IF(ROUND(K134,2)=0,K134,ROUND(K134,2))</f>
        <v>1085.33</v>
      </c>
      <c r="O132" s="113" t="s">
        <v>33</v>
      </c>
      <c r="P132" s="112"/>
      <c r="Q132" s="59"/>
      <c r="R132" s="59"/>
      <c r="S132" s="59"/>
      <c r="T132" s="59">
        <v>1</v>
      </c>
      <c r="U132" s="59"/>
      <c r="V132" s="59"/>
      <c r="W132" s="59"/>
      <c r="X132" s="105"/>
    </row>
    <row r="133" spans="1:24" customFormat="1" ht="14.25">
      <c r="A133" s="93"/>
      <c r="B133" s="93"/>
      <c r="C133" s="93"/>
      <c r="D133" s="93"/>
      <c r="E133" s="93"/>
      <c r="F133" s="93"/>
      <c r="G133" s="93"/>
      <c r="H133" s="93"/>
      <c r="I133" s="93"/>
      <c r="J133" s="93"/>
      <c r="K133" s="93"/>
      <c r="L133" s="270"/>
      <c r="M133" s="272"/>
      <c r="N133" s="274"/>
      <c r="O133" s="79" t="s">
        <v>35</v>
      </c>
      <c r="P133" s="107">
        <f t="shared" ref="P133:W133" ca="1" si="83">MIN(IF($B134,P132+IF(ISNUMBER(O133),O133,0),P134/$N132),1)</f>
        <v>0</v>
      </c>
      <c r="Q133" s="77">
        <f t="shared" ca="1" si="83"/>
        <v>0</v>
      </c>
      <c r="R133" s="77">
        <f t="shared" ca="1" si="83"/>
        <v>0</v>
      </c>
      <c r="S133" s="77">
        <f t="shared" ca="1" si="83"/>
        <v>0</v>
      </c>
      <c r="T133" s="77">
        <f t="shared" ca="1" si="83"/>
        <v>1</v>
      </c>
      <c r="U133" s="77">
        <f t="shared" ca="1" si="83"/>
        <v>1</v>
      </c>
      <c r="V133" s="77">
        <f t="shared" ca="1" si="83"/>
        <v>1</v>
      </c>
      <c r="W133" s="77">
        <f t="shared" ca="1" si="83"/>
        <v>1</v>
      </c>
      <c r="X133" s="105"/>
    </row>
    <row r="134" spans="1:24" customFormat="1" ht="14.25">
      <c r="A134" s="93">
        <f ca="1">OFFSET(A134,-CFF.NumLinha,0)+1</f>
        <v>39</v>
      </c>
      <c r="B134" s="93" t="b">
        <f ca="1">$C134&gt;=OFFSET($C134,CFF.NumLinha,0)</f>
        <v>1</v>
      </c>
      <c r="C134" s="93">
        <f ca="1">INDEX(PO!A$11:A$1504,MATCH($A134,PO!$W$11:$W$1504,0))</f>
        <v>2</v>
      </c>
      <c r="D134" s="93">
        <f ca="1">IF(ISERROR(J134),I134,SMALL(I134:J134,1))-1</f>
        <v>2</v>
      </c>
      <c r="E134" s="93">
        <f ca="1">IF($C134=1,OFFSET(E134,-CFF.NumLinha,0)+1,OFFSET(E134,-CFF.NumLinha,0))</f>
        <v>6</v>
      </c>
      <c r="F134" s="93">
        <f ca="1">IF($C134=1,0,IF($C134=2,OFFSET(F134,-CFF.NumLinha,0)+1,OFFSET(F134,-CFF.NumLinha,0)))</f>
        <v>6</v>
      </c>
      <c r="G134" s="93">
        <f ca="1">IF(AND($C134&lt;=2,$C134&lt;&gt;0),0,IF($C134=3,OFFSET(G134,-CFF.NumLinha,0)+1,OFFSET(G134,-CFF.NumLinha,0)))</f>
        <v>0</v>
      </c>
      <c r="H134" s="93">
        <f ca="1">IF(AND($C134&lt;=3,$C134&lt;&gt;0),0,IF($C134=4,OFFSET(H134,-CFF.NumLinha,0)+1,OFFSET(H134,-CFF.NumLinha,0)))</f>
        <v>0</v>
      </c>
      <c r="I134" s="93">
        <f ca="1">MATCH(0,OFFSET($D134,1,$C134,ROW($A$435)-ROW($A134)),0)</f>
        <v>6</v>
      </c>
      <c r="J134" s="93">
        <f ca="1">MATCH(OFFSET($D134,0,$C134)+1,OFFSET($D134,1,$C134,ROW($A$435)-ROW($A134)),0)</f>
        <v>3</v>
      </c>
      <c r="K134" s="94">
        <f ca="1">ROUND(INDEX(PO!U$11:U$1504,MATCH($A134,PO!$W$11:$W$1504,0)),2)+10^-12</f>
        <v>1085.3300000000008</v>
      </c>
      <c r="L134" s="270"/>
      <c r="M134" s="272"/>
      <c r="N134" s="274"/>
      <c r="O134" s="115" t="s">
        <v>7</v>
      </c>
      <c r="P134" s="108">
        <f t="shared" ref="P134:W134" ca="1" si="84">IF($B134,ROUND(P133*$N132,2),ROUND(SUMIF(OFFSET($B134,1,0,$D134),TRUE,OFFSET(P134,1,0,$D134))/SUMIF(OFFSET($B134,1,0,$D134),TRUE,OFFSET($K134,1,0,$D134))*$N132,2))</f>
        <v>0</v>
      </c>
      <c r="Q134" s="78">
        <f t="shared" ca="1" si="84"/>
        <v>0</v>
      </c>
      <c r="R134" s="78">
        <f t="shared" ca="1" si="84"/>
        <v>0</v>
      </c>
      <c r="S134" s="78">
        <f t="shared" ca="1" si="84"/>
        <v>0</v>
      </c>
      <c r="T134" s="78">
        <f t="shared" ca="1" si="84"/>
        <v>1085.33</v>
      </c>
      <c r="U134" s="78">
        <f t="shared" ca="1" si="84"/>
        <v>1085.33</v>
      </c>
      <c r="V134" s="78">
        <f t="shared" ca="1" si="84"/>
        <v>1085.33</v>
      </c>
      <c r="W134" s="118">
        <f t="shared" ca="1" si="84"/>
        <v>1085.33</v>
      </c>
      <c r="X134" s="105"/>
    </row>
    <row r="135" spans="1:24" customFormat="1" ht="14.25" customHeight="1">
      <c r="A135" s="39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269" t="str">
        <f ca="1">INDEX(PO!K$11:K$1504,MATCH($A137,PO!$W$11:$W$1504,0))</f>
        <v>6.7.</v>
      </c>
      <c r="M135" s="271" t="str">
        <f ca="1">INDEX(PO!O$11:O$1504,MATCH($A137,PO!$W$11:$W$1504,0))</f>
        <v>Atividade 34 - Oficina como fazer e manter vasos e canteiros de plantas medicinais: Bairro Frutal de Minas e Jardim Paulal II</v>
      </c>
      <c r="N135" s="273">
        <f ca="1">IF(ROUND(K137,2)=0,K137,ROUND(K137,2))</f>
        <v>7735.87</v>
      </c>
      <c r="O135" s="113" t="s">
        <v>33</v>
      </c>
      <c r="P135" s="112"/>
      <c r="Q135" s="59"/>
      <c r="R135" s="59"/>
      <c r="S135" s="59"/>
      <c r="T135" s="59">
        <v>1</v>
      </c>
      <c r="U135" s="59"/>
      <c r="V135" s="59"/>
      <c r="W135" s="59"/>
      <c r="X135" s="105"/>
    </row>
    <row r="136" spans="1:24" customFormat="1" ht="14.25">
      <c r="A136" s="93"/>
      <c r="B136" s="93"/>
      <c r="C136" s="93"/>
      <c r="D136" s="93"/>
      <c r="E136" s="93"/>
      <c r="F136" s="93"/>
      <c r="G136" s="93"/>
      <c r="H136" s="93"/>
      <c r="I136" s="93"/>
      <c r="J136" s="93"/>
      <c r="K136" s="93"/>
      <c r="L136" s="270"/>
      <c r="M136" s="272"/>
      <c r="N136" s="274"/>
      <c r="O136" s="79" t="s">
        <v>35</v>
      </c>
      <c r="P136" s="107">
        <f t="shared" ref="P136:W136" ca="1" si="85">MIN(IF($B137,P135+IF(ISNUMBER(O136),O136,0),P137/$N135),1)</f>
        <v>0</v>
      </c>
      <c r="Q136" s="77">
        <f t="shared" ca="1" si="85"/>
        <v>0</v>
      </c>
      <c r="R136" s="77">
        <f t="shared" ca="1" si="85"/>
        <v>0</v>
      </c>
      <c r="S136" s="77">
        <f t="shared" ca="1" si="85"/>
        <v>0</v>
      </c>
      <c r="T136" s="77">
        <f t="shared" ca="1" si="85"/>
        <v>1</v>
      </c>
      <c r="U136" s="77">
        <f t="shared" ca="1" si="85"/>
        <v>1</v>
      </c>
      <c r="V136" s="77">
        <f t="shared" ca="1" si="85"/>
        <v>1</v>
      </c>
      <c r="W136" s="77">
        <f t="shared" ca="1" si="85"/>
        <v>1</v>
      </c>
      <c r="X136" s="105"/>
    </row>
    <row r="137" spans="1:24" customFormat="1" ht="14.25">
      <c r="A137" s="93">
        <f ca="1">OFFSET(A137,-CFF.NumLinha,0)+1</f>
        <v>40</v>
      </c>
      <c r="B137" s="93" t="b">
        <f ca="1">$C137&gt;=OFFSET($C137,CFF.NumLinha,0)</f>
        <v>1</v>
      </c>
      <c r="C137" s="93">
        <f ca="1">INDEX(PO!A$11:A$1504,MATCH($A137,PO!$W$11:$W$1504,0))</f>
        <v>2</v>
      </c>
      <c r="D137" s="93">
        <f ca="1">IF(ISERROR(J137),I137,SMALL(I137:J137,1))-1</f>
        <v>2</v>
      </c>
      <c r="E137" s="93">
        <f ca="1">IF($C137=1,OFFSET(E137,-CFF.NumLinha,0)+1,OFFSET(E137,-CFF.NumLinha,0))</f>
        <v>6</v>
      </c>
      <c r="F137" s="93">
        <f ca="1">IF($C137=1,0,IF($C137=2,OFFSET(F137,-CFF.NumLinha,0)+1,OFFSET(F137,-CFF.NumLinha,0)))</f>
        <v>7</v>
      </c>
      <c r="G137" s="93">
        <f ca="1">IF(AND($C137&lt;=2,$C137&lt;&gt;0),0,IF($C137=3,OFFSET(G137,-CFF.NumLinha,0)+1,OFFSET(G137,-CFF.NumLinha,0)))</f>
        <v>0</v>
      </c>
      <c r="H137" s="93">
        <f ca="1">IF(AND($C137&lt;=3,$C137&lt;&gt;0),0,IF($C137=4,OFFSET(H137,-CFF.NumLinha,0)+1,OFFSET(H137,-CFF.NumLinha,0)))</f>
        <v>0</v>
      </c>
      <c r="I137" s="93">
        <f ca="1">MATCH(0,OFFSET($D137,1,$C137,ROW($A$435)-ROW($A137)),0)</f>
        <v>3</v>
      </c>
      <c r="J137" s="93">
        <f ca="1">MATCH(OFFSET($D137,0,$C137)+1,OFFSET($D137,1,$C137,ROW($A$435)-ROW($A137)),0)</f>
        <v>27</v>
      </c>
      <c r="K137" s="94">
        <f ca="1">ROUND(INDEX(PO!U$11:U$1504,MATCH($A137,PO!$W$11:$W$1504,0)),2)+10^-12</f>
        <v>7735.8700000000008</v>
      </c>
      <c r="L137" s="270"/>
      <c r="M137" s="272"/>
      <c r="N137" s="274"/>
      <c r="O137" s="115" t="s">
        <v>7</v>
      </c>
      <c r="P137" s="108">
        <f t="shared" ref="P137:W137" ca="1" si="86">IF($B137,ROUND(P136*$N135,2),ROUND(SUMIF(OFFSET($B137,1,0,$D137),TRUE,OFFSET(P137,1,0,$D137))/SUMIF(OFFSET($B137,1,0,$D137),TRUE,OFFSET($K137,1,0,$D137))*$N135,2))</f>
        <v>0</v>
      </c>
      <c r="Q137" s="78">
        <f t="shared" ca="1" si="86"/>
        <v>0</v>
      </c>
      <c r="R137" s="78">
        <f t="shared" ca="1" si="86"/>
        <v>0</v>
      </c>
      <c r="S137" s="78">
        <f t="shared" ca="1" si="86"/>
        <v>0</v>
      </c>
      <c r="T137" s="78">
        <f t="shared" ca="1" si="86"/>
        <v>7735.87</v>
      </c>
      <c r="U137" s="78">
        <f t="shared" ca="1" si="86"/>
        <v>7735.87</v>
      </c>
      <c r="V137" s="78">
        <f t="shared" ca="1" si="86"/>
        <v>7735.87</v>
      </c>
      <c r="W137" s="118">
        <f t="shared" ca="1" si="86"/>
        <v>7735.87</v>
      </c>
      <c r="X137" s="105"/>
    </row>
    <row r="138" spans="1:24" customFormat="1" ht="14.25" customHeight="1">
      <c r="A138" s="39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269" t="str">
        <f ca="1">INDEX(PO!K$11:K$1504,MATCH($A140,PO!$W$11:$W$1504,0))</f>
        <v>7.</v>
      </c>
      <c r="M138" s="271" t="str">
        <f ca="1">INDEX(PO!O$11:O$1504,MATCH($A140,PO!$W$11:$W$1504,0))</f>
        <v>MÊS 07 - INFORMAÇÕES/PALESTRAS</v>
      </c>
      <c r="N138" s="273">
        <f ca="1">IF(ROUND(K140,2)=0,K140,ROUND(K140,2))</f>
        <v>65750.740000000005</v>
      </c>
      <c r="O138" s="113" t="s">
        <v>33</v>
      </c>
      <c r="P138" s="112"/>
      <c r="Q138" s="59"/>
      <c r="R138" s="59"/>
      <c r="S138" s="59"/>
      <c r="T138" s="59">
        <v>1</v>
      </c>
      <c r="U138" s="59"/>
      <c r="V138" s="59"/>
      <c r="W138" s="59"/>
      <c r="X138" s="105"/>
    </row>
    <row r="139" spans="1:24" customFormat="1" ht="14.25">
      <c r="A139" s="93"/>
      <c r="B139" s="93"/>
      <c r="C139" s="93"/>
      <c r="D139" s="93"/>
      <c r="E139" s="93"/>
      <c r="F139" s="93"/>
      <c r="G139" s="93"/>
      <c r="H139" s="93"/>
      <c r="I139" s="93"/>
      <c r="J139" s="93"/>
      <c r="K139" s="93"/>
      <c r="L139" s="270"/>
      <c r="M139" s="272"/>
      <c r="N139" s="274"/>
      <c r="O139" s="79" t="s">
        <v>35</v>
      </c>
      <c r="P139" s="107">
        <f t="shared" ref="P139:W139" ca="1" si="87">MIN(IF($B140,P138+IF(ISNUMBER(O139),O139,0),P140/$N138),1)</f>
        <v>0</v>
      </c>
      <c r="Q139" s="77">
        <f t="shared" ca="1" si="87"/>
        <v>0</v>
      </c>
      <c r="R139" s="77">
        <f t="shared" ca="1" si="87"/>
        <v>0</v>
      </c>
      <c r="S139" s="77">
        <f t="shared" ca="1" si="87"/>
        <v>0</v>
      </c>
      <c r="T139" s="77">
        <f t="shared" ca="1" si="87"/>
        <v>0.2900708037658587</v>
      </c>
      <c r="U139" s="77">
        <f t="shared" ca="1" si="87"/>
        <v>1</v>
      </c>
      <c r="V139" s="77">
        <f t="shared" ca="1" si="87"/>
        <v>1</v>
      </c>
      <c r="W139" s="77">
        <f t="shared" ca="1" si="87"/>
        <v>1</v>
      </c>
      <c r="X139" s="105"/>
    </row>
    <row r="140" spans="1:24" customFormat="1" ht="14.25">
      <c r="A140" s="93">
        <f ca="1">OFFSET(A140,-CFF.NumLinha,0)+1</f>
        <v>41</v>
      </c>
      <c r="B140" s="93" t="b">
        <f ca="1">$C140&gt;=OFFSET($C140,CFF.NumLinha,0)</f>
        <v>0</v>
      </c>
      <c r="C140" s="93">
        <f ca="1">INDEX(PO!A$11:A$1504,MATCH($A140,PO!$W$11:$W$1504,0))</f>
        <v>1</v>
      </c>
      <c r="D140" s="93">
        <f ca="1">IF(ISERROR(J140),I140,SMALL(I140:J140,1))-1</f>
        <v>32</v>
      </c>
      <c r="E140" s="93">
        <f ca="1">IF($C140=1,OFFSET(E140,-CFF.NumLinha,0)+1,OFFSET(E140,-CFF.NumLinha,0))</f>
        <v>7</v>
      </c>
      <c r="F140" s="93">
        <f ca="1">IF($C140=1,0,IF($C140=2,OFFSET(F140,-CFF.NumLinha,0)+1,OFFSET(F140,-CFF.NumLinha,0)))</f>
        <v>0</v>
      </c>
      <c r="G140" s="93">
        <f ca="1">IF(AND($C140&lt;=2,$C140&lt;&gt;0),0,IF($C140=3,OFFSET(G140,-CFF.NumLinha,0)+1,OFFSET(G140,-CFF.NumLinha,0)))</f>
        <v>0</v>
      </c>
      <c r="H140" s="93">
        <f ca="1">IF(AND($C140&lt;=3,$C140&lt;&gt;0),0,IF($C140=4,OFFSET(H140,-CFF.NumLinha,0)+1,OFFSET(H140,-CFF.NumLinha,0)))</f>
        <v>0</v>
      </c>
      <c r="I140" s="93">
        <f ca="1">MATCH(0,OFFSET($D140,1,$C140,ROW($A$435)-ROW($A140)),0)</f>
        <v>295</v>
      </c>
      <c r="J140" s="93">
        <f ca="1">MATCH(OFFSET($D140,0,$C140)+1,OFFSET($D140,1,$C140,ROW($A$435)-ROW($A140)),0)</f>
        <v>33</v>
      </c>
      <c r="K140" s="94">
        <f ca="1">ROUND(INDEX(PO!U$11:U$1504,MATCH($A140,PO!$W$11:$W$1504,0)),2)+10^-12</f>
        <v>65750.740000000005</v>
      </c>
      <c r="L140" s="270"/>
      <c r="M140" s="272"/>
      <c r="N140" s="274"/>
      <c r="O140" s="115" t="s">
        <v>7</v>
      </c>
      <c r="P140" s="108">
        <f t="shared" ref="P140:W140" ca="1" si="88">IF($B140,ROUND(P139*$N138,2),ROUND(SUMIF(OFFSET($B140,1,0,$D140),TRUE,OFFSET(P140,1,0,$D140))/SUMIF(OFFSET($B140,1,0,$D140),TRUE,OFFSET($K140,1,0,$D140))*$N138,2))</f>
        <v>0</v>
      </c>
      <c r="Q140" s="78">
        <f t="shared" ca="1" si="88"/>
        <v>0</v>
      </c>
      <c r="R140" s="78">
        <f t="shared" ca="1" si="88"/>
        <v>0</v>
      </c>
      <c r="S140" s="78">
        <f t="shared" ca="1" si="88"/>
        <v>0</v>
      </c>
      <c r="T140" s="78">
        <f t="shared" ca="1" si="88"/>
        <v>19072.37</v>
      </c>
      <c r="U140" s="78">
        <f t="shared" ca="1" si="88"/>
        <v>65750.740000000005</v>
      </c>
      <c r="V140" s="78">
        <f t="shared" ca="1" si="88"/>
        <v>65750.740000000005</v>
      </c>
      <c r="W140" s="118">
        <f t="shared" ca="1" si="88"/>
        <v>65750.740000000005</v>
      </c>
      <c r="X140" s="105"/>
    </row>
    <row r="141" spans="1:24" customFormat="1" ht="14.25" customHeight="1">
      <c r="A141" s="39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269" t="str">
        <f ca="1">INDEX(PO!K$11:K$1504,MATCH($A143,PO!$W$11:$W$1504,0))</f>
        <v>7.1.</v>
      </c>
      <c r="M141" s="271" t="str">
        <f ca="1">INDEX(PO!O$11:O$1504,MATCH($A143,PO!$W$11:$W$1504,0))</f>
        <v>Atividade 35 - Palestra: Organização e mobilização da comunidade desenvolvimento territorial região Parque São João</v>
      </c>
      <c r="N141" s="273">
        <f ca="1">IF(ROUND(K143,2)=0,K143,ROUND(K143,2))</f>
        <v>11514.07</v>
      </c>
      <c r="O141" s="113" t="s">
        <v>33</v>
      </c>
      <c r="P141" s="112"/>
      <c r="Q141" s="59"/>
      <c r="R141" s="59"/>
      <c r="S141" s="59"/>
      <c r="T141" s="59">
        <v>1</v>
      </c>
      <c r="U141" s="59"/>
      <c r="V141" s="59"/>
      <c r="W141" s="59"/>
      <c r="X141" s="105"/>
    </row>
    <row r="142" spans="1:24" customFormat="1" ht="14.25">
      <c r="A142" s="93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270"/>
      <c r="M142" s="272"/>
      <c r="N142" s="274"/>
      <c r="O142" s="79" t="s">
        <v>35</v>
      </c>
      <c r="P142" s="107">
        <f t="shared" ref="P142:W142" ca="1" si="89">MIN(IF($B143,P141+IF(ISNUMBER(O142),O142,0),P143/$N141),1)</f>
        <v>0</v>
      </c>
      <c r="Q142" s="77">
        <f t="shared" ca="1" si="89"/>
        <v>0</v>
      </c>
      <c r="R142" s="77">
        <f t="shared" ca="1" si="89"/>
        <v>0</v>
      </c>
      <c r="S142" s="77">
        <f t="shared" ca="1" si="89"/>
        <v>0</v>
      </c>
      <c r="T142" s="77">
        <f t="shared" ca="1" si="89"/>
        <v>1</v>
      </c>
      <c r="U142" s="77">
        <f t="shared" ca="1" si="89"/>
        <v>1</v>
      </c>
      <c r="V142" s="77">
        <f t="shared" ca="1" si="89"/>
        <v>1</v>
      </c>
      <c r="W142" s="77">
        <f t="shared" ca="1" si="89"/>
        <v>1</v>
      </c>
      <c r="X142" s="105"/>
    </row>
    <row r="143" spans="1:24" customFormat="1" ht="14.25">
      <c r="A143" s="93">
        <f ca="1">OFFSET(A143,-CFF.NumLinha,0)+1</f>
        <v>42</v>
      </c>
      <c r="B143" s="93" t="b">
        <f ca="1">$C143&gt;=OFFSET($C143,CFF.NumLinha,0)</f>
        <v>1</v>
      </c>
      <c r="C143" s="93">
        <f ca="1">INDEX(PO!A$11:A$1504,MATCH($A143,PO!$W$11:$W$1504,0))</f>
        <v>2</v>
      </c>
      <c r="D143" s="93">
        <f ca="1">IF(ISERROR(J143),I143,SMALL(I143:J143,1))-1</f>
        <v>2</v>
      </c>
      <c r="E143" s="93">
        <f ca="1">IF($C143=1,OFFSET(E143,-CFF.NumLinha,0)+1,OFFSET(E143,-CFF.NumLinha,0))</f>
        <v>7</v>
      </c>
      <c r="F143" s="93">
        <f ca="1">IF($C143=1,0,IF($C143=2,OFFSET(F143,-CFF.NumLinha,0)+1,OFFSET(F143,-CFF.NumLinha,0)))</f>
        <v>1</v>
      </c>
      <c r="G143" s="93">
        <f ca="1">IF(AND($C143&lt;=2,$C143&lt;&gt;0),0,IF($C143=3,OFFSET(G143,-CFF.NumLinha,0)+1,OFFSET(G143,-CFF.NumLinha,0)))</f>
        <v>0</v>
      </c>
      <c r="H143" s="93">
        <f ca="1">IF(AND($C143&lt;=3,$C143&lt;&gt;0),0,IF($C143=4,OFFSET(H143,-CFF.NumLinha,0)+1,OFFSET(H143,-CFF.NumLinha,0)))</f>
        <v>0</v>
      </c>
      <c r="I143" s="93">
        <f ca="1">MATCH(0,OFFSET($D143,1,$C143,ROW($A$435)-ROW($A143)),0)</f>
        <v>30</v>
      </c>
      <c r="J143" s="93">
        <f ca="1">MATCH(OFFSET($D143,0,$C143)+1,OFFSET($D143,1,$C143,ROW($A$435)-ROW($A143)),0)</f>
        <v>3</v>
      </c>
      <c r="K143" s="94">
        <f ca="1">ROUND(INDEX(PO!U$11:U$1504,MATCH($A143,PO!$W$11:$W$1504,0)),2)+10^-12</f>
        <v>11514.070000000002</v>
      </c>
      <c r="L143" s="270"/>
      <c r="M143" s="272"/>
      <c r="N143" s="274"/>
      <c r="O143" s="115" t="s">
        <v>7</v>
      </c>
      <c r="P143" s="108">
        <f t="shared" ref="P143:W143" ca="1" si="90">IF($B143,ROUND(P142*$N141,2),ROUND(SUMIF(OFFSET($B143,1,0,$D143),TRUE,OFFSET(P143,1,0,$D143))/SUMIF(OFFSET($B143,1,0,$D143),TRUE,OFFSET($K143,1,0,$D143))*$N141,2))</f>
        <v>0</v>
      </c>
      <c r="Q143" s="78">
        <f t="shared" ca="1" si="90"/>
        <v>0</v>
      </c>
      <c r="R143" s="78">
        <f t="shared" ca="1" si="90"/>
        <v>0</v>
      </c>
      <c r="S143" s="78">
        <f t="shared" ca="1" si="90"/>
        <v>0</v>
      </c>
      <c r="T143" s="78">
        <f t="shared" ca="1" si="90"/>
        <v>11514.07</v>
      </c>
      <c r="U143" s="78">
        <f t="shared" ca="1" si="90"/>
        <v>11514.07</v>
      </c>
      <c r="V143" s="78">
        <f t="shared" ca="1" si="90"/>
        <v>11514.07</v>
      </c>
      <c r="W143" s="118">
        <f t="shared" ca="1" si="90"/>
        <v>11514.07</v>
      </c>
      <c r="X143" s="105"/>
    </row>
    <row r="144" spans="1:24" customFormat="1" ht="14.25" customHeight="1">
      <c r="A144" s="39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269" t="str">
        <f ca="1">INDEX(PO!K$11:K$1504,MATCH($A146,PO!$W$11:$W$1504,0))</f>
        <v>7.2.</v>
      </c>
      <c r="M144" s="271" t="str">
        <f ca="1">INDEX(PO!O$11:O$1504,MATCH($A146,PO!$W$11:$W$1504,0))</f>
        <v>Atividade 36 - Oficina para melhor idade região  Parque São João</v>
      </c>
      <c r="N144" s="273">
        <f ca="1">IF(ROUND(K146,2)=0,K146,ROUND(K146,2))</f>
        <v>4130.74</v>
      </c>
      <c r="O144" s="113" t="s">
        <v>33</v>
      </c>
      <c r="P144" s="112"/>
      <c r="Q144" s="59"/>
      <c r="R144" s="59"/>
      <c r="S144" s="59"/>
      <c r="T144" s="59">
        <v>1</v>
      </c>
      <c r="U144" s="59"/>
      <c r="V144" s="59"/>
      <c r="W144" s="59"/>
      <c r="X144" s="105"/>
    </row>
    <row r="145" spans="1:24" customFormat="1" ht="14.25">
      <c r="A145" s="93"/>
      <c r="B145" s="93"/>
      <c r="C145" s="93"/>
      <c r="D145" s="93"/>
      <c r="E145" s="93"/>
      <c r="F145" s="93"/>
      <c r="G145" s="93"/>
      <c r="H145" s="93"/>
      <c r="I145" s="93"/>
      <c r="J145" s="93"/>
      <c r="K145" s="93"/>
      <c r="L145" s="270"/>
      <c r="M145" s="272"/>
      <c r="N145" s="274"/>
      <c r="O145" s="79" t="s">
        <v>35</v>
      </c>
      <c r="P145" s="107">
        <f t="shared" ref="P145:W145" ca="1" si="91">MIN(IF($B146,P144+IF(ISNUMBER(O145),O145,0),P146/$N144),1)</f>
        <v>0</v>
      </c>
      <c r="Q145" s="77">
        <f t="shared" ca="1" si="91"/>
        <v>0</v>
      </c>
      <c r="R145" s="77">
        <f t="shared" ca="1" si="91"/>
        <v>0</v>
      </c>
      <c r="S145" s="77">
        <f t="shared" ca="1" si="91"/>
        <v>0</v>
      </c>
      <c r="T145" s="77">
        <f t="shared" ca="1" si="91"/>
        <v>1</v>
      </c>
      <c r="U145" s="77">
        <f t="shared" ca="1" si="91"/>
        <v>1</v>
      </c>
      <c r="V145" s="77">
        <f t="shared" ca="1" si="91"/>
        <v>1</v>
      </c>
      <c r="W145" s="77">
        <f t="shared" ca="1" si="91"/>
        <v>1</v>
      </c>
      <c r="X145" s="105"/>
    </row>
    <row r="146" spans="1:24" customFormat="1" ht="14.25">
      <c r="A146" s="93">
        <f ca="1">OFFSET(A146,-CFF.NumLinha,0)+1</f>
        <v>43</v>
      </c>
      <c r="B146" s="93" t="b">
        <f ca="1">$C146&gt;=OFFSET($C146,CFF.NumLinha,0)</f>
        <v>1</v>
      </c>
      <c r="C146" s="93">
        <f ca="1">INDEX(PO!A$11:A$1504,MATCH($A146,PO!$W$11:$W$1504,0))</f>
        <v>2</v>
      </c>
      <c r="D146" s="93">
        <f ca="1">IF(ISERROR(J146),I146,SMALL(I146:J146,1))-1</f>
        <v>2</v>
      </c>
      <c r="E146" s="93">
        <f ca="1">IF($C146=1,OFFSET(E146,-CFF.NumLinha,0)+1,OFFSET(E146,-CFF.NumLinha,0))</f>
        <v>7</v>
      </c>
      <c r="F146" s="93">
        <f ca="1">IF($C146=1,0,IF($C146=2,OFFSET(F146,-CFF.NumLinha,0)+1,OFFSET(F146,-CFF.NumLinha,0)))</f>
        <v>2</v>
      </c>
      <c r="G146" s="93">
        <f ca="1">IF(AND($C146&lt;=2,$C146&lt;&gt;0),0,IF($C146=3,OFFSET(G146,-CFF.NumLinha,0)+1,OFFSET(G146,-CFF.NumLinha,0)))</f>
        <v>0</v>
      </c>
      <c r="H146" s="93">
        <f ca="1">IF(AND($C146&lt;=3,$C146&lt;&gt;0),0,IF($C146=4,OFFSET(H146,-CFF.NumLinha,0)+1,OFFSET(H146,-CFF.NumLinha,0)))</f>
        <v>0</v>
      </c>
      <c r="I146" s="93">
        <f ca="1">MATCH(0,OFFSET($D146,1,$C146,ROW($A$435)-ROW($A146)),0)</f>
        <v>27</v>
      </c>
      <c r="J146" s="93">
        <f ca="1">MATCH(OFFSET($D146,0,$C146)+1,OFFSET($D146,1,$C146,ROW($A$435)-ROW($A146)),0)</f>
        <v>3</v>
      </c>
      <c r="K146" s="94">
        <f ca="1">ROUND(INDEX(PO!U$11:U$1504,MATCH($A146,PO!$W$11:$W$1504,0)),2)+10^-12</f>
        <v>4130.7400000000007</v>
      </c>
      <c r="L146" s="270"/>
      <c r="M146" s="272"/>
      <c r="N146" s="274"/>
      <c r="O146" s="115" t="s">
        <v>7</v>
      </c>
      <c r="P146" s="108">
        <f t="shared" ref="P146:W146" ca="1" si="92">IF($B146,ROUND(P145*$N144,2),ROUND(SUMIF(OFFSET($B146,1,0,$D146),TRUE,OFFSET(P146,1,0,$D146))/SUMIF(OFFSET($B146,1,0,$D146),TRUE,OFFSET($K146,1,0,$D146))*$N144,2))</f>
        <v>0</v>
      </c>
      <c r="Q146" s="78">
        <f t="shared" ca="1" si="92"/>
        <v>0</v>
      </c>
      <c r="R146" s="78">
        <f t="shared" ca="1" si="92"/>
        <v>0</v>
      </c>
      <c r="S146" s="78">
        <f t="shared" ca="1" si="92"/>
        <v>0</v>
      </c>
      <c r="T146" s="78">
        <f t="shared" ca="1" si="92"/>
        <v>4130.74</v>
      </c>
      <c r="U146" s="78">
        <f t="shared" ca="1" si="92"/>
        <v>4130.74</v>
      </c>
      <c r="V146" s="78">
        <f t="shared" ca="1" si="92"/>
        <v>4130.74</v>
      </c>
      <c r="W146" s="118">
        <f t="shared" ca="1" si="92"/>
        <v>4130.74</v>
      </c>
      <c r="X146" s="105"/>
    </row>
    <row r="147" spans="1:24" customFormat="1" ht="14.25" customHeight="1">
      <c r="A147" s="39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269" t="str">
        <f ca="1">INDEX(PO!K$11:K$1504,MATCH($A149,PO!$W$11:$W$1504,0))</f>
        <v>7.3.</v>
      </c>
      <c r="M147" s="271" t="str">
        <f ca="1">INDEX(PO!O$11:O$1504,MATCH($A149,PO!$W$11:$W$1504,0))</f>
        <v>Atividade 37 - Plantão Social região Parque São João</v>
      </c>
      <c r="N147" s="273">
        <f ca="1">IF(ROUND(K149,2)=0,K149,ROUND(K149,2))</f>
        <v>3427.56</v>
      </c>
      <c r="O147" s="113" t="s">
        <v>33</v>
      </c>
      <c r="P147" s="112"/>
      <c r="Q147" s="59"/>
      <c r="R147" s="59"/>
      <c r="S147" s="59"/>
      <c r="T147" s="59">
        <v>1</v>
      </c>
      <c r="U147" s="59"/>
      <c r="V147" s="59"/>
      <c r="W147" s="59"/>
      <c r="X147" s="105"/>
    </row>
    <row r="148" spans="1:24" customFormat="1" ht="14.25">
      <c r="A148" s="93"/>
      <c r="B148" s="93"/>
      <c r="C148" s="93"/>
      <c r="D148" s="93"/>
      <c r="E148" s="93"/>
      <c r="F148" s="93"/>
      <c r="G148" s="93"/>
      <c r="H148" s="93"/>
      <c r="I148" s="93"/>
      <c r="J148" s="93"/>
      <c r="K148" s="93"/>
      <c r="L148" s="270"/>
      <c r="M148" s="272"/>
      <c r="N148" s="274"/>
      <c r="O148" s="79" t="s">
        <v>35</v>
      </c>
      <c r="P148" s="107">
        <f t="shared" ref="P148:W148" ca="1" si="93">MIN(IF($B149,P147+IF(ISNUMBER(O148),O148,0),P149/$N147),1)</f>
        <v>0</v>
      </c>
      <c r="Q148" s="77">
        <f t="shared" ca="1" si="93"/>
        <v>0</v>
      </c>
      <c r="R148" s="77">
        <f t="shared" ca="1" si="93"/>
        <v>0</v>
      </c>
      <c r="S148" s="77">
        <f t="shared" ca="1" si="93"/>
        <v>0</v>
      </c>
      <c r="T148" s="77">
        <f t="shared" ca="1" si="93"/>
        <v>1</v>
      </c>
      <c r="U148" s="77">
        <f t="shared" ca="1" si="93"/>
        <v>1</v>
      </c>
      <c r="V148" s="77">
        <f t="shared" ca="1" si="93"/>
        <v>1</v>
      </c>
      <c r="W148" s="77">
        <f t="shared" ca="1" si="93"/>
        <v>1</v>
      </c>
      <c r="X148" s="105"/>
    </row>
    <row r="149" spans="1:24" customFormat="1" ht="14.25">
      <c r="A149" s="93">
        <f ca="1">OFFSET(A149,-CFF.NumLinha,0)+1</f>
        <v>44</v>
      </c>
      <c r="B149" s="93" t="b">
        <f ca="1">$C149&gt;=OFFSET($C149,CFF.NumLinha,0)</f>
        <v>1</v>
      </c>
      <c r="C149" s="93">
        <f ca="1">INDEX(PO!A$11:A$1504,MATCH($A149,PO!$W$11:$W$1504,0))</f>
        <v>2</v>
      </c>
      <c r="D149" s="93">
        <f ca="1">IF(ISERROR(J149),I149,SMALL(I149:J149,1))-1</f>
        <v>2</v>
      </c>
      <c r="E149" s="93">
        <f ca="1">IF($C149=1,OFFSET(E149,-CFF.NumLinha,0)+1,OFFSET(E149,-CFF.NumLinha,0))</f>
        <v>7</v>
      </c>
      <c r="F149" s="93">
        <f ca="1">IF($C149=1,0,IF($C149=2,OFFSET(F149,-CFF.NumLinha,0)+1,OFFSET(F149,-CFF.NumLinha,0)))</f>
        <v>3</v>
      </c>
      <c r="G149" s="93">
        <f ca="1">IF(AND($C149&lt;=2,$C149&lt;&gt;0),0,IF($C149=3,OFFSET(G149,-CFF.NumLinha,0)+1,OFFSET(G149,-CFF.NumLinha,0)))</f>
        <v>0</v>
      </c>
      <c r="H149" s="93">
        <f ca="1">IF(AND($C149&lt;=3,$C149&lt;&gt;0),0,IF($C149=4,OFFSET(H149,-CFF.NumLinha,0)+1,OFFSET(H149,-CFF.NumLinha,0)))</f>
        <v>0</v>
      </c>
      <c r="I149" s="93">
        <f ca="1">MATCH(0,OFFSET($D149,1,$C149,ROW($A$435)-ROW($A149)),0)</f>
        <v>24</v>
      </c>
      <c r="J149" s="93">
        <f ca="1">MATCH(OFFSET($D149,0,$C149)+1,OFFSET($D149,1,$C149,ROW($A$435)-ROW($A149)),0)</f>
        <v>3</v>
      </c>
      <c r="K149" s="94">
        <f ca="1">ROUND(INDEX(PO!U$11:U$1504,MATCH($A149,PO!$W$11:$W$1504,0)),2)+10^-12</f>
        <v>3427.5600000000009</v>
      </c>
      <c r="L149" s="270"/>
      <c r="M149" s="272"/>
      <c r="N149" s="274"/>
      <c r="O149" s="115" t="s">
        <v>7</v>
      </c>
      <c r="P149" s="108">
        <f t="shared" ref="P149:W149" ca="1" si="94">IF($B149,ROUND(P148*$N147,2),ROUND(SUMIF(OFFSET($B149,1,0,$D149),TRUE,OFFSET(P149,1,0,$D149))/SUMIF(OFFSET($B149,1,0,$D149),TRUE,OFFSET($K149,1,0,$D149))*$N147,2))</f>
        <v>0</v>
      </c>
      <c r="Q149" s="78">
        <f t="shared" ca="1" si="94"/>
        <v>0</v>
      </c>
      <c r="R149" s="78">
        <f t="shared" ca="1" si="94"/>
        <v>0</v>
      </c>
      <c r="S149" s="78">
        <f t="shared" ca="1" si="94"/>
        <v>0</v>
      </c>
      <c r="T149" s="78">
        <f t="shared" ca="1" si="94"/>
        <v>3427.56</v>
      </c>
      <c r="U149" s="78">
        <f t="shared" ca="1" si="94"/>
        <v>3427.56</v>
      </c>
      <c r="V149" s="78">
        <f t="shared" ca="1" si="94"/>
        <v>3427.56</v>
      </c>
      <c r="W149" s="118">
        <f t="shared" ca="1" si="94"/>
        <v>3427.56</v>
      </c>
      <c r="X149" s="105"/>
    </row>
    <row r="150" spans="1:24" customFormat="1" ht="14.25" customHeight="1">
      <c r="A150" s="39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269" t="str">
        <f ca="1">INDEX(PO!K$11:K$1504,MATCH($A152,PO!$W$11:$W$1504,0))</f>
        <v>7.4.</v>
      </c>
      <c r="M150" s="271" t="str">
        <f ca="1">INDEX(PO!O$11:O$1504,MATCH($A152,PO!$W$11:$W$1504,0))</f>
        <v>Atividade 38 - Palestra: Organização e mobilização da comunidade e o desenvolvimento territorial região Jardim Ikaraí</v>
      </c>
      <c r="N150" s="273">
        <f ca="1">IF(ROUND(K152,2)=0,K152,ROUND(K152,2))</f>
        <v>9305.68</v>
      </c>
      <c r="O150" s="113" t="s">
        <v>33</v>
      </c>
      <c r="P150" s="112"/>
      <c r="Q150" s="59"/>
      <c r="R150" s="59"/>
      <c r="S150" s="59"/>
      <c r="T150" s="59"/>
      <c r="U150" s="59">
        <v>1</v>
      </c>
      <c r="V150" s="59"/>
      <c r="W150" s="59"/>
      <c r="X150" s="105"/>
    </row>
    <row r="151" spans="1:24" customFormat="1" ht="14.25">
      <c r="A151" s="93"/>
      <c r="B151" s="93"/>
      <c r="C151" s="93"/>
      <c r="D151" s="93"/>
      <c r="E151" s="93"/>
      <c r="F151" s="93"/>
      <c r="G151" s="93"/>
      <c r="H151" s="93"/>
      <c r="I151" s="93"/>
      <c r="J151" s="93"/>
      <c r="K151" s="93"/>
      <c r="L151" s="270"/>
      <c r="M151" s="272"/>
      <c r="N151" s="274"/>
      <c r="O151" s="79" t="s">
        <v>35</v>
      </c>
      <c r="P151" s="107">
        <f t="shared" ref="P151:W151" ca="1" si="95">MIN(IF($B152,P150+IF(ISNUMBER(O151),O151,0),P152/$N150),1)</f>
        <v>0</v>
      </c>
      <c r="Q151" s="77">
        <f t="shared" ca="1" si="95"/>
        <v>0</v>
      </c>
      <c r="R151" s="77">
        <f t="shared" ca="1" si="95"/>
        <v>0</v>
      </c>
      <c r="S151" s="77">
        <f t="shared" ca="1" si="95"/>
        <v>0</v>
      </c>
      <c r="T151" s="77">
        <f t="shared" ca="1" si="95"/>
        <v>0</v>
      </c>
      <c r="U151" s="77">
        <f t="shared" ca="1" si="95"/>
        <v>1</v>
      </c>
      <c r="V151" s="77">
        <f t="shared" ca="1" si="95"/>
        <v>1</v>
      </c>
      <c r="W151" s="77">
        <f t="shared" ca="1" si="95"/>
        <v>1</v>
      </c>
      <c r="X151" s="105"/>
    </row>
    <row r="152" spans="1:24" customFormat="1" ht="14.25">
      <c r="A152" s="93">
        <f ca="1">OFFSET(A152,-CFF.NumLinha,0)+1</f>
        <v>45</v>
      </c>
      <c r="B152" s="93" t="b">
        <f ca="1">$C152&gt;=OFFSET($C152,CFF.NumLinha,0)</f>
        <v>1</v>
      </c>
      <c r="C152" s="93">
        <f ca="1">INDEX(PO!A$11:A$1504,MATCH($A152,PO!$W$11:$W$1504,0))</f>
        <v>2</v>
      </c>
      <c r="D152" s="93">
        <f ca="1">IF(ISERROR(J152),I152,SMALL(I152:J152,1))-1</f>
        <v>2</v>
      </c>
      <c r="E152" s="93">
        <f ca="1">IF($C152=1,OFFSET(E152,-CFF.NumLinha,0)+1,OFFSET(E152,-CFF.NumLinha,0))</f>
        <v>7</v>
      </c>
      <c r="F152" s="93">
        <f ca="1">IF($C152=1,0,IF($C152=2,OFFSET(F152,-CFF.NumLinha,0)+1,OFFSET(F152,-CFF.NumLinha,0)))</f>
        <v>4</v>
      </c>
      <c r="G152" s="93">
        <f ca="1">IF(AND($C152&lt;=2,$C152&lt;&gt;0),0,IF($C152=3,OFFSET(G152,-CFF.NumLinha,0)+1,OFFSET(G152,-CFF.NumLinha,0)))</f>
        <v>0</v>
      </c>
      <c r="H152" s="93">
        <f ca="1">IF(AND($C152&lt;=3,$C152&lt;&gt;0),0,IF($C152=4,OFFSET(H152,-CFF.NumLinha,0)+1,OFFSET(H152,-CFF.NumLinha,0)))</f>
        <v>0</v>
      </c>
      <c r="I152" s="93">
        <f ca="1">MATCH(0,OFFSET($D152,1,$C152,ROW($A$435)-ROW($A152)),0)</f>
        <v>21</v>
      </c>
      <c r="J152" s="93">
        <f ca="1">MATCH(OFFSET($D152,0,$C152)+1,OFFSET($D152,1,$C152,ROW($A$435)-ROW($A152)),0)</f>
        <v>3</v>
      </c>
      <c r="K152" s="94">
        <f ca="1">ROUND(INDEX(PO!U$11:U$1504,MATCH($A152,PO!$W$11:$W$1504,0)),2)+10^-12</f>
        <v>9305.6800000000021</v>
      </c>
      <c r="L152" s="270"/>
      <c r="M152" s="272"/>
      <c r="N152" s="274"/>
      <c r="O152" s="115" t="s">
        <v>7</v>
      </c>
      <c r="P152" s="108">
        <f t="shared" ref="P152:W152" ca="1" si="96">IF($B152,ROUND(P151*$N150,2),ROUND(SUMIF(OFFSET($B152,1,0,$D152),TRUE,OFFSET(P152,1,0,$D152))/SUMIF(OFFSET($B152,1,0,$D152),TRUE,OFFSET($K152,1,0,$D152))*$N150,2))</f>
        <v>0</v>
      </c>
      <c r="Q152" s="78">
        <f t="shared" ca="1" si="96"/>
        <v>0</v>
      </c>
      <c r="R152" s="78">
        <f t="shared" ca="1" si="96"/>
        <v>0</v>
      </c>
      <c r="S152" s="78">
        <f t="shared" ca="1" si="96"/>
        <v>0</v>
      </c>
      <c r="T152" s="78">
        <f t="shared" ca="1" si="96"/>
        <v>0</v>
      </c>
      <c r="U152" s="78">
        <f t="shared" ca="1" si="96"/>
        <v>9305.68</v>
      </c>
      <c r="V152" s="78">
        <f t="shared" ca="1" si="96"/>
        <v>9305.68</v>
      </c>
      <c r="W152" s="118">
        <f t="shared" ca="1" si="96"/>
        <v>9305.68</v>
      </c>
      <c r="X152" s="105"/>
    </row>
    <row r="153" spans="1:24" customFormat="1" ht="14.25" customHeight="1">
      <c r="A153" s="39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269" t="str">
        <f ca="1">INDEX(PO!K$11:K$1504,MATCH($A155,PO!$W$11:$W$1504,0))</f>
        <v>7.5.</v>
      </c>
      <c r="M153" s="271" t="str">
        <f ca="1">INDEX(PO!O$11:O$1504,MATCH($A155,PO!$W$11:$W$1504,0))</f>
        <v>Atividade 39 - Oficina para melhor idade região Jardim Ikaraí</v>
      </c>
      <c r="N153" s="273">
        <f ca="1">IF(ROUND(K155,2)=0,K155,ROUND(K155,2))</f>
        <v>4465.74</v>
      </c>
      <c r="O153" s="113" t="s">
        <v>33</v>
      </c>
      <c r="P153" s="112"/>
      <c r="Q153" s="59"/>
      <c r="R153" s="59"/>
      <c r="S153" s="59"/>
      <c r="T153" s="59"/>
      <c r="U153" s="59">
        <v>1</v>
      </c>
      <c r="V153" s="59"/>
      <c r="W153" s="59"/>
      <c r="X153" s="105"/>
    </row>
    <row r="154" spans="1:24" customFormat="1" ht="14.25">
      <c r="A154" s="93"/>
      <c r="B154" s="93"/>
      <c r="C154" s="93"/>
      <c r="D154" s="93"/>
      <c r="E154" s="93"/>
      <c r="F154" s="93"/>
      <c r="G154" s="93"/>
      <c r="H154" s="93"/>
      <c r="I154" s="93"/>
      <c r="J154" s="93"/>
      <c r="K154" s="93"/>
      <c r="L154" s="270"/>
      <c r="M154" s="272"/>
      <c r="N154" s="274"/>
      <c r="O154" s="79" t="s">
        <v>35</v>
      </c>
      <c r="P154" s="107">
        <f t="shared" ref="P154:W154" ca="1" si="97">MIN(IF($B155,P153+IF(ISNUMBER(O154),O154,0),P155/$N153),1)</f>
        <v>0</v>
      </c>
      <c r="Q154" s="77">
        <f t="shared" ca="1" si="97"/>
        <v>0</v>
      </c>
      <c r="R154" s="77">
        <f t="shared" ca="1" si="97"/>
        <v>0</v>
      </c>
      <c r="S154" s="77">
        <f t="shared" ca="1" si="97"/>
        <v>0</v>
      </c>
      <c r="T154" s="77">
        <f t="shared" ca="1" si="97"/>
        <v>0</v>
      </c>
      <c r="U154" s="77">
        <f t="shared" ca="1" si="97"/>
        <v>1</v>
      </c>
      <c r="V154" s="77">
        <f t="shared" ca="1" si="97"/>
        <v>1</v>
      </c>
      <c r="W154" s="77">
        <f t="shared" ca="1" si="97"/>
        <v>1</v>
      </c>
      <c r="X154" s="105"/>
    </row>
    <row r="155" spans="1:24" customFormat="1" ht="14.25">
      <c r="A155" s="93">
        <f ca="1">OFFSET(A155,-CFF.NumLinha,0)+1</f>
        <v>46</v>
      </c>
      <c r="B155" s="93" t="b">
        <f ca="1">$C155&gt;=OFFSET($C155,CFF.NumLinha,0)</f>
        <v>1</v>
      </c>
      <c r="C155" s="93">
        <f ca="1">INDEX(PO!A$11:A$1504,MATCH($A155,PO!$W$11:$W$1504,0))</f>
        <v>2</v>
      </c>
      <c r="D155" s="93">
        <f ca="1">IF(ISERROR(J155),I155,SMALL(I155:J155,1))-1</f>
        <v>2</v>
      </c>
      <c r="E155" s="93">
        <f ca="1">IF($C155=1,OFFSET(E155,-CFF.NumLinha,0)+1,OFFSET(E155,-CFF.NumLinha,0))</f>
        <v>7</v>
      </c>
      <c r="F155" s="93">
        <f ca="1">IF($C155=1,0,IF($C155=2,OFFSET(F155,-CFF.NumLinha,0)+1,OFFSET(F155,-CFF.NumLinha,0)))</f>
        <v>5</v>
      </c>
      <c r="G155" s="93">
        <f ca="1">IF(AND($C155&lt;=2,$C155&lt;&gt;0),0,IF($C155=3,OFFSET(G155,-CFF.NumLinha,0)+1,OFFSET(G155,-CFF.NumLinha,0)))</f>
        <v>0</v>
      </c>
      <c r="H155" s="93">
        <f ca="1">IF(AND($C155&lt;=3,$C155&lt;&gt;0),0,IF($C155=4,OFFSET(H155,-CFF.NumLinha,0)+1,OFFSET(H155,-CFF.NumLinha,0)))</f>
        <v>0</v>
      </c>
      <c r="I155" s="93">
        <f ca="1">MATCH(0,OFFSET($D155,1,$C155,ROW($A$435)-ROW($A155)),0)</f>
        <v>18</v>
      </c>
      <c r="J155" s="93">
        <f ca="1">MATCH(OFFSET($D155,0,$C155)+1,OFFSET($D155,1,$C155,ROW($A$435)-ROW($A155)),0)</f>
        <v>3</v>
      </c>
      <c r="K155" s="94">
        <f ca="1">ROUND(INDEX(PO!U$11:U$1504,MATCH($A155,PO!$W$11:$W$1504,0)),2)+10^-12</f>
        <v>4465.7400000000007</v>
      </c>
      <c r="L155" s="270"/>
      <c r="M155" s="272"/>
      <c r="N155" s="274"/>
      <c r="O155" s="115" t="s">
        <v>7</v>
      </c>
      <c r="P155" s="108">
        <f t="shared" ref="P155:W155" ca="1" si="98">IF($B155,ROUND(P154*$N153,2),ROUND(SUMIF(OFFSET($B155,1,0,$D155),TRUE,OFFSET(P155,1,0,$D155))/SUMIF(OFFSET($B155,1,0,$D155),TRUE,OFFSET($K155,1,0,$D155))*$N153,2))</f>
        <v>0</v>
      </c>
      <c r="Q155" s="78">
        <f t="shared" ca="1" si="98"/>
        <v>0</v>
      </c>
      <c r="R155" s="78">
        <f t="shared" ca="1" si="98"/>
        <v>0</v>
      </c>
      <c r="S155" s="78">
        <f t="shared" ca="1" si="98"/>
        <v>0</v>
      </c>
      <c r="T155" s="78">
        <f t="shared" ca="1" si="98"/>
        <v>0</v>
      </c>
      <c r="U155" s="78">
        <f t="shared" ca="1" si="98"/>
        <v>4465.74</v>
      </c>
      <c r="V155" s="78">
        <f t="shared" ca="1" si="98"/>
        <v>4465.74</v>
      </c>
      <c r="W155" s="118">
        <f t="shared" ca="1" si="98"/>
        <v>4465.74</v>
      </c>
      <c r="X155" s="105"/>
    </row>
    <row r="156" spans="1:24" customFormat="1" ht="14.25" customHeight="1">
      <c r="A156" s="39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269" t="str">
        <f ca="1">INDEX(PO!K$11:K$1504,MATCH($A158,PO!$W$11:$W$1504,0))</f>
        <v>7.6.</v>
      </c>
      <c r="M156" s="271" t="str">
        <f ca="1">INDEX(PO!O$11:O$1504,MATCH($A158,PO!$W$11:$W$1504,0))</f>
        <v>Atividade 40 - Plantão Social região Jardim Ikaraí</v>
      </c>
      <c r="N156" s="273">
        <f ca="1">IF(ROUND(K158,2)=0,K158,ROUND(K158,2))</f>
        <v>3427.56</v>
      </c>
      <c r="O156" s="113" t="s">
        <v>33</v>
      </c>
      <c r="P156" s="112"/>
      <c r="Q156" s="59"/>
      <c r="R156" s="59"/>
      <c r="S156" s="59"/>
      <c r="T156" s="59"/>
      <c r="U156" s="59">
        <v>1</v>
      </c>
      <c r="V156" s="59"/>
      <c r="W156" s="59"/>
      <c r="X156" s="105"/>
    </row>
    <row r="157" spans="1:24" customFormat="1" ht="14.25">
      <c r="A157" s="93"/>
      <c r="B157" s="93"/>
      <c r="C157" s="93"/>
      <c r="D157" s="93"/>
      <c r="E157" s="93"/>
      <c r="F157" s="93"/>
      <c r="G157" s="93"/>
      <c r="H157" s="93"/>
      <c r="I157" s="93"/>
      <c r="J157" s="93"/>
      <c r="K157" s="93"/>
      <c r="L157" s="270"/>
      <c r="M157" s="272"/>
      <c r="N157" s="274"/>
      <c r="O157" s="79" t="s">
        <v>35</v>
      </c>
      <c r="P157" s="107">
        <f t="shared" ref="P157:W157" ca="1" si="99">MIN(IF($B158,P156+IF(ISNUMBER(O157),O157,0),P158/$N156),1)</f>
        <v>0</v>
      </c>
      <c r="Q157" s="77">
        <f t="shared" ca="1" si="99"/>
        <v>0</v>
      </c>
      <c r="R157" s="77">
        <f t="shared" ca="1" si="99"/>
        <v>0</v>
      </c>
      <c r="S157" s="77">
        <f t="shared" ca="1" si="99"/>
        <v>0</v>
      </c>
      <c r="T157" s="77">
        <f t="shared" ca="1" si="99"/>
        <v>0</v>
      </c>
      <c r="U157" s="77">
        <f t="shared" ca="1" si="99"/>
        <v>1</v>
      </c>
      <c r="V157" s="77">
        <f t="shared" ca="1" si="99"/>
        <v>1</v>
      </c>
      <c r="W157" s="77">
        <f t="shared" ca="1" si="99"/>
        <v>1</v>
      </c>
      <c r="X157" s="105"/>
    </row>
    <row r="158" spans="1:24" customFormat="1" ht="14.25">
      <c r="A158" s="93">
        <f ca="1">OFFSET(A158,-CFF.NumLinha,0)+1</f>
        <v>47</v>
      </c>
      <c r="B158" s="93" t="b">
        <f ca="1">$C158&gt;=OFFSET($C158,CFF.NumLinha,0)</f>
        <v>1</v>
      </c>
      <c r="C158" s="93">
        <f ca="1">INDEX(PO!A$11:A$1504,MATCH($A158,PO!$W$11:$W$1504,0))</f>
        <v>2</v>
      </c>
      <c r="D158" s="93">
        <f ca="1">IF(ISERROR(J158),I158,SMALL(I158:J158,1))-1</f>
        <v>2</v>
      </c>
      <c r="E158" s="93">
        <f ca="1">IF($C158=1,OFFSET(E158,-CFF.NumLinha,0)+1,OFFSET(E158,-CFF.NumLinha,0))</f>
        <v>7</v>
      </c>
      <c r="F158" s="93">
        <f ca="1">IF($C158=1,0,IF($C158=2,OFFSET(F158,-CFF.NumLinha,0)+1,OFFSET(F158,-CFF.NumLinha,0)))</f>
        <v>6</v>
      </c>
      <c r="G158" s="93">
        <f ca="1">IF(AND($C158&lt;=2,$C158&lt;&gt;0),0,IF($C158=3,OFFSET(G158,-CFF.NumLinha,0)+1,OFFSET(G158,-CFF.NumLinha,0)))</f>
        <v>0</v>
      </c>
      <c r="H158" s="93">
        <f ca="1">IF(AND($C158&lt;=3,$C158&lt;&gt;0),0,IF($C158=4,OFFSET(H158,-CFF.NumLinha,0)+1,OFFSET(H158,-CFF.NumLinha,0)))</f>
        <v>0</v>
      </c>
      <c r="I158" s="93">
        <f ca="1">MATCH(0,OFFSET($D158,1,$C158,ROW($A$435)-ROW($A158)),0)</f>
        <v>15</v>
      </c>
      <c r="J158" s="93">
        <f ca="1">MATCH(OFFSET($D158,0,$C158)+1,OFFSET($D158,1,$C158,ROW($A$435)-ROW($A158)),0)</f>
        <v>3</v>
      </c>
      <c r="K158" s="94">
        <f ca="1">ROUND(INDEX(PO!U$11:U$1504,MATCH($A158,PO!$W$11:$W$1504,0)),2)+10^-12</f>
        <v>3427.5600000000009</v>
      </c>
      <c r="L158" s="270"/>
      <c r="M158" s="272"/>
      <c r="N158" s="274"/>
      <c r="O158" s="115" t="s">
        <v>7</v>
      </c>
      <c r="P158" s="108">
        <f t="shared" ref="P158:W158" ca="1" si="100">IF($B158,ROUND(P157*$N156,2),ROUND(SUMIF(OFFSET($B158,1,0,$D158),TRUE,OFFSET(P158,1,0,$D158))/SUMIF(OFFSET($B158,1,0,$D158),TRUE,OFFSET($K158,1,0,$D158))*$N156,2))</f>
        <v>0</v>
      </c>
      <c r="Q158" s="78">
        <f t="shared" ca="1" si="100"/>
        <v>0</v>
      </c>
      <c r="R158" s="78">
        <f t="shared" ca="1" si="100"/>
        <v>0</v>
      </c>
      <c r="S158" s="78">
        <f t="shared" ca="1" si="100"/>
        <v>0</v>
      </c>
      <c r="T158" s="78">
        <f t="shared" ca="1" si="100"/>
        <v>0</v>
      </c>
      <c r="U158" s="78">
        <f t="shared" ca="1" si="100"/>
        <v>3427.56</v>
      </c>
      <c r="V158" s="78">
        <f t="shared" ca="1" si="100"/>
        <v>3427.56</v>
      </c>
      <c r="W158" s="118">
        <f t="shared" ca="1" si="100"/>
        <v>3427.56</v>
      </c>
      <c r="X158" s="105"/>
    </row>
    <row r="159" spans="1:24" customFormat="1" ht="14.25" customHeight="1">
      <c r="A159" s="39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269" t="str">
        <f ca="1">INDEX(PO!K$11:K$1504,MATCH($A161,PO!$W$11:$W$1504,0))</f>
        <v>7.7.</v>
      </c>
      <c r="M159" s="271" t="str">
        <f ca="1">INDEX(PO!O$11:O$1504,MATCH($A161,PO!$W$11:$W$1504,0))</f>
        <v>Atividade 41 - Palestra: Organização e mobilização da comunidade e o desenvolvimento territorial Bairro Frutal de Minas e Jardim Paula II</v>
      </c>
      <c r="N159" s="273">
        <f ca="1">IF(ROUND(K161,2)=0,K161,ROUND(K161,2))</f>
        <v>7028.14</v>
      </c>
      <c r="O159" s="113" t="s">
        <v>33</v>
      </c>
      <c r="P159" s="112"/>
      <c r="Q159" s="59"/>
      <c r="R159" s="59"/>
      <c r="S159" s="59"/>
      <c r="T159" s="59"/>
      <c r="U159" s="59">
        <v>1</v>
      </c>
      <c r="V159" s="59"/>
      <c r="W159" s="59"/>
      <c r="X159" s="105"/>
    </row>
    <row r="160" spans="1:24" customFormat="1" ht="14.25">
      <c r="A160" s="93"/>
      <c r="B160" s="93"/>
      <c r="C160" s="93"/>
      <c r="D160" s="93"/>
      <c r="E160" s="93"/>
      <c r="F160" s="93"/>
      <c r="G160" s="93"/>
      <c r="H160" s="93"/>
      <c r="I160" s="93"/>
      <c r="J160" s="93"/>
      <c r="K160" s="93"/>
      <c r="L160" s="270"/>
      <c r="M160" s="272"/>
      <c r="N160" s="274"/>
      <c r="O160" s="79" t="s">
        <v>35</v>
      </c>
      <c r="P160" s="107">
        <f t="shared" ref="P160:W160" ca="1" si="101">MIN(IF($B161,P159+IF(ISNUMBER(O160),O160,0),P161/$N159),1)</f>
        <v>0</v>
      </c>
      <c r="Q160" s="77">
        <f t="shared" ca="1" si="101"/>
        <v>0</v>
      </c>
      <c r="R160" s="77">
        <f t="shared" ca="1" si="101"/>
        <v>0</v>
      </c>
      <c r="S160" s="77">
        <f t="shared" ca="1" si="101"/>
        <v>0</v>
      </c>
      <c r="T160" s="77">
        <f t="shared" ca="1" si="101"/>
        <v>0</v>
      </c>
      <c r="U160" s="77">
        <f t="shared" ca="1" si="101"/>
        <v>1</v>
      </c>
      <c r="V160" s="77">
        <f t="shared" ca="1" si="101"/>
        <v>1</v>
      </c>
      <c r="W160" s="77">
        <f t="shared" ca="1" si="101"/>
        <v>1</v>
      </c>
      <c r="X160" s="105"/>
    </row>
    <row r="161" spans="1:24" customFormat="1" ht="14.25">
      <c r="A161" s="93">
        <f ca="1">OFFSET(A161,-CFF.NumLinha,0)+1</f>
        <v>48</v>
      </c>
      <c r="B161" s="93" t="b">
        <f ca="1">$C161&gt;=OFFSET($C161,CFF.NumLinha,0)</f>
        <v>1</v>
      </c>
      <c r="C161" s="93">
        <f ca="1">INDEX(PO!A$11:A$1504,MATCH($A161,PO!$W$11:$W$1504,0))</f>
        <v>2</v>
      </c>
      <c r="D161" s="93">
        <f ca="1">IF(ISERROR(J161),I161,SMALL(I161:J161,1))-1</f>
        <v>2</v>
      </c>
      <c r="E161" s="93">
        <f ca="1">IF($C161=1,OFFSET(E161,-CFF.NumLinha,0)+1,OFFSET(E161,-CFF.NumLinha,0))</f>
        <v>7</v>
      </c>
      <c r="F161" s="93">
        <f ca="1">IF($C161=1,0,IF($C161=2,OFFSET(F161,-CFF.NumLinha,0)+1,OFFSET(F161,-CFF.NumLinha,0)))</f>
        <v>7</v>
      </c>
      <c r="G161" s="93">
        <f ca="1">IF(AND($C161&lt;=2,$C161&lt;&gt;0),0,IF($C161=3,OFFSET(G161,-CFF.NumLinha,0)+1,OFFSET(G161,-CFF.NumLinha,0)))</f>
        <v>0</v>
      </c>
      <c r="H161" s="93">
        <f ca="1">IF(AND($C161&lt;=3,$C161&lt;&gt;0),0,IF($C161=4,OFFSET(H161,-CFF.NumLinha,0)+1,OFFSET(H161,-CFF.NumLinha,0)))</f>
        <v>0</v>
      </c>
      <c r="I161" s="93">
        <f ca="1">MATCH(0,OFFSET($D161,1,$C161,ROW($A$435)-ROW($A161)),0)</f>
        <v>12</v>
      </c>
      <c r="J161" s="93">
        <f ca="1">MATCH(OFFSET($D161,0,$C161)+1,OFFSET($D161,1,$C161,ROW($A$435)-ROW($A161)),0)</f>
        <v>3</v>
      </c>
      <c r="K161" s="94">
        <f ca="1">ROUND(INDEX(PO!U$11:U$1504,MATCH($A161,PO!$W$11:$W$1504,0)),2)+10^-12</f>
        <v>7028.1400000000012</v>
      </c>
      <c r="L161" s="270"/>
      <c r="M161" s="272"/>
      <c r="N161" s="274"/>
      <c r="O161" s="115" t="s">
        <v>7</v>
      </c>
      <c r="P161" s="108">
        <f t="shared" ref="P161:W161" ca="1" si="102">IF($B161,ROUND(P160*$N159,2),ROUND(SUMIF(OFFSET($B161,1,0,$D161),TRUE,OFFSET(P161,1,0,$D161))/SUMIF(OFFSET($B161,1,0,$D161),TRUE,OFFSET($K161,1,0,$D161))*$N159,2))</f>
        <v>0</v>
      </c>
      <c r="Q161" s="78">
        <f t="shared" ca="1" si="102"/>
        <v>0</v>
      </c>
      <c r="R161" s="78">
        <f t="shared" ca="1" si="102"/>
        <v>0</v>
      </c>
      <c r="S161" s="78">
        <f t="shared" ca="1" si="102"/>
        <v>0</v>
      </c>
      <c r="T161" s="78">
        <f t="shared" ca="1" si="102"/>
        <v>0</v>
      </c>
      <c r="U161" s="78">
        <f t="shared" ca="1" si="102"/>
        <v>7028.14</v>
      </c>
      <c r="V161" s="78">
        <f t="shared" ca="1" si="102"/>
        <v>7028.14</v>
      </c>
      <c r="W161" s="118">
        <f t="shared" ca="1" si="102"/>
        <v>7028.14</v>
      </c>
      <c r="X161" s="105"/>
    </row>
    <row r="162" spans="1:24" customFormat="1" ht="14.25" customHeight="1">
      <c r="A162" s="39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269" t="str">
        <f ca="1">INDEX(PO!K$11:K$1504,MATCH($A164,PO!$W$11:$W$1504,0))</f>
        <v>7.8.</v>
      </c>
      <c r="M162" s="271" t="str">
        <f ca="1">INDEX(PO!O$11:O$1504,MATCH($A164,PO!$W$11:$W$1504,0))</f>
        <v>Atividade 42 - Palestra: Idoso, família, saúde e sociedade região Parque São João</v>
      </c>
      <c r="N162" s="273">
        <f ca="1">IF(ROUND(K164,2)=0,K164,ROUND(K164,2))</f>
        <v>10339.870000000001</v>
      </c>
      <c r="O162" s="113" t="s">
        <v>33</v>
      </c>
      <c r="P162" s="112"/>
      <c r="Q162" s="59"/>
      <c r="R162" s="59"/>
      <c r="S162" s="59"/>
      <c r="T162" s="59"/>
      <c r="U162" s="59">
        <v>1</v>
      </c>
      <c r="V162" s="59"/>
      <c r="W162" s="59"/>
      <c r="X162" s="105"/>
    </row>
    <row r="163" spans="1:24" customFormat="1" ht="14.25">
      <c r="A163" s="93"/>
      <c r="B163" s="93"/>
      <c r="C163" s="93"/>
      <c r="D163" s="93"/>
      <c r="E163" s="93"/>
      <c r="F163" s="93"/>
      <c r="G163" s="93"/>
      <c r="H163" s="93"/>
      <c r="I163" s="93"/>
      <c r="J163" s="93"/>
      <c r="K163" s="93"/>
      <c r="L163" s="270"/>
      <c r="M163" s="272"/>
      <c r="N163" s="274"/>
      <c r="O163" s="79" t="s">
        <v>35</v>
      </c>
      <c r="P163" s="107">
        <f t="shared" ref="P163:W163" ca="1" si="103">MIN(IF($B164,P162+IF(ISNUMBER(O163),O163,0),P164/$N162),1)</f>
        <v>0</v>
      </c>
      <c r="Q163" s="77">
        <f t="shared" ca="1" si="103"/>
        <v>0</v>
      </c>
      <c r="R163" s="77">
        <f t="shared" ca="1" si="103"/>
        <v>0</v>
      </c>
      <c r="S163" s="77">
        <f t="shared" ca="1" si="103"/>
        <v>0</v>
      </c>
      <c r="T163" s="77">
        <f t="shared" ca="1" si="103"/>
        <v>0</v>
      </c>
      <c r="U163" s="77">
        <f t="shared" ca="1" si="103"/>
        <v>1</v>
      </c>
      <c r="V163" s="77">
        <f t="shared" ca="1" si="103"/>
        <v>1</v>
      </c>
      <c r="W163" s="77">
        <f t="shared" ca="1" si="103"/>
        <v>1</v>
      </c>
      <c r="X163" s="105"/>
    </row>
    <row r="164" spans="1:24" customFormat="1" ht="14.25">
      <c r="A164" s="93">
        <f ca="1">OFFSET(A164,-CFF.NumLinha,0)+1</f>
        <v>49</v>
      </c>
      <c r="B164" s="93" t="b">
        <f ca="1">$C164&gt;=OFFSET($C164,CFF.NumLinha,0)</f>
        <v>1</v>
      </c>
      <c r="C164" s="93">
        <f ca="1">INDEX(PO!A$11:A$1504,MATCH($A164,PO!$W$11:$W$1504,0))</f>
        <v>2</v>
      </c>
      <c r="D164" s="93">
        <f ca="1">IF(ISERROR(J164),I164,SMALL(I164:J164,1))-1</f>
        <v>2</v>
      </c>
      <c r="E164" s="93">
        <f ca="1">IF($C164=1,OFFSET(E164,-CFF.NumLinha,0)+1,OFFSET(E164,-CFF.NumLinha,0))</f>
        <v>7</v>
      </c>
      <c r="F164" s="93">
        <f ca="1">IF($C164=1,0,IF($C164=2,OFFSET(F164,-CFF.NumLinha,0)+1,OFFSET(F164,-CFF.NumLinha,0)))</f>
        <v>8</v>
      </c>
      <c r="G164" s="93">
        <f ca="1">IF(AND($C164&lt;=2,$C164&lt;&gt;0),0,IF($C164=3,OFFSET(G164,-CFF.NumLinha,0)+1,OFFSET(G164,-CFF.NumLinha,0)))</f>
        <v>0</v>
      </c>
      <c r="H164" s="93">
        <f ca="1">IF(AND($C164&lt;=3,$C164&lt;&gt;0),0,IF($C164=4,OFFSET(H164,-CFF.NumLinha,0)+1,OFFSET(H164,-CFF.NumLinha,0)))</f>
        <v>0</v>
      </c>
      <c r="I164" s="93">
        <f ca="1">MATCH(0,OFFSET($D164,1,$C164,ROW($A$435)-ROW($A164)),0)</f>
        <v>9</v>
      </c>
      <c r="J164" s="93">
        <f ca="1">MATCH(OFFSET($D164,0,$C164)+1,OFFSET($D164,1,$C164,ROW($A$435)-ROW($A164)),0)</f>
        <v>3</v>
      </c>
      <c r="K164" s="94">
        <f ca="1">ROUND(INDEX(PO!U$11:U$1504,MATCH($A164,PO!$W$11:$W$1504,0)),2)+10^-12</f>
        <v>10339.870000000003</v>
      </c>
      <c r="L164" s="270"/>
      <c r="M164" s="272"/>
      <c r="N164" s="274"/>
      <c r="O164" s="115" t="s">
        <v>7</v>
      </c>
      <c r="P164" s="108">
        <f t="shared" ref="P164:W164" ca="1" si="104">IF($B164,ROUND(P163*$N162,2),ROUND(SUMIF(OFFSET($B164,1,0,$D164),TRUE,OFFSET(P164,1,0,$D164))/SUMIF(OFFSET($B164,1,0,$D164),TRUE,OFFSET($K164,1,0,$D164))*$N162,2))</f>
        <v>0</v>
      </c>
      <c r="Q164" s="78">
        <f t="shared" ca="1" si="104"/>
        <v>0</v>
      </c>
      <c r="R164" s="78">
        <f t="shared" ca="1" si="104"/>
        <v>0</v>
      </c>
      <c r="S164" s="78">
        <f t="shared" ca="1" si="104"/>
        <v>0</v>
      </c>
      <c r="T164" s="78">
        <f t="shared" ca="1" si="104"/>
        <v>0</v>
      </c>
      <c r="U164" s="78">
        <f t="shared" ca="1" si="104"/>
        <v>10339.870000000001</v>
      </c>
      <c r="V164" s="78">
        <f t="shared" ca="1" si="104"/>
        <v>10339.870000000001</v>
      </c>
      <c r="W164" s="118">
        <f t="shared" ca="1" si="104"/>
        <v>10339.870000000001</v>
      </c>
      <c r="X164" s="105"/>
    </row>
    <row r="165" spans="1:24" customFormat="1" ht="14.25" customHeight="1">
      <c r="A165" s="39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269" t="str">
        <f ca="1">INDEX(PO!K$11:K$1504,MATCH($A167,PO!$W$11:$W$1504,0))</f>
        <v>7.9.</v>
      </c>
      <c r="M165" s="271" t="str">
        <f ca="1">INDEX(PO!O$11:O$1504,MATCH($A167,PO!$W$11:$W$1504,0))</f>
        <v>Atividade 43 - Palestra: Idoso, família, saúde e sociedade região Jardim Ikaraí</v>
      </c>
      <c r="N165" s="273">
        <f ca="1">IF(ROUND(K167,2)=0,K167,ROUND(K167,2))</f>
        <v>6055.69</v>
      </c>
      <c r="O165" s="113" t="s">
        <v>33</v>
      </c>
      <c r="P165" s="112"/>
      <c r="Q165" s="59"/>
      <c r="R165" s="59"/>
      <c r="S165" s="59"/>
      <c r="T165" s="59"/>
      <c r="U165" s="59">
        <v>1</v>
      </c>
      <c r="V165" s="59"/>
      <c r="W165" s="59"/>
      <c r="X165" s="105"/>
    </row>
    <row r="166" spans="1:24" customFormat="1" ht="14.25">
      <c r="A166" s="93"/>
      <c r="B166" s="93"/>
      <c r="C166" s="93"/>
      <c r="D166" s="93"/>
      <c r="E166" s="93"/>
      <c r="F166" s="93"/>
      <c r="G166" s="93"/>
      <c r="H166" s="93"/>
      <c r="I166" s="93"/>
      <c r="J166" s="93"/>
      <c r="K166" s="93"/>
      <c r="L166" s="270"/>
      <c r="M166" s="272"/>
      <c r="N166" s="274"/>
      <c r="O166" s="79" t="s">
        <v>35</v>
      </c>
      <c r="P166" s="107">
        <f t="shared" ref="P166:W166" ca="1" si="105">MIN(IF($B167,P165+IF(ISNUMBER(O166),O166,0),P167/$N165),1)</f>
        <v>0</v>
      </c>
      <c r="Q166" s="77">
        <f t="shared" ca="1" si="105"/>
        <v>0</v>
      </c>
      <c r="R166" s="77">
        <f t="shared" ca="1" si="105"/>
        <v>0</v>
      </c>
      <c r="S166" s="77">
        <f t="shared" ca="1" si="105"/>
        <v>0</v>
      </c>
      <c r="T166" s="77">
        <f t="shared" ca="1" si="105"/>
        <v>0</v>
      </c>
      <c r="U166" s="77">
        <f t="shared" ca="1" si="105"/>
        <v>1</v>
      </c>
      <c r="V166" s="77">
        <f t="shared" ca="1" si="105"/>
        <v>1</v>
      </c>
      <c r="W166" s="77">
        <f t="shared" ca="1" si="105"/>
        <v>1</v>
      </c>
      <c r="X166" s="105"/>
    </row>
    <row r="167" spans="1:24" customFormat="1" ht="14.25">
      <c r="A167" s="93">
        <f ca="1">OFFSET(A167,-CFF.NumLinha,0)+1</f>
        <v>50</v>
      </c>
      <c r="B167" s="93" t="b">
        <f ca="1">$C167&gt;=OFFSET($C167,CFF.NumLinha,0)</f>
        <v>1</v>
      </c>
      <c r="C167" s="93">
        <f ca="1">INDEX(PO!A$11:A$1504,MATCH($A167,PO!$W$11:$W$1504,0))</f>
        <v>2</v>
      </c>
      <c r="D167" s="93">
        <f ca="1">IF(ISERROR(J167),I167,SMALL(I167:J167,1))-1</f>
        <v>2</v>
      </c>
      <c r="E167" s="93">
        <f ca="1">IF($C167=1,OFFSET(E167,-CFF.NumLinha,0)+1,OFFSET(E167,-CFF.NumLinha,0))</f>
        <v>7</v>
      </c>
      <c r="F167" s="93">
        <f ca="1">IF($C167=1,0,IF($C167=2,OFFSET(F167,-CFF.NumLinha,0)+1,OFFSET(F167,-CFF.NumLinha,0)))</f>
        <v>9</v>
      </c>
      <c r="G167" s="93">
        <f ca="1">IF(AND($C167&lt;=2,$C167&lt;&gt;0),0,IF($C167=3,OFFSET(G167,-CFF.NumLinha,0)+1,OFFSET(G167,-CFF.NumLinha,0)))</f>
        <v>0</v>
      </c>
      <c r="H167" s="93">
        <f ca="1">IF(AND($C167&lt;=3,$C167&lt;&gt;0),0,IF($C167=4,OFFSET(H167,-CFF.NumLinha,0)+1,OFFSET(H167,-CFF.NumLinha,0)))</f>
        <v>0</v>
      </c>
      <c r="I167" s="93">
        <f ca="1">MATCH(0,OFFSET($D167,1,$C167,ROW($A$435)-ROW($A167)),0)</f>
        <v>6</v>
      </c>
      <c r="J167" s="93">
        <f ca="1">MATCH(OFFSET($D167,0,$C167)+1,OFFSET($D167,1,$C167,ROW($A$435)-ROW($A167)),0)</f>
        <v>3</v>
      </c>
      <c r="K167" s="94">
        <f ca="1">ROUND(INDEX(PO!U$11:U$1504,MATCH($A167,PO!$W$11:$W$1504,0)),2)+10^-12</f>
        <v>6055.6900000000005</v>
      </c>
      <c r="L167" s="270"/>
      <c r="M167" s="272"/>
      <c r="N167" s="274"/>
      <c r="O167" s="115" t="s">
        <v>7</v>
      </c>
      <c r="P167" s="108">
        <f t="shared" ref="P167:W167" ca="1" si="106">IF($B167,ROUND(P166*$N165,2),ROUND(SUMIF(OFFSET($B167,1,0,$D167),TRUE,OFFSET(P167,1,0,$D167))/SUMIF(OFFSET($B167,1,0,$D167),TRUE,OFFSET($K167,1,0,$D167))*$N165,2))</f>
        <v>0</v>
      </c>
      <c r="Q167" s="78">
        <f t="shared" ca="1" si="106"/>
        <v>0</v>
      </c>
      <c r="R167" s="78">
        <f t="shared" ca="1" si="106"/>
        <v>0</v>
      </c>
      <c r="S167" s="78">
        <f t="shared" ca="1" si="106"/>
        <v>0</v>
      </c>
      <c r="T167" s="78">
        <f t="shared" ca="1" si="106"/>
        <v>0</v>
      </c>
      <c r="U167" s="78">
        <f t="shared" ca="1" si="106"/>
        <v>6055.69</v>
      </c>
      <c r="V167" s="78">
        <f t="shared" ca="1" si="106"/>
        <v>6055.69</v>
      </c>
      <c r="W167" s="118">
        <f t="shared" ca="1" si="106"/>
        <v>6055.69</v>
      </c>
      <c r="X167" s="105"/>
    </row>
    <row r="168" spans="1:24" customFormat="1" ht="14.25" customHeight="1">
      <c r="A168" s="39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269" t="str">
        <f ca="1">INDEX(PO!K$11:K$1504,MATCH($A170,PO!$W$11:$W$1504,0))</f>
        <v>7.10.</v>
      </c>
      <c r="M168" s="271" t="str">
        <f ca="1">INDEX(PO!O$11:O$1504,MATCH($A170,PO!$W$11:$W$1504,0))</f>
        <v>Atividade 44 - Palestra: Idoso, família, saúde e sociedade Bairro Frutal de Minas e Jardim Paula II</v>
      </c>
      <c r="N168" s="273">
        <f ca="1">IF(ROUND(K170,2)=0,K170,ROUND(K170,2))</f>
        <v>6055.69</v>
      </c>
      <c r="O168" s="113" t="s">
        <v>33</v>
      </c>
      <c r="P168" s="112"/>
      <c r="Q168" s="59"/>
      <c r="R168" s="59"/>
      <c r="S168" s="59"/>
      <c r="T168" s="59"/>
      <c r="U168" s="59">
        <v>1</v>
      </c>
      <c r="V168" s="59"/>
      <c r="W168" s="59"/>
      <c r="X168" s="105"/>
    </row>
    <row r="169" spans="1:24" customFormat="1" ht="14.25">
      <c r="A169" s="93"/>
      <c r="B169" s="93"/>
      <c r="C169" s="93"/>
      <c r="D169" s="93"/>
      <c r="E169" s="93"/>
      <c r="F169" s="93"/>
      <c r="G169" s="93"/>
      <c r="H169" s="93"/>
      <c r="I169" s="93"/>
      <c r="J169" s="93"/>
      <c r="K169" s="93"/>
      <c r="L169" s="270"/>
      <c r="M169" s="272"/>
      <c r="N169" s="274"/>
      <c r="O169" s="79" t="s">
        <v>35</v>
      </c>
      <c r="P169" s="107">
        <f t="shared" ref="P169:W169" ca="1" si="107">MIN(IF($B170,P168+IF(ISNUMBER(O169),O169,0),P170/$N168),1)</f>
        <v>0</v>
      </c>
      <c r="Q169" s="77">
        <f t="shared" ca="1" si="107"/>
        <v>0</v>
      </c>
      <c r="R169" s="77">
        <f t="shared" ca="1" si="107"/>
        <v>0</v>
      </c>
      <c r="S169" s="77">
        <f t="shared" ca="1" si="107"/>
        <v>0</v>
      </c>
      <c r="T169" s="77">
        <f t="shared" ca="1" si="107"/>
        <v>0</v>
      </c>
      <c r="U169" s="77">
        <f t="shared" ca="1" si="107"/>
        <v>1</v>
      </c>
      <c r="V169" s="77">
        <f t="shared" ca="1" si="107"/>
        <v>1</v>
      </c>
      <c r="W169" s="77">
        <f t="shared" ca="1" si="107"/>
        <v>1</v>
      </c>
      <c r="X169" s="105"/>
    </row>
    <row r="170" spans="1:24" customFormat="1" ht="14.25">
      <c r="A170" s="93">
        <f ca="1">OFFSET(A170,-CFF.NumLinha,0)+1</f>
        <v>51</v>
      </c>
      <c r="B170" s="93" t="b">
        <f ca="1">$C170&gt;=OFFSET($C170,CFF.NumLinha,0)</f>
        <v>1</v>
      </c>
      <c r="C170" s="93">
        <f ca="1">INDEX(PO!A$11:A$1504,MATCH($A170,PO!$W$11:$W$1504,0))</f>
        <v>2</v>
      </c>
      <c r="D170" s="93">
        <f ca="1">IF(ISERROR(J170),I170,SMALL(I170:J170,1))-1</f>
        <v>2</v>
      </c>
      <c r="E170" s="93">
        <f ca="1">IF($C170=1,OFFSET(E170,-CFF.NumLinha,0)+1,OFFSET(E170,-CFF.NumLinha,0))</f>
        <v>7</v>
      </c>
      <c r="F170" s="93">
        <f ca="1">IF($C170=1,0,IF($C170=2,OFFSET(F170,-CFF.NumLinha,0)+1,OFFSET(F170,-CFF.NumLinha,0)))</f>
        <v>10</v>
      </c>
      <c r="G170" s="93">
        <f ca="1">IF(AND($C170&lt;=2,$C170&lt;&gt;0),0,IF($C170=3,OFFSET(G170,-CFF.NumLinha,0)+1,OFFSET(G170,-CFF.NumLinha,0)))</f>
        <v>0</v>
      </c>
      <c r="H170" s="93">
        <f ca="1">IF(AND($C170&lt;=3,$C170&lt;&gt;0),0,IF($C170=4,OFFSET(H170,-CFF.NumLinha,0)+1,OFFSET(H170,-CFF.NumLinha,0)))</f>
        <v>0</v>
      </c>
      <c r="I170" s="93">
        <f ca="1">MATCH(0,OFFSET($D170,1,$C170,ROW($A$435)-ROW($A170)),0)</f>
        <v>3</v>
      </c>
      <c r="J170" s="93">
        <f ca="1">MATCH(OFFSET($D170,0,$C170)+1,OFFSET($D170,1,$C170,ROW($A$435)-ROW($A170)),0)</f>
        <v>63</v>
      </c>
      <c r="K170" s="94">
        <f ca="1">ROUND(INDEX(PO!U$11:U$1504,MATCH($A170,PO!$W$11:$W$1504,0)),2)+10^-12</f>
        <v>6055.6900000000005</v>
      </c>
      <c r="L170" s="270"/>
      <c r="M170" s="272"/>
      <c r="N170" s="274"/>
      <c r="O170" s="115" t="s">
        <v>7</v>
      </c>
      <c r="P170" s="108">
        <f t="shared" ref="P170:W170" ca="1" si="108">IF($B170,ROUND(P169*$N168,2),ROUND(SUMIF(OFFSET($B170,1,0,$D170),TRUE,OFFSET(P170,1,0,$D170))/SUMIF(OFFSET($B170,1,0,$D170),TRUE,OFFSET($K170,1,0,$D170))*$N168,2))</f>
        <v>0</v>
      </c>
      <c r="Q170" s="78">
        <f t="shared" ca="1" si="108"/>
        <v>0</v>
      </c>
      <c r="R170" s="78">
        <f t="shared" ca="1" si="108"/>
        <v>0</v>
      </c>
      <c r="S170" s="78">
        <f t="shared" ca="1" si="108"/>
        <v>0</v>
      </c>
      <c r="T170" s="78">
        <f t="shared" ca="1" si="108"/>
        <v>0</v>
      </c>
      <c r="U170" s="78">
        <f t="shared" ca="1" si="108"/>
        <v>6055.69</v>
      </c>
      <c r="V170" s="78">
        <f t="shared" ca="1" si="108"/>
        <v>6055.69</v>
      </c>
      <c r="W170" s="118">
        <f t="shared" ca="1" si="108"/>
        <v>6055.69</v>
      </c>
      <c r="X170" s="105"/>
    </row>
    <row r="171" spans="1:24" customFormat="1" ht="14.25" customHeight="1">
      <c r="A171" s="39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269" t="str">
        <f ca="1">INDEX(PO!K$11:K$1504,MATCH($A173,PO!$W$11:$W$1504,0))</f>
        <v>8.</v>
      </c>
      <c r="M171" s="271" t="str">
        <f ca="1">INDEX(PO!O$11:O$1504,MATCH($A173,PO!$W$11:$W$1504,0))</f>
        <v>MÊS 08 - INFORMAÇÕES/ PALESTRA E GERAÇÃO E RENDA</v>
      </c>
      <c r="N171" s="273">
        <f ca="1">IF(ROUND(K173,2)=0,K173,ROUND(K173,2))</f>
        <v>72339.53</v>
      </c>
      <c r="O171" s="113" t="s">
        <v>33</v>
      </c>
      <c r="P171" s="112"/>
      <c r="Q171" s="59"/>
      <c r="R171" s="59"/>
      <c r="S171" s="59"/>
      <c r="T171" s="59"/>
      <c r="U171" s="59">
        <v>1</v>
      </c>
      <c r="V171" s="59"/>
      <c r="W171" s="59"/>
      <c r="X171" s="105"/>
    </row>
    <row r="172" spans="1:24" customFormat="1" ht="14.25">
      <c r="A172" s="93"/>
      <c r="B172" s="93"/>
      <c r="C172" s="93"/>
      <c r="D172" s="93"/>
      <c r="E172" s="93"/>
      <c r="F172" s="93"/>
      <c r="G172" s="93"/>
      <c r="H172" s="93"/>
      <c r="I172" s="93"/>
      <c r="J172" s="93"/>
      <c r="K172" s="93"/>
      <c r="L172" s="270"/>
      <c r="M172" s="272"/>
      <c r="N172" s="274"/>
      <c r="O172" s="79" t="s">
        <v>35</v>
      </c>
      <c r="P172" s="107">
        <f t="shared" ref="P172:W172" ca="1" si="109">MIN(IF($B173,P171+IF(ISNUMBER(O172),O172,0),P173/$N171),1)</f>
        <v>0</v>
      </c>
      <c r="Q172" s="77">
        <f t="shared" ca="1" si="109"/>
        <v>0</v>
      </c>
      <c r="R172" s="77">
        <f t="shared" ca="1" si="109"/>
        <v>0</v>
      </c>
      <c r="S172" s="77">
        <f t="shared" ca="1" si="109"/>
        <v>0</v>
      </c>
      <c r="T172" s="77">
        <f t="shared" ca="1" si="109"/>
        <v>0</v>
      </c>
      <c r="U172" s="77">
        <f t="shared" ca="1" si="109"/>
        <v>0</v>
      </c>
      <c r="V172" s="77">
        <f t="shared" ca="1" si="109"/>
        <v>1</v>
      </c>
      <c r="W172" s="77">
        <f t="shared" ca="1" si="109"/>
        <v>1</v>
      </c>
      <c r="X172" s="105"/>
    </row>
    <row r="173" spans="1:24" customFormat="1" ht="14.25">
      <c r="A173" s="93">
        <f ca="1">OFFSET(A173,-CFF.NumLinha,0)+1</f>
        <v>52</v>
      </c>
      <c r="B173" s="93" t="b">
        <f ca="1">$C173&gt;=OFFSET($C173,CFF.NumLinha,0)</f>
        <v>0</v>
      </c>
      <c r="C173" s="93">
        <f ca="1">INDEX(PO!A$11:A$1504,MATCH($A173,PO!$W$11:$W$1504,0))</f>
        <v>1</v>
      </c>
      <c r="D173" s="93">
        <f ca="1">IF(ISERROR(J173),I173,SMALL(I173:J173,1))-1</f>
        <v>26</v>
      </c>
      <c r="E173" s="93">
        <f ca="1">IF($C173=1,OFFSET(E173,-CFF.NumLinha,0)+1,OFFSET(E173,-CFF.NumLinha,0))</f>
        <v>8</v>
      </c>
      <c r="F173" s="93">
        <f ca="1">IF($C173=1,0,IF($C173=2,OFFSET(F173,-CFF.NumLinha,0)+1,OFFSET(F173,-CFF.NumLinha,0)))</f>
        <v>0</v>
      </c>
      <c r="G173" s="93">
        <f ca="1">IF(AND($C173&lt;=2,$C173&lt;&gt;0),0,IF($C173=3,OFFSET(G173,-CFF.NumLinha,0)+1,OFFSET(G173,-CFF.NumLinha,0)))</f>
        <v>0</v>
      </c>
      <c r="H173" s="93">
        <f ca="1">IF(AND($C173&lt;=3,$C173&lt;&gt;0),0,IF($C173=4,OFFSET(H173,-CFF.NumLinha,0)+1,OFFSET(H173,-CFF.NumLinha,0)))</f>
        <v>0</v>
      </c>
      <c r="I173" s="93">
        <f ca="1">MATCH(0,OFFSET($D173,1,$C173,ROW($A$435)-ROW($A173)),0)</f>
        <v>262</v>
      </c>
      <c r="J173" s="93">
        <f ca="1">MATCH(OFFSET($D173,0,$C173)+1,OFFSET($D173,1,$C173,ROW($A$435)-ROW($A173)),0)</f>
        <v>27</v>
      </c>
      <c r="K173" s="94">
        <f ca="1">ROUND(INDEX(PO!U$11:U$1504,MATCH($A173,PO!$W$11:$W$1504,0)),2)+10^-12</f>
        <v>72339.53</v>
      </c>
      <c r="L173" s="270"/>
      <c r="M173" s="272"/>
      <c r="N173" s="274"/>
      <c r="O173" s="115" t="s">
        <v>7</v>
      </c>
      <c r="P173" s="108">
        <f t="shared" ref="P173:W173" ca="1" si="110">IF($B173,ROUND(P172*$N171,2),ROUND(SUMIF(OFFSET($B173,1,0,$D173),TRUE,OFFSET(P173,1,0,$D173))/SUMIF(OFFSET($B173,1,0,$D173),TRUE,OFFSET($K173,1,0,$D173))*$N171,2))</f>
        <v>0</v>
      </c>
      <c r="Q173" s="78">
        <f t="shared" ca="1" si="110"/>
        <v>0</v>
      </c>
      <c r="R173" s="78">
        <f t="shared" ca="1" si="110"/>
        <v>0</v>
      </c>
      <c r="S173" s="78">
        <f t="shared" ca="1" si="110"/>
        <v>0</v>
      </c>
      <c r="T173" s="78">
        <f t="shared" ca="1" si="110"/>
        <v>0</v>
      </c>
      <c r="U173" s="78">
        <f t="shared" ca="1" si="110"/>
        <v>0</v>
      </c>
      <c r="V173" s="78">
        <f t="shared" ca="1" si="110"/>
        <v>72339.53</v>
      </c>
      <c r="W173" s="118">
        <f t="shared" ca="1" si="110"/>
        <v>72339.53</v>
      </c>
      <c r="X173" s="105"/>
    </row>
    <row r="174" spans="1:24" customFormat="1" ht="14.25" customHeight="1">
      <c r="A174" s="39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269" t="str">
        <f ca="1">INDEX(PO!K$11:K$1504,MATCH($A176,PO!$W$11:$W$1504,0))</f>
        <v>8.1.</v>
      </c>
      <c r="M174" s="271" t="str">
        <f ca="1">INDEX(PO!O$11:O$1504,MATCH($A176,PO!$W$11:$W$1504,0))</f>
        <v>Atividade 45 - Curso: Auto Maquiagem região Parque São João</v>
      </c>
      <c r="N174" s="273">
        <f ca="1">IF(ROUND(K176,2)=0,K176,ROUND(K176,2))</f>
        <v>10179.82</v>
      </c>
      <c r="O174" s="113" t="s">
        <v>33</v>
      </c>
      <c r="P174" s="112"/>
      <c r="Q174" s="59"/>
      <c r="R174" s="59"/>
      <c r="S174" s="59"/>
      <c r="T174" s="59"/>
      <c r="U174" s="59"/>
      <c r="V174" s="59">
        <v>1</v>
      </c>
      <c r="W174" s="59"/>
      <c r="X174" s="105"/>
    </row>
    <row r="175" spans="1:24" customFormat="1" ht="14.25">
      <c r="A175" s="93"/>
      <c r="B175" s="93"/>
      <c r="C175" s="93"/>
      <c r="D175" s="93"/>
      <c r="E175" s="93"/>
      <c r="F175" s="93"/>
      <c r="G175" s="93"/>
      <c r="H175" s="93"/>
      <c r="I175" s="93"/>
      <c r="J175" s="93"/>
      <c r="K175" s="93"/>
      <c r="L175" s="270"/>
      <c r="M175" s="272"/>
      <c r="N175" s="274"/>
      <c r="O175" s="79" t="s">
        <v>35</v>
      </c>
      <c r="P175" s="107">
        <f t="shared" ref="P175:W175" ca="1" si="111">MIN(IF($B176,P174+IF(ISNUMBER(O175),O175,0),P176/$N174),1)</f>
        <v>0</v>
      </c>
      <c r="Q175" s="77">
        <f t="shared" ca="1" si="111"/>
        <v>0</v>
      </c>
      <c r="R175" s="77">
        <f t="shared" ca="1" si="111"/>
        <v>0</v>
      </c>
      <c r="S175" s="77">
        <f t="shared" ca="1" si="111"/>
        <v>0</v>
      </c>
      <c r="T175" s="77">
        <f t="shared" ca="1" si="111"/>
        <v>0</v>
      </c>
      <c r="U175" s="77">
        <f t="shared" ca="1" si="111"/>
        <v>0</v>
      </c>
      <c r="V175" s="77">
        <f t="shared" ca="1" si="111"/>
        <v>1</v>
      </c>
      <c r="W175" s="77">
        <f t="shared" ca="1" si="111"/>
        <v>1</v>
      </c>
      <c r="X175" s="105"/>
    </row>
    <row r="176" spans="1:24" customFormat="1" ht="14.25">
      <c r="A176" s="93">
        <f ca="1">OFFSET(A176,-CFF.NumLinha,0)+1</f>
        <v>53</v>
      </c>
      <c r="B176" s="93" t="b">
        <f ca="1">$C176&gt;=OFFSET($C176,CFF.NumLinha,0)</f>
        <v>1</v>
      </c>
      <c r="C176" s="93">
        <f ca="1">INDEX(PO!A$11:A$1504,MATCH($A176,PO!$W$11:$W$1504,0))</f>
        <v>2</v>
      </c>
      <c r="D176" s="93">
        <f ca="1">IF(ISERROR(J176),I176,SMALL(I176:J176,1))-1</f>
        <v>2</v>
      </c>
      <c r="E176" s="93">
        <f ca="1">IF($C176=1,OFFSET(E176,-CFF.NumLinha,0)+1,OFFSET(E176,-CFF.NumLinha,0))</f>
        <v>8</v>
      </c>
      <c r="F176" s="93">
        <f ca="1">IF($C176=1,0,IF($C176=2,OFFSET(F176,-CFF.NumLinha,0)+1,OFFSET(F176,-CFF.NumLinha,0)))</f>
        <v>1</v>
      </c>
      <c r="G176" s="93">
        <f ca="1">IF(AND($C176&lt;=2,$C176&lt;&gt;0),0,IF($C176=3,OFFSET(G176,-CFF.NumLinha,0)+1,OFFSET(G176,-CFF.NumLinha,0)))</f>
        <v>0</v>
      </c>
      <c r="H176" s="93">
        <f ca="1">IF(AND($C176&lt;=3,$C176&lt;&gt;0),0,IF($C176=4,OFFSET(H176,-CFF.NumLinha,0)+1,OFFSET(H176,-CFF.NumLinha,0)))</f>
        <v>0</v>
      </c>
      <c r="I176" s="93">
        <f ca="1">MATCH(0,OFFSET($D176,1,$C176,ROW($A$435)-ROW($A176)),0)</f>
        <v>24</v>
      </c>
      <c r="J176" s="93">
        <f ca="1">MATCH(OFFSET($D176,0,$C176)+1,OFFSET($D176,1,$C176,ROW($A$435)-ROW($A176)),0)</f>
        <v>3</v>
      </c>
      <c r="K176" s="94">
        <f ca="1">ROUND(INDEX(PO!U$11:U$1504,MATCH($A176,PO!$W$11:$W$1504,0)),2)+10^-12</f>
        <v>10179.820000000002</v>
      </c>
      <c r="L176" s="270"/>
      <c r="M176" s="272"/>
      <c r="N176" s="274"/>
      <c r="O176" s="115" t="s">
        <v>7</v>
      </c>
      <c r="P176" s="108">
        <f t="shared" ref="P176:W176" ca="1" si="112">IF($B176,ROUND(P175*$N174,2),ROUND(SUMIF(OFFSET($B176,1,0,$D176),TRUE,OFFSET(P176,1,0,$D176))/SUMIF(OFFSET($B176,1,0,$D176),TRUE,OFFSET($K176,1,0,$D176))*$N174,2))</f>
        <v>0</v>
      </c>
      <c r="Q176" s="78">
        <f t="shared" ca="1" si="112"/>
        <v>0</v>
      </c>
      <c r="R176" s="78">
        <f t="shared" ca="1" si="112"/>
        <v>0</v>
      </c>
      <c r="S176" s="78">
        <f t="shared" ca="1" si="112"/>
        <v>0</v>
      </c>
      <c r="T176" s="78">
        <f t="shared" ca="1" si="112"/>
        <v>0</v>
      </c>
      <c r="U176" s="78">
        <f t="shared" ca="1" si="112"/>
        <v>0</v>
      </c>
      <c r="V176" s="78">
        <f t="shared" ca="1" si="112"/>
        <v>10179.82</v>
      </c>
      <c r="W176" s="118">
        <f t="shared" ca="1" si="112"/>
        <v>10179.82</v>
      </c>
      <c r="X176" s="105"/>
    </row>
    <row r="177" spans="1:24" customFormat="1" ht="14.25" customHeight="1">
      <c r="A177" s="39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269" t="str">
        <f ca="1">INDEX(PO!K$11:K$1504,MATCH($A179,PO!$W$11:$W$1504,0))</f>
        <v>8.2.</v>
      </c>
      <c r="M177" s="271" t="str">
        <f ca="1">INDEX(PO!O$11:O$1504,MATCH($A179,PO!$W$11:$W$1504,0))</f>
        <v>Atividade 46 - Plantão Social região Parque São João</v>
      </c>
      <c r="N177" s="273">
        <f ca="1">IF(ROUND(K179,2)=0,K179,ROUND(K179,2))</f>
        <v>3427.56</v>
      </c>
      <c r="O177" s="113" t="s">
        <v>33</v>
      </c>
      <c r="P177" s="112"/>
      <c r="Q177" s="59"/>
      <c r="R177" s="59"/>
      <c r="S177" s="59"/>
      <c r="T177" s="59"/>
      <c r="U177" s="59"/>
      <c r="V177" s="59">
        <v>1</v>
      </c>
      <c r="W177" s="59"/>
      <c r="X177" s="105"/>
    </row>
    <row r="178" spans="1:24" customFormat="1" ht="14.25">
      <c r="A178" s="93"/>
      <c r="B178" s="93"/>
      <c r="C178" s="93"/>
      <c r="D178" s="93"/>
      <c r="E178" s="93"/>
      <c r="F178" s="93"/>
      <c r="G178" s="93"/>
      <c r="H178" s="93"/>
      <c r="I178" s="93"/>
      <c r="J178" s="93"/>
      <c r="K178" s="93"/>
      <c r="L178" s="270"/>
      <c r="M178" s="272"/>
      <c r="N178" s="274"/>
      <c r="O178" s="79" t="s">
        <v>35</v>
      </c>
      <c r="P178" s="107">
        <f t="shared" ref="P178:W178" ca="1" si="113">MIN(IF($B179,P177+IF(ISNUMBER(O178),O178,0),P179/$N177),1)</f>
        <v>0</v>
      </c>
      <c r="Q178" s="77">
        <f t="shared" ca="1" si="113"/>
        <v>0</v>
      </c>
      <c r="R178" s="77">
        <f t="shared" ca="1" si="113"/>
        <v>0</v>
      </c>
      <c r="S178" s="77">
        <f t="shared" ca="1" si="113"/>
        <v>0</v>
      </c>
      <c r="T178" s="77">
        <f t="shared" ca="1" si="113"/>
        <v>0</v>
      </c>
      <c r="U178" s="77">
        <f t="shared" ca="1" si="113"/>
        <v>0</v>
      </c>
      <c r="V178" s="77">
        <f t="shared" ca="1" si="113"/>
        <v>1</v>
      </c>
      <c r="W178" s="77">
        <f t="shared" ca="1" si="113"/>
        <v>1</v>
      </c>
      <c r="X178" s="105"/>
    </row>
    <row r="179" spans="1:24" customFormat="1" ht="14.25">
      <c r="A179" s="93">
        <f ca="1">OFFSET(A179,-CFF.NumLinha,0)+1</f>
        <v>54</v>
      </c>
      <c r="B179" s="93" t="b">
        <f ca="1">$C179&gt;=OFFSET($C179,CFF.NumLinha,0)</f>
        <v>1</v>
      </c>
      <c r="C179" s="93">
        <f ca="1">INDEX(PO!A$11:A$1504,MATCH($A179,PO!$W$11:$W$1504,0))</f>
        <v>2</v>
      </c>
      <c r="D179" s="93">
        <f ca="1">IF(ISERROR(J179),I179,SMALL(I179:J179,1))-1</f>
        <v>2</v>
      </c>
      <c r="E179" s="93">
        <f ca="1">IF($C179=1,OFFSET(E179,-CFF.NumLinha,0)+1,OFFSET(E179,-CFF.NumLinha,0))</f>
        <v>8</v>
      </c>
      <c r="F179" s="93">
        <f ca="1">IF($C179=1,0,IF($C179=2,OFFSET(F179,-CFF.NumLinha,0)+1,OFFSET(F179,-CFF.NumLinha,0)))</f>
        <v>2</v>
      </c>
      <c r="G179" s="93">
        <f ca="1">IF(AND($C179&lt;=2,$C179&lt;&gt;0),0,IF($C179=3,OFFSET(G179,-CFF.NumLinha,0)+1,OFFSET(G179,-CFF.NumLinha,0)))</f>
        <v>0</v>
      </c>
      <c r="H179" s="93">
        <f ca="1">IF(AND($C179&lt;=3,$C179&lt;&gt;0),0,IF($C179=4,OFFSET(H179,-CFF.NumLinha,0)+1,OFFSET(H179,-CFF.NumLinha,0)))</f>
        <v>0</v>
      </c>
      <c r="I179" s="93">
        <f ca="1">MATCH(0,OFFSET($D179,1,$C179,ROW($A$435)-ROW($A179)),0)</f>
        <v>21</v>
      </c>
      <c r="J179" s="93">
        <f ca="1">MATCH(OFFSET($D179,0,$C179)+1,OFFSET($D179,1,$C179,ROW($A$435)-ROW($A179)),0)</f>
        <v>3</v>
      </c>
      <c r="K179" s="94">
        <f ca="1">ROUND(INDEX(PO!U$11:U$1504,MATCH($A179,PO!$W$11:$W$1504,0)),2)+10^-12</f>
        <v>3427.5600000000009</v>
      </c>
      <c r="L179" s="270"/>
      <c r="M179" s="272"/>
      <c r="N179" s="274"/>
      <c r="O179" s="115" t="s">
        <v>7</v>
      </c>
      <c r="P179" s="108">
        <f t="shared" ref="P179:W179" ca="1" si="114">IF($B179,ROUND(P178*$N177,2),ROUND(SUMIF(OFFSET($B179,1,0,$D179),TRUE,OFFSET(P179,1,0,$D179))/SUMIF(OFFSET($B179,1,0,$D179),TRUE,OFFSET($K179,1,0,$D179))*$N177,2))</f>
        <v>0</v>
      </c>
      <c r="Q179" s="78">
        <f t="shared" ca="1" si="114"/>
        <v>0</v>
      </c>
      <c r="R179" s="78">
        <f t="shared" ca="1" si="114"/>
        <v>0</v>
      </c>
      <c r="S179" s="78">
        <f t="shared" ca="1" si="114"/>
        <v>0</v>
      </c>
      <c r="T179" s="78">
        <f t="shared" ca="1" si="114"/>
        <v>0</v>
      </c>
      <c r="U179" s="78">
        <f t="shared" ca="1" si="114"/>
        <v>0</v>
      </c>
      <c r="V179" s="78">
        <f t="shared" ca="1" si="114"/>
        <v>3427.56</v>
      </c>
      <c r="W179" s="118">
        <f t="shared" ca="1" si="114"/>
        <v>3427.56</v>
      </c>
      <c r="X179" s="105"/>
    </row>
    <row r="180" spans="1:24" customFormat="1" ht="14.25" customHeight="1">
      <c r="A180" s="39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269" t="str">
        <f ca="1">INDEX(PO!K$11:K$1504,MATCH($A182,PO!$W$11:$W$1504,0))</f>
        <v>8.3.</v>
      </c>
      <c r="M180" s="271" t="str">
        <f ca="1">INDEX(PO!O$11:O$1504,MATCH($A182,PO!$W$11:$W$1504,0))</f>
        <v>Atividade 47 - Curso: Culinária com técnica de congelamento região Parque São João</v>
      </c>
      <c r="N180" s="273">
        <f ca="1">IF(ROUND(K182,2)=0,K182,ROUND(K182,2))</f>
        <v>12670.98</v>
      </c>
      <c r="O180" s="113" t="s">
        <v>33</v>
      </c>
      <c r="P180" s="112"/>
      <c r="Q180" s="59"/>
      <c r="R180" s="59"/>
      <c r="S180" s="59"/>
      <c r="T180" s="59"/>
      <c r="U180" s="59"/>
      <c r="V180" s="59">
        <v>1</v>
      </c>
      <c r="W180" s="59"/>
      <c r="X180" s="105"/>
    </row>
    <row r="181" spans="1:24" customFormat="1" ht="14.25">
      <c r="A181" s="93"/>
      <c r="B181" s="93"/>
      <c r="C181" s="93"/>
      <c r="D181" s="93"/>
      <c r="E181" s="93"/>
      <c r="F181" s="93"/>
      <c r="G181" s="93"/>
      <c r="H181" s="93"/>
      <c r="I181" s="93"/>
      <c r="J181" s="93"/>
      <c r="K181" s="93"/>
      <c r="L181" s="270"/>
      <c r="M181" s="272"/>
      <c r="N181" s="274"/>
      <c r="O181" s="79" t="s">
        <v>35</v>
      </c>
      <c r="P181" s="107">
        <f t="shared" ref="P181:W181" ca="1" si="115">MIN(IF($B182,P180+IF(ISNUMBER(O181),O181,0),P182/$N180),1)</f>
        <v>0</v>
      </c>
      <c r="Q181" s="77">
        <f t="shared" ca="1" si="115"/>
        <v>0</v>
      </c>
      <c r="R181" s="77">
        <f t="shared" ca="1" si="115"/>
        <v>0</v>
      </c>
      <c r="S181" s="77">
        <f t="shared" ca="1" si="115"/>
        <v>0</v>
      </c>
      <c r="T181" s="77">
        <f t="shared" ca="1" si="115"/>
        <v>0</v>
      </c>
      <c r="U181" s="77">
        <f t="shared" ca="1" si="115"/>
        <v>0</v>
      </c>
      <c r="V181" s="77">
        <f t="shared" ca="1" si="115"/>
        <v>1</v>
      </c>
      <c r="W181" s="77">
        <f t="shared" ca="1" si="115"/>
        <v>1</v>
      </c>
      <c r="X181" s="105"/>
    </row>
    <row r="182" spans="1:24" customFormat="1" ht="14.25">
      <c r="A182" s="93">
        <f ca="1">OFFSET(A182,-CFF.NumLinha,0)+1</f>
        <v>55</v>
      </c>
      <c r="B182" s="93" t="b">
        <f ca="1">$C182&gt;=OFFSET($C182,CFF.NumLinha,0)</f>
        <v>1</v>
      </c>
      <c r="C182" s="93">
        <f ca="1">INDEX(PO!A$11:A$1504,MATCH($A182,PO!$W$11:$W$1504,0))</f>
        <v>2</v>
      </c>
      <c r="D182" s="93">
        <f ca="1">IF(ISERROR(J182),I182,SMALL(I182:J182,1))-1</f>
        <v>2</v>
      </c>
      <c r="E182" s="93">
        <f ca="1">IF($C182=1,OFFSET(E182,-CFF.NumLinha,0)+1,OFFSET(E182,-CFF.NumLinha,0))</f>
        <v>8</v>
      </c>
      <c r="F182" s="93">
        <f ca="1">IF($C182=1,0,IF($C182=2,OFFSET(F182,-CFF.NumLinha,0)+1,OFFSET(F182,-CFF.NumLinha,0)))</f>
        <v>3</v>
      </c>
      <c r="G182" s="93">
        <f ca="1">IF(AND($C182&lt;=2,$C182&lt;&gt;0),0,IF($C182=3,OFFSET(G182,-CFF.NumLinha,0)+1,OFFSET(G182,-CFF.NumLinha,0)))</f>
        <v>0</v>
      </c>
      <c r="H182" s="93">
        <f ca="1">IF(AND($C182&lt;=3,$C182&lt;&gt;0),0,IF($C182=4,OFFSET(H182,-CFF.NumLinha,0)+1,OFFSET(H182,-CFF.NumLinha,0)))</f>
        <v>0</v>
      </c>
      <c r="I182" s="93">
        <f ca="1">MATCH(0,OFFSET($D182,1,$C182,ROW($A$435)-ROW($A182)),0)</f>
        <v>18</v>
      </c>
      <c r="J182" s="93">
        <f ca="1">MATCH(OFFSET($D182,0,$C182)+1,OFFSET($D182,1,$C182,ROW($A$435)-ROW($A182)),0)</f>
        <v>3</v>
      </c>
      <c r="K182" s="94">
        <f ca="1">ROUND(INDEX(PO!U$11:U$1504,MATCH($A182,PO!$W$11:$W$1504,0)),2)+10^-12</f>
        <v>12670.980000000001</v>
      </c>
      <c r="L182" s="270"/>
      <c r="M182" s="272"/>
      <c r="N182" s="274"/>
      <c r="O182" s="115" t="s">
        <v>7</v>
      </c>
      <c r="P182" s="108">
        <f t="shared" ref="P182:W182" ca="1" si="116">IF($B182,ROUND(P181*$N180,2),ROUND(SUMIF(OFFSET($B182,1,0,$D182),TRUE,OFFSET(P182,1,0,$D182))/SUMIF(OFFSET($B182,1,0,$D182),TRUE,OFFSET($K182,1,0,$D182))*$N180,2))</f>
        <v>0</v>
      </c>
      <c r="Q182" s="78">
        <f t="shared" ca="1" si="116"/>
        <v>0</v>
      </c>
      <c r="R182" s="78">
        <f t="shared" ca="1" si="116"/>
        <v>0</v>
      </c>
      <c r="S182" s="78">
        <f t="shared" ca="1" si="116"/>
        <v>0</v>
      </c>
      <c r="T182" s="78">
        <f t="shared" ca="1" si="116"/>
        <v>0</v>
      </c>
      <c r="U182" s="78">
        <f t="shared" ca="1" si="116"/>
        <v>0</v>
      </c>
      <c r="V182" s="78">
        <f t="shared" ca="1" si="116"/>
        <v>12670.98</v>
      </c>
      <c r="W182" s="118">
        <f t="shared" ca="1" si="116"/>
        <v>12670.98</v>
      </c>
      <c r="X182" s="105"/>
    </row>
    <row r="183" spans="1:24" customFormat="1" ht="14.25" customHeight="1">
      <c r="A183" s="39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269" t="str">
        <f ca="1">INDEX(PO!K$11:K$1504,MATCH($A185,PO!$W$11:$W$1504,0))</f>
        <v>8.4.</v>
      </c>
      <c r="M183" s="271" t="str">
        <f ca="1">INDEX(PO!O$11:O$1504,MATCH($A185,PO!$W$11:$W$1504,0))</f>
        <v>Atividade 48 - Curso: Automaquiagem região Jardim Ikaraí</v>
      </c>
      <c r="N183" s="273">
        <f ca="1">IF(ROUND(K185,2)=0,K185,ROUND(K185,2))</f>
        <v>7902.28</v>
      </c>
      <c r="O183" s="113" t="s">
        <v>33</v>
      </c>
      <c r="P183" s="112"/>
      <c r="Q183" s="59"/>
      <c r="R183" s="59"/>
      <c r="S183" s="59"/>
      <c r="T183" s="59"/>
      <c r="U183" s="59"/>
      <c r="V183" s="59">
        <v>1</v>
      </c>
      <c r="W183" s="59"/>
      <c r="X183" s="105"/>
    </row>
    <row r="184" spans="1:24" customFormat="1" ht="14.25">
      <c r="A184" s="93"/>
      <c r="B184" s="93"/>
      <c r="C184" s="93"/>
      <c r="D184" s="93"/>
      <c r="E184" s="93"/>
      <c r="F184" s="93"/>
      <c r="G184" s="93"/>
      <c r="H184" s="93"/>
      <c r="I184" s="93"/>
      <c r="J184" s="93"/>
      <c r="K184" s="93"/>
      <c r="L184" s="270"/>
      <c r="M184" s="272"/>
      <c r="N184" s="274"/>
      <c r="O184" s="79" t="s">
        <v>35</v>
      </c>
      <c r="P184" s="107">
        <f t="shared" ref="P184:W184" ca="1" si="117">MIN(IF($B185,P183+IF(ISNUMBER(O184),O184,0),P185/$N183),1)</f>
        <v>0</v>
      </c>
      <c r="Q184" s="77">
        <f t="shared" ca="1" si="117"/>
        <v>0</v>
      </c>
      <c r="R184" s="77">
        <f t="shared" ca="1" si="117"/>
        <v>0</v>
      </c>
      <c r="S184" s="77">
        <f t="shared" ca="1" si="117"/>
        <v>0</v>
      </c>
      <c r="T184" s="77">
        <f t="shared" ca="1" si="117"/>
        <v>0</v>
      </c>
      <c r="U184" s="77">
        <f t="shared" ca="1" si="117"/>
        <v>0</v>
      </c>
      <c r="V184" s="77">
        <f t="shared" ca="1" si="117"/>
        <v>1</v>
      </c>
      <c r="W184" s="77">
        <f t="shared" ca="1" si="117"/>
        <v>1</v>
      </c>
      <c r="X184" s="105"/>
    </row>
    <row r="185" spans="1:24" customFormat="1" ht="14.25">
      <c r="A185" s="93">
        <f ca="1">OFFSET(A185,-CFF.NumLinha,0)+1</f>
        <v>56</v>
      </c>
      <c r="B185" s="93" t="b">
        <f ca="1">$C185&gt;=OFFSET($C185,CFF.NumLinha,0)</f>
        <v>1</v>
      </c>
      <c r="C185" s="93">
        <f ca="1">INDEX(PO!A$11:A$1504,MATCH($A185,PO!$W$11:$W$1504,0))</f>
        <v>2</v>
      </c>
      <c r="D185" s="93">
        <f ca="1">IF(ISERROR(J185),I185,SMALL(I185:J185,1))-1</f>
        <v>2</v>
      </c>
      <c r="E185" s="93">
        <f ca="1">IF($C185=1,OFFSET(E185,-CFF.NumLinha,0)+1,OFFSET(E185,-CFF.NumLinha,0))</f>
        <v>8</v>
      </c>
      <c r="F185" s="93">
        <f ca="1">IF($C185=1,0,IF($C185=2,OFFSET(F185,-CFF.NumLinha,0)+1,OFFSET(F185,-CFF.NumLinha,0)))</f>
        <v>4</v>
      </c>
      <c r="G185" s="93">
        <f ca="1">IF(AND($C185&lt;=2,$C185&lt;&gt;0),0,IF($C185=3,OFFSET(G185,-CFF.NumLinha,0)+1,OFFSET(G185,-CFF.NumLinha,0)))</f>
        <v>0</v>
      </c>
      <c r="H185" s="93">
        <f ca="1">IF(AND($C185&lt;=3,$C185&lt;&gt;0),0,IF($C185=4,OFFSET(H185,-CFF.NumLinha,0)+1,OFFSET(H185,-CFF.NumLinha,0)))</f>
        <v>0</v>
      </c>
      <c r="I185" s="93">
        <f ca="1">MATCH(0,OFFSET($D185,1,$C185,ROW($A$435)-ROW($A185)),0)</f>
        <v>15</v>
      </c>
      <c r="J185" s="93">
        <f ca="1">MATCH(OFFSET($D185,0,$C185)+1,OFFSET($D185,1,$C185,ROW($A$435)-ROW($A185)),0)</f>
        <v>3</v>
      </c>
      <c r="K185" s="94">
        <f ca="1">ROUND(INDEX(PO!U$11:U$1504,MATCH($A185,PO!$W$11:$W$1504,0)),2)+10^-12</f>
        <v>7902.2800000000007</v>
      </c>
      <c r="L185" s="270"/>
      <c r="M185" s="272"/>
      <c r="N185" s="274"/>
      <c r="O185" s="115" t="s">
        <v>7</v>
      </c>
      <c r="P185" s="108">
        <f t="shared" ref="P185:W185" ca="1" si="118">IF($B185,ROUND(P184*$N183,2),ROUND(SUMIF(OFFSET($B185,1,0,$D185),TRUE,OFFSET(P185,1,0,$D185))/SUMIF(OFFSET($B185,1,0,$D185),TRUE,OFFSET($K185,1,0,$D185))*$N183,2))</f>
        <v>0</v>
      </c>
      <c r="Q185" s="78">
        <f t="shared" ca="1" si="118"/>
        <v>0</v>
      </c>
      <c r="R185" s="78">
        <f t="shared" ca="1" si="118"/>
        <v>0</v>
      </c>
      <c r="S185" s="78">
        <f t="shared" ca="1" si="118"/>
        <v>0</v>
      </c>
      <c r="T185" s="78">
        <f t="shared" ca="1" si="118"/>
        <v>0</v>
      </c>
      <c r="U185" s="78">
        <f t="shared" ca="1" si="118"/>
        <v>0</v>
      </c>
      <c r="V185" s="78">
        <f t="shared" ca="1" si="118"/>
        <v>7902.28</v>
      </c>
      <c r="W185" s="118">
        <f t="shared" ca="1" si="118"/>
        <v>7902.28</v>
      </c>
      <c r="X185" s="105"/>
    </row>
    <row r="186" spans="1:24" customFormat="1" ht="14.25" customHeight="1">
      <c r="A186" s="39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269" t="str">
        <f ca="1">INDEX(PO!K$11:K$1504,MATCH($A188,PO!$W$11:$W$1504,0))</f>
        <v>8.5.</v>
      </c>
      <c r="M186" s="271" t="str">
        <f ca="1">INDEX(PO!O$11:O$1504,MATCH($A188,PO!$W$11:$W$1504,0))</f>
        <v>Atividade 49 - Plantão Social região Jardim Ikaraí</v>
      </c>
      <c r="N186" s="273">
        <f ca="1">IF(ROUND(K188,2)=0,K188,ROUND(K188,2))</f>
        <v>3427.56</v>
      </c>
      <c r="O186" s="113" t="s">
        <v>33</v>
      </c>
      <c r="P186" s="112"/>
      <c r="Q186" s="59"/>
      <c r="R186" s="59"/>
      <c r="S186" s="59"/>
      <c r="T186" s="59"/>
      <c r="U186" s="59"/>
      <c r="V186" s="59">
        <v>1</v>
      </c>
      <c r="W186" s="59"/>
      <c r="X186" s="105"/>
    </row>
    <row r="187" spans="1:24" customFormat="1" ht="14.25">
      <c r="A187" s="93"/>
      <c r="B187" s="93"/>
      <c r="C187" s="93"/>
      <c r="D187" s="93"/>
      <c r="E187" s="93"/>
      <c r="F187" s="93"/>
      <c r="G187" s="93"/>
      <c r="H187" s="93"/>
      <c r="I187" s="93"/>
      <c r="J187" s="93"/>
      <c r="K187" s="93"/>
      <c r="L187" s="270"/>
      <c r="M187" s="272"/>
      <c r="N187" s="274"/>
      <c r="O187" s="79" t="s">
        <v>35</v>
      </c>
      <c r="P187" s="107">
        <f t="shared" ref="P187:W187" ca="1" si="119">MIN(IF($B188,P186+IF(ISNUMBER(O187),O187,0),P188/$N186),1)</f>
        <v>0</v>
      </c>
      <c r="Q187" s="77">
        <f t="shared" ca="1" si="119"/>
        <v>0</v>
      </c>
      <c r="R187" s="77">
        <f t="shared" ca="1" si="119"/>
        <v>0</v>
      </c>
      <c r="S187" s="77">
        <f t="shared" ca="1" si="119"/>
        <v>0</v>
      </c>
      <c r="T187" s="77">
        <f t="shared" ca="1" si="119"/>
        <v>0</v>
      </c>
      <c r="U187" s="77">
        <f t="shared" ca="1" si="119"/>
        <v>0</v>
      </c>
      <c r="V187" s="77">
        <f t="shared" ca="1" si="119"/>
        <v>1</v>
      </c>
      <c r="W187" s="77">
        <f t="shared" ca="1" si="119"/>
        <v>1</v>
      </c>
      <c r="X187" s="105"/>
    </row>
    <row r="188" spans="1:24" customFormat="1" ht="14.25">
      <c r="A188" s="93">
        <f ca="1">OFFSET(A188,-CFF.NumLinha,0)+1</f>
        <v>57</v>
      </c>
      <c r="B188" s="93" t="b">
        <f ca="1">$C188&gt;=OFFSET($C188,CFF.NumLinha,0)</f>
        <v>1</v>
      </c>
      <c r="C188" s="93">
        <f ca="1">INDEX(PO!A$11:A$1504,MATCH($A188,PO!$W$11:$W$1504,0))</f>
        <v>2</v>
      </c>
      <c r="D188" s="93">
        <f ca="1">IF(ISERROR(J188),I188,SMALL(I188:J188,1))-1</f>
        <v>2</v>
      </c>
      <c r="E188" s="93">
        <f ca="1">IF($C188=1,OFFSET(E188,-CFF.NumLinha,0)+1,OFFSET(E188,-CFF.NumLinha,0))</f>
        <v>8</v>
      </c>
      <c r="F188" s="93">
        <f ca="1">IF($C188=1,0,IF($C188=2,OFFSET(F188,-CFF.NumLinha,0)+1,OFFSET(F188,-CFF.NumLinha,0)))</f>
        <v>5</v>
      </c>
      <c r="G188" s="93">
        <f ca="1">IF(AND($C188&lt;=2,$C188&lt;&gt;0),0,IF($C188=3,OFFSET(G188,-CFF.NumLinha,0)+1,OFFSET(G188,-CFF.NumLinha,0)))</f>
        <v>0</v>
      </c>
      <c r="H188" s="93">
        <f ca="1">IF(AND($C188&lt;=3,$C188&lt;&gt;0),0,IF($C188=4,OFFSET(H188,-CFF.NumLinha,0)+1,OFFSET(H188,-CFF.NumLinha,0)))</f>
        <v>0</v>
      </c>
      <c r="I188" s="93">
        <f ca="1">MATCH(0,OFFSET($D188,1,$C188,ROW($A$435)-ROW($A188)),0)</f>
        <v>12</v>
      </c>
      <c r="J188" s="93">
        <f ca="1">MATCH(OFFSET($D188,0,$C188)+1,OFFSET($D188,1,$C188,ROW($A$435)-ROW($A188)),0)</f>
        <v>3</v>
      </c>
      <c r="K188" s="94">
        <f ca="1">ROUND(INDEX(PO!U$11:U$1504,MATCH($A188,PO!$W$11:$W$1504,0)),2)+10^-12</f>
        <v>3427.5600000000009</v>
      </c>
      <c r="L188" s="270"/>
      <c r="M188" s="272"/>
      <c r="N188" s="274"/>
      <c r="O188" s="115" t="s">
        <v>7</v>
      </c>
      <c r="P188" s="108">
        <f t="shared" ref="P188:W188" ca="1" si="120">IF($B188,ROUND(P187*$N186,2),ROUND(SUMIF(OFFSET($B188,1,0,$D188),TRUE,OFFSET(P188,1,0,$D188))/SUMIF(OFFSET($B188,1,0,$D188),TRUE,OFFSET($K188,1,0,$D188))*$N186,2))</f>
        <v>0</v>
      </c>
      <c r="Q188" s="78">
        <f t="shared" ca="1" si="120"/>
        <v>0</v>
      </c>
      <c r="R188" s="78">
        <f t="shared" ca="1" si="120"/>
        <v>0</v>
      </c>
      <c r="S188" s="78">
        <f t="shared" ca="1" si="120"/>
        <v>0</v>
      </c>
      <c r="T188" s="78">
        <f t="shared" ca="1" si="120"/>
        <v>0</v>
      </c>
      <c r="U188" s="78">
        <f t="shared" ca="1" si="120"/>
        <v>0</v>
      </c>
      <c r="V188" s="78">
        <f t="shared" ca="1" si="120"/>
        <v>3427.56</v>
      </c>
      <c r="W188" s="118">
        <f t="shared" ca="1" si="120"/>
        <v>3427.56</v>
      </c>
      <c r="X188" s="105"/>
    </row>
    <row r="189" spans="1:24" customFormat="1" ht="14.25" customHeight="1">
      <c r="A189" s="39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269" t="str">
        <f ca="1">INDEX(PO!K$11:K$1504,MATCH($A191,PO!$W$11:$W$1504,0))</f>
        <v>8.6.</v>
      </c>
      <c r="M189" s="271" t="str">
        <f ca="1">INDEX(PO!O$11:O$1504,MATCH($A191,PO!$W$11:$W$1504,0))</f>
        <v>Atividade 50 - Curso: Culinária com técnica em congelamento região Jardim Ikaraí</v>
      </c>
      <c r="N189" s="273">
        <f ca="1">IF(ROUND(K191,2)=0,K191,ROUND(K191,2))</f>
        <v>15714.1</v>
      </c>
      <c r="O189" s="113" t="s">
        <v>33</v>
      </c>
      <c r="P189" s="112"/>
      <c r="Q189" s="59"/>
      <c r="R189" s="59"/>
      <c r="S189" s="59"/>
      <c r="T189" s="59"/>
      <c r="U189" s="59"/>
      <c r="V189" s="59">
        <v>1</v>
      </c>
      <c r="W189" s="59"/>
      <c r="X189" s="105"/>
    </row>
    <row r="190" spans="1:24" customFormat="1" ht="14.25">
      <c r="A190" s="93"/>
      <c r="B190" s="93"/>
      <c r="C190" s="93"/>
      <c r="D190" s="93"/>
      <c r="E190" s="93"/>
      <c r="F190" s="93"/>
      <c r="G190" s="93"/>
      <c r="H190" s="93"/>
      <c r="I190" s="93"/>
      <c r="J190" s="93"/>
      <c r="K190" s="93"/>
      <c r="L190" s="270"/>
      <c r="M190" s="272"/>
      <c r="N190" s="274"/>
      <c r="O190" s="79" t="s">
        <v>35</v>
      </c>
      <c r="P190" s="107">
        <f t="shared" ref="P190:W190" ca="1" si="121">MIN(IF($B191,P189+IF(ISNUMBER(O190),O190,0),P191/$N189),1)</f>
        <v>0</v>
      </c>
      <c r="Q190" s="77">
        <f t="shared" ca="1" si="121"/>
        <v>0</v>
      </c>
      <c r="R190" s="77">
        <f t="shared" ca="1" si="121"/>
        <v>0</v>
      </c>
      <c r="S190" s="77">
        <f t="shared" ca="1" si="121"/>
        <v>0</v>
      </c>
      <c r="T190" s="77">
        <f t="shared" ca="1" si="121"/>
        <v>0</v>
      </c>
      <c r="U190" s="77">
        <f t="shared" ca="1" si="121"/>
        <v>0</v>
      </c>
      <c r="V190" s="77">
        <f t="shared" ca="1" si="121"/>
        <v>1</v>
      </c>
      <c r="W190" s="77">
        <f t="shared" ca="1" si="121"/>
        <v>1</v>
      </c>
      <c r="X190" s="105"/>
    </row>
    <row r="191" spans="1:24" customFormat="1" ht="14.25">
      <c r="A191" s="93">
        <f ca="1">OFFSET(A191,-CFF.NumLinha,0)+1</f>
        <v>58</v>
      </c>
      <c r="B191" s="93" t="b">
        <f ca="1">$C191&gt;=OFFSET($C191,CFF.NumLinha,0)</f>
        <v>1</v>
      </c>
      <c r="C191" s="93">
        <f ca="1">INDEX(PO!A$11:A$1504,MATCH($A191,PO!$W$11:$W$1504,0))</f>
        <v>2</v>
      </c>
      <c r="D191" s="93">
        <f ca="1">IF(ISERROR(J191),I191,SMALL(I191:J191,1))-1</f>
        <v>2</v>
      </c>
      <c r="E191" s="93">
        <f ca="1">IF($C191=1,OFFSET(E191,-CFF.NumLinha,0)+1,OFFSET(E191,-CFF.NumLinha,0))</f>
        <v>8</v>
      </c>
      <c r="F191" s="93">
        <f ca="1">IF($C191=1,0,IF($C191=2,OFFSET(F191,-CFF.NumLinha,0)+1,OFFSET(F191,-CFF.NumLinha,0)))</f>
        <v>6</v>
      </c>
      <c r="G191" s="93">
        <f ca="1">IF(AND($C191&lt;=2,$C191&lt;&gt;0),0,IF($C191=3,OFFSET(G191,-CFF.NumLinha,0)+1,OFFSET(G191,-CFF.NumLinha,0)))</f>
        <v>0</v>
      </c>
      <c r="H191" s="93">
        <f ca="1">IF(AND($C191&lt;=3,$C191&lt;&gt;0),0,IF($C191=4,OFFSET(H191,-CFF.NumLinha,0)+1,OFFSET(H191,-CFF.NumLinha,0)))</f>
        <v>0</v>
      </c>
      <c r="I191" s="93">
        <f ca="1">MATCH(0,OFFSET($D191,1,$C191,ROW($A$435)-ROW($A191)),0)</f>
        <v>9</v>
      </c>
      <c r="J191" s="93">
        <f ca="1">MATCH(OFFSET($D191,0,$C191)+1,OFFSET($D191,1,$C191,ROW($A$435)-ROW($A191)),0)</f>
        <v>3</v>
      </c>
      <c r="K191" s="94">
        <f ca="1">ROUND(INDEX(PO!U$11:U$1504,MATCH($A191,PO!$W$11:$W$1504,0)),2)+10^-12</f>
        <v>15714.100000000002</v>
      </c>
      <c r="L191" s="270"/>
      <c r="M191" s="272"/>
      <c r="N191" s="274"/>
      <c r="O191" s="115" t="s">
        <v>7</v>
      </c>
      <c r="P191" s="108">
        <f t="shared" ref="P191:W191" ca="1" si="122">IF($B191,ROUND(P190*$N189,2),ROUND(SUMIF(OFFSET($B191,1,0,$D191),TRUE,OFFSET(P191,1,0,$D191))/SUMIF(OFFSET($B191,1,0,$D191),TRUE,OFFSET($K191,1,0,$D191))*$N189,2))</f>
        <v>0</v>
      </c>
      <c r="Q191" s="78">
        <f t="shared" ca="1" si="122"/>
        <v>0</v>
      </c>
      <c r="R191" s="78">
        <f t="shared" ca="1" si="122"/>
        <v>0</v>
      </c>
      <c r="S191" s="78">
        <f t="shared" ca="1" si="122"/>
        <v>0</v>
      </c>
      <c r="T191" s="78">
        <f t="shared" ca="1" si="122"/>
        <v>0</v>
      </c>
      <c r="U191" s="78">
        <f t="shared" ca="1" si="122"/>
        <v>0</v>
      </c>
      <c r="V191" s="78">
        <f t="shared" ca="1" si="122"/>
        <v>15714.1</v>
      </c>
      <c r="W191" s="118">
        <f t="shared" ca="1" si="122"/>
        <v>15714.1</v>
      </c>
      <c r="X191" s="105"/>
    </row>
    <row r="192" spans="1:24" customFormat="1" ht="14.25" customHeight="1">
      <c r="A192" s="3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269" t="str">
        <f ca="1">INDEX(PO!K$11:K$1504,MATCH($A194,PO!$W$11:$W$1504,0))</f>
        <v>8.7.</v>
      </c>
      <c r="M192" s="271" t="str">
        <f ca="1">INDEX(PO!O$11:O$1504,MATCH($A194,PO!$W$11:$W$1504,0))</f>
        <v>Atividade 51 - Curso: Cupcake/Bolo de pote região Parque São João</v>
      </c>
      <c r="N192" s="273">
        <f ca="1">IF(ROUND(K194,2)=0,K194,ROUND(K194,2))</f>
        <v>9513.81</v>
      </c>
      <c r="O192" s="113" t="s">
        <v>33</v>
      </c>
      <c r="P192" s="112"/>
      <c r="Q192" s="59"/>
      <c r="R192" s="59"/>
      <c r="S192" s="59"/>
      <c r="T192" s="59"/>
      <c r="U192" s="59"/>
      <c r="V192" s="59">
        <v>1</v>
      </c>
      <c r="W192" s="59"/>
      <c r="X192" s="105"/>
    </row>
    <row r="193" spans="1:24" customFormat="1" ht="14.25">
      <c r="A193" s="93"/>
      <c r="B193" s="93"/>
      <c r="C193" s="93"/>
      <c r="D193" s="93"/>
      <c r="E193" s="93"/>
      <c r="F193" s="93"/>
      <c r="G193" s="93"/>
      <c r="H193" s="93"/>
      <c r="I193" s="93"/>
      <c r="J193" s="93"/>
      <c r="K193" s="93"/>
      <c r="L193" s="270"/>
      <c r="M193" s="272"/>
      <c r="N193" s="274"/>
      <c r="O193" s="79" t="s">
        <v>35</v>
      </c>
      <c r="P193" s="107">
        <f t="shared" ref="P193:W193" ca="1" si="123">MIN(IF($B194,P192+IF(ISNUMBER(O193),O193,0),P194/$N192),1)</f>
        <v>0</v>
      </c>
      <c r="Q193" s="77">
        <f t="shared" ca="1" si="123"/>
        <v>0</v>
      </c>
      <c r="R193" s="77">
        <f t="shared" ca="1" si="123"/>
        <v>0</v>
      </c>
      <c r="S193" s="77">
        <f t="shared" ca="1" si="123"/>
        <v>0</v>
      </c>
      <c r="T193" s="77">
        <f t="shared" ca="1" si="123"/>
        <v>0</v>
      </c>
      <c r="U193" s="77">
        <f t="shared" ca="1" si="123"/>
        <v>0</v>
      </c>
      <c r="V193" s="77">
        <f t="shared" ca="1" si="123"/>
        <v>1</v>
      </c>
      <c r="W193" s="77">
        <f t="shared" ca="1" si="123"/>
        <v>1</v>
      </c>
      <c r="X193" s="105"/>
    </row>
    <row r="194" spans="1:24" customFormat="1" ht="14.25">
      <c r="A194" s="93">
        <f ca="1">OFFSET(A194,-CFF.NumLinha,0)+1</f>
        <v>59</v>
      </c>
      <c r="B194" s="93" t="b">
        <f ca="1">$C194&gt;=OFFSET($C194,CFF.NumLinha,0)</f>
        <v>1</v>
      </c>
      <c r="C194" s="93">
        <f ca="1">INDEX(PO!A$11:A$1504,MATCH($A194,PO!$W$11:$W$1504,0))</f>
        <v>2</v>
      </c>
      <c r="D194" s="93">
        <f ca="1">IF(ISERROR(J194),I194,SMALL(I194:J194,1))-1</f>
        <v>2</v>
      </c>
      <c r="E194" s="93">
        <f ca="1">IF($C194=1,OFFSET(E194,-CFF.NumLinha,0)+1,OFFSET(E194,-CFF.NumLinha,0))</f>
        <v>8</v>
      </c>
      <c r="F194" s="93">
        <f ca="1">IF($C194=1,0,IF($C194=2,OFFSET(F194,-CFF.NumLinha,0)+1,OFFSET(F194,-CFF.NumLinha,0)))</f>
        <v>7</v>
      </c>
      <c r="G194" s="93">
        <f ca="1">IF(AND($C194&lt;=2,$C194&lt;&gt;0),0,IF($C194=3,OFFSET(G194,-CFF.NumLinha,0)+1,OFFSET(G194,-CFF.NumLinha,0)))</f>
        <v>0</v>
      </c>
      <c r="H194" s="93">
        <f ca="1">IF(AND($C194&lt;=3,$C194&lt;&gt;0),0,IF($C194=4,OFFSET(H194,-CFF.NumLinha,0)+1,OFFSET(H194,-CFF.NumLinha,0)))</f>
        <v>0</v>
      </c>
      <c r="I194" s="93">
        <f ca="1">MATCH(0,OFFSET($D194,1,$C194,ROW($A$435)-ROW($A194)),0)</f>
        <v>6</v>
      </c>
      <c r="J194" s="93">
        <f ca="1">MATCH(OFFSET($D194,0,$C194)+1,OFFSET($D194,1,$C194,ROW($A$435)-ROW($A194)),0)</f>
        <v>3</v>
      </c>
      <c r="K194" s="94">
        <f ca="1">ROUND(INDEX(PO!U$11:U$1504,MATCH($A194,PO!$W$11:$W$1504,0)),2)+10^-12</f>
        <v>9513.8100000000013</v>
      </c>
      <c r="L194" s="270"/>
      <c r="M194" s="272"/>
      <c r="N194" s="274"/>
      <c r="O194" s="115" t="s">
        <v>7</v>
      </c>
      <c r="P194" s="108">
        <f t="shared" ref="P194:W194" ca="1" si="124">IF($B194,ROUND(P193*$N192,2),ROUND(SUMIF(OFFSET($B194,1,0,$D194),TRUE,OFFSET(P194,1,0,$D194))/SUMIF(OFFSET($B194,1,0,$D194),TRUE,OFFSET($K194,1,0,$D194))*$N192,2))</f>
        <v>0</v>
      </c>
      <c r="Q194" s="78">
        <f t="shared" ca="1" si="124"/>
        <v>0</v>
      </c>
      <c r="R194" s="78">
        <f t="shared" ca="1" si="124"/>
        <v>0</v>
      </c>
      <c r="S194" s="78">
        <f t="shared" ca="1" si="124"/>
        <v>0</v>
      </c>
      <c r="T194" s="78">
        <f t="shared" ca="1" si="124"/>
        <v>0</v>
      </c>
      <c r="U194" s="78">
        <f t="shared" ca="1" si="124"/>
        <v>0</v>
      </c>
      <c r="V194" s="78">
        <f t="shared" ca="1" si="124"/>
        <v>9513.81</v>
      </c>
      <c r="W194" s="118">
        <f t="shared" ca="1" si="124"/>
        <v>9513.81</v>
      </c>
      <c r="X194" s="105"/>
    </row>
    <row r="195" spans="1:24" customFormat="1" ht="14.25" customHeight="1">
      <c r="A195" s="39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269" t="str">
        <f ca="1">INDEX(PO!K$11:K$1504,MATCH($A197,PO!$W$11:$W$1504,0))</f>
        <v>8.8.</v>
      </c>
      <c r="M195" s="271" t="str">
        <f ca="1">INDEX(PO!O$11:O$1504,MATCH($A197,PO!$W$11:$W$1504,0))</f>
        <v>Atividade 52 - Curso: Cupcake/Bolo de pote região Jardim Ikaraí</v>
      </c>
      <c r="N195" s="273">
        <f ca="1">IF(ROUND(K197,2)=0,K197,ROUND(K197,2))</f>
        <v>9503.42</v>
      </c>
      <c r="O195" s="113" t="s">
        <v>33</v>
      </c>
      <c r="P195" s="112"/>
      <c r="Q195" s="59"/>
      <c r="R195" s="59"/>
      <c r="S195" s="59"/>
      <c r="T195" s="59"/>
      <c r="U195" s="59"/>
      <c r="V195" s="59">
        <v>1</v>
      </c>
      <c r="W195" s="59"/>
      <c r="X195" s="105"/>
    </row>
    <row r="196" spans="1:24" customFormat="1" ht="14.25">
      <c r="A196" s="93"/>
      <c r="B196" s="93"/>
      <c r="C196" s="93"/>
      <c r="D196" s="93"/>
      <c r="E196" s="93"/>
      <c r="F196" s="93"/>
      <c r="G196" s="93"/>
      <c r="H196" s="93"/>
      <c r="I196" s="93"/>
      <c r="J196" s="93"/>
      <c r="K196" s="93"/>
      <c r="L196" s="270"/>
      <c r="M196" s="272"/>
      <c r="N196" s="274"/>
      <c r="O196" s="79" t="s">
        <v>35</v>
      </c>
      <c r="P196" s="107">
        <f t="shared" ref="P196:W196" ca="1" si="125">MIN(IF($B197,P195+IF(ISNUMBER(O196),O196,0),P197/$N195),1)</f>
        <v>0</v>
      </c>
      <c r="Q196" s="77">
        <f t="shared" ca="1" si="125"/>
        <v>0</v>
      </c>
      <c r="R196" s="77">
        <f t="shared" ca="1" si="125"/>
        <v>0</v>
      </c>
      <c r="S196" s="77">
        <f t="shared" ca="1" si="125"/>
        <v>0</v>
      </c>
      <c r="T196" s="77">
        <f t="shared" ca="1" si="125"/>
        <v>0</v>
      </c>
      <c r="U196" s="77">
        <f t="shared" ca="1" si="125"/>
        <v>0</v>
      </c>
      <c r="V196" s="77">
        <f t="shared" ca="1" si="125"/>
        <v>1</v>
      </c>
      <c r="W196" s="77">
        <f t="shared" ca="1" si="125"/>
        <v>1</v>
      </c>
      <c r="X196" s="105"/>
    </row>
    <row r="197" spans="1:24" customFormat="1" ht="14.25">
      <c r="A197" s="93">
        <f ca="1">OFFSET(A197,-CFF.NumLinha,0)+1</f>
        <v>60</v>
      </c>
      <c r="B197" s="93" t="b">
        <f ca="1">$C197&gt;=OFFSET($C197,CFF.NumLinha,0)</f>
        <v>1</v>
      </c>
      <c r="C197" s="93">
        <f ca="1">INDEX(PO!A$11:A$1504,MATCH($A197,PO!$W$11:$W$1504,0))</f>
        <v>2</v>
      </c>
      <c r="D197" s="93">
        <f ca="1">IF(ISERROR(J197),I197,SMALL(I197:J197,1))-1</f>
        <v>2</v>
      </c>
      <c r="E197" s="93">
        <f ca="1">IF($C197=1,OFFSET(E197,-CFF.NumLinha,0)+1,OFFSET(E197,-CFF.NumLinha,0))</f>
        <v>8</v>
      </c>
      <c r="F197" s="93">
        <f ca="1">IF($C197=1,0,IF($C197=2,OFFSET(F197,-CFF.NumLinha,0)+1,OFFSET(F197,-CFF.NumLinha,0)))</f>
        <v>8</v>
      </c>
      <c r="G197" s="93">
        <f ca="1">IF(AND($C197&lt;=2,$C197&lt;&gt;0),0,IF($C197=3,OFFSET(G197,-CFF.NumLinha,0)+1,OFFSET(G197,-CFF.NumLinha,0)))</f>
        <v>0</v>
      </c>
      <c r="H197" s="93">
        <f ca="1">IF(AND($C197&lt;=3,$C197&lt;&gt;0),0,IF($C197=4,OFFSET(H197,-CFF.NumLinha,0)+1,OFFSET(H197,-CFF.NumLinha,0)))</f>
        <v>0</v>
      </c>
      <c r="I197" s="93">
        <f ca="1">MATCH(0,OFFSET($D197,1,$C197,ROW($A$435)-ROW($A197)),0)</f>
        <v>3</v>
      </c>
      <c r="J197" s="93">
        <f ca="1">MATCH(OFFSET($D197,0,$C197)+1,OFFSET($D197,1,$C197,ROW($A$435)-ROW($A197)),0)</f>
        <v>30</v>
      </c>
      <c r="K197" s="94">
        <f ca="1">ROUND(INDEX(PO!U$11:U$1504,MATCH($A197,PO!$W$11:$W$1504,0)),2)+10^-12</f>
        <v>9503.4200000000019</v>
      </c>
      <c r="L197" s="270"/>
      <c r="M197" s="272"/>
      <c r="N197" s="274"/>
      <c r="O197" s="115" t="s">
        <v>7</v>
      </c>
      <c r="P197" s="108">
        <f t="shared" ref="P197:W197" ca="1" si="126">IF($B197,ROUND(P196*$N195,2),ROUND(SUMIF(OFFSET($B197,1,0,$D197),TRUE,OFFSET(P197,1,0,$D197))/SUMIF(OFFSET($B197,1,0,$D197),TRUE,OFFSET($K197,1,0,$D197))*$N195,2))</f>
        <v>0</v>
      </c>
      <c r="Q197" s="78">
        <f t="shared" ca="1" si="126"/>
        <v>0</v>
      </c>
      <c r="R197" s="78">
        <f t="shared" ca="1" si="126"/>
        <v>0</v>
      </c>
      <c r="S197" s="78">
        <f t="shared" ca="1" si="126"/>
        <v>0</v>
      </c>
      <c r="T197" s="78">
        <f t="shared" ca="1" si="126"/>
        <v>0</v>
      </c>
      <c r="U197" s="78">
        <f t="shared" ca="1" si="126"/>
        <v>0</v>
      </c>
      <c r="V197" s="78">
        <f t="shared" ca="1" si="126"/>
        <v>9503.42</v>
      </c>
      <c r="W197" s="118">
        <f t="shared" ca="1" si="126"/>
        <v>9503.42</v>
      </c>
      <c r="X197" s="105"/>
    </row>
    <row r="198" spans="1:24" customFormat="1" ht="14.25" customHeight="1">
      <c r="A198" s="39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269" t="str">
        <f ca="1">INDEX(PO!K$11:K$1504,MATCH($A200,PO!$W$11:$W$1504,0))</f>
        <v>9.</v>
      </c>
      <c r="M198" s="271" t="str">
        <f ca="1">INDEX(PO!O$11:O$1504,MATCH($A200,PO!$W$11:$W$1504,0))</f>
        <v>MÊS 09 - GERAÇÃO DE RENDA E INFORMAÇÕES/PALESTRA</v>
      </c>
      <c r="N198" s="273">
        <f ca="1">IF(ROUND(K200,2)=0,K200,ROUND(K200,2))</f>
        <v>81651.23</v>
      </c>
      <c r="O198" s="113" t="s">
        <v>33</v>
      </c>
      <c r="P198" s="112"/>
      <c r="Q198" s="59"/>
      <c r="R198" s="59"/>
      <c r="S198" s="59"/>
      <c r="T198" s="59"/>
      <c r="U198" s="59"/>
      <c r="V198" s="59">
        <v>1</v>
      </c>
      <c r="W198" s="59"/>
      <c r="X198" s="105"/>
    </row>
    <row r="199" spans="1:24" customFormat="1" ht="14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270"/>
      <c r="M199" s="272"/>
      <c r="N199" s="274"/>
      <c r="O199" s="79" t="s">
        <v>35</v>
      </c>
      <c r="P199" s="107">
        <f t="shared" ref="P199:W199" ca="1" si="127">MIN(IF($B200,P198+IF(ISNUMBER(O199),O199,0),P200/$N198),1)</f>
        <v>0</v>
      </c>
      <c r="Q199" s="77">
        <f t="shared" ca="1" si="127"/>
        <v>0</v>
      </c>
      <c r="R199" s="77">
        <f t="shared" ca="1" si="127"/>
        <v>0</v>
      </c>
      <c r="S199" s="77">
        <f t="shared" ca="1" si="127"/>
        <v>0</v>
      </c>
      <c r="T199" s="77">
        <f t="shared" ca="1" si="127"/>
        <v>0</v>
      </c>
      <c r="U199" s="77">
        <f t="shared" ca="1" si="127"/>
        <v>0</v>
      </c>
      <c r="V199" s="77">
        <f t="shared" ca="1" si="127"/>
        <v>0.21750511290521896</v>
      </c>
      <c r="W199" s="77">
        <f t="shared" ca="1" si="127"/>
        <v>0.82730866393561997</v>
      </c>
      <c r="X199" s="105"/>
    </row>
    <row r="200" spans="1:24" customFormat="1" ht="14.25">
      <c r="A200" s="93">
        <f ca="1">OFFSET(A200,-CFF.NumLinha,0)+1</f>
        <v>61</v>
      </c>
      <c r="B200" s="93" t="b">
        <f ca="1">$C200&gt;=OFFSET($C200,CFF.NumLinha,0)</f>
        <v>0</v>
      </c>
      <c r="C200" s="93">
        <f ca="1">INDEX(PO!A$11:A$1504,MATCH($A200,PO!$W$11:$W$1504,0))</f>
        <v>1</v>
      </c>
      <c r="D200" s="93">
        <f ca="1">IF(ISERROR(J200),I200,SMALL(I200:J200,1))-1</f>
        <v>35</v>
      </c>
      <c r="E200" s="93">
        <f ca="1">IF($C200=1,OFFSET(E200,-CFF.NumLinha,0)+1,OFFSET(E200,-CFF.NumLinha,0))</f>
        <v>9</v>
      </c>
      <c r="F200" s="93">
        <f ca="1">IF($C200=1,0,IF($C200=2,OFFSET(F200,-CFF.NumLinha,0)+1,OFFSET(F200,-CFF.NumLinha,0)))</f>
        <v>0</v>
      </c>
      <c r="G200" s="93">
        <f ca="1">IF(AND($C200&lt;=2,$C200&lt;&gt;0),0,IF($C200=3,OFFSET(G200,-CFF.NumLinha,0)+1,OFFSET(G200,-CFF.NumLinha,0)))</f>
        <v>0</v>
      </c>
      <c r="H200" s="93">
        <f ca="1">IF(AND($C200&lt;=3,$C200&lt;&gt;0),0,IF($C200=4,OFFSET(H200,-CFF.NumLinha,0)+1,OFFSET(H200,-CFF.NumLinha,0)))</f>
        <v>0</v>
      </c>
      <c r="I200" s="93">
        <f ca="1">MATCH(0,OFFSET($D200,1,$C200,ROW($A$435)-ROW($A200)),0)</f>
        <v>235</v>
      </c>
      <c r="J200" s="93">
        <f ca="1">MATCH(OFFSET($D200,0,$C200)+1,OFFSET($D200,1,$C200,ROW($A$435)-ROW($A200)),0)</f>
        <v>36</v>
      </c>
      <c r="K200" s="94">
        <f ca="1">ROUND(INDEX(PO!U$11:U$1504,MATCH($A200,PO!$W$11:$W$1504,0)),2)+10^-12</f>
        <v>81651.23</v>
      </c>
      <c r="L200" s="270"/>
      <c r="M200" s="272"/>
      <c r="N200" s="274"/>
      <c r="O200" s="115" t="s">
        <v>7</v>
      </c>
      <c r="P200" s="108">
        <f t="shared" ref="P200:W200" ca="1" si="128">IF($B200,ROUND(P199*$N198,2),ROUND(SUMIF(OFFSET($B200,1,0,$D200),TRUE,OFFSET(P200,1,0,$D200))/SUMIF(OFFSET($B200,1,0,$D200),TRUE,OFFSET($K200,1,0,$D200))*$N198,2))</f>
        <v>0</v>
      </c>
      <c r="Q200" s="78">
        <f t="shared" ca="1" si="128"/>
        <v>0</v>
      </c>
      <c r="R200" s="78">
        <f t="shared" ca="1" si="128"/>
        <v>0</v>
      </c>
      <c r="S200" s="78">
        <f t="shared" ca="1" si="128"/>
        <v>0</v>
      </c>
      <c r="T200" s="78">
        <f t="shared" ca="1" si="128"/>
        <v>0</v>
      </c>
      <c r="U200" s="78">
        <f t="shared" ca="1" si="128"/>
        <v>0</v>
      </c>
      <c r="V200" s="78">
        <f t="shared" ca="1" si="128"/>
        <v>17759.560000000001</v>
      </c>
      <c r="W200" s="118">
        <f t="shared" ca="1" si="128"/>
        <v>67550.77</v>
      </c>
      <c r="X200" s="105"/>
    </row>
    <row r="201" spans="1:24" customFormat="1" ht="14.25" customHeight="1">
      <c r="A201" s="39"/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269" t="str">
        <f ca="1">INDEX(PO!K$11:K$1504,MATCH($A203,PO!$W$11:$W$1504,0))</f>
        <v>9.1.</v>
      </c>
      <c r="M201" s="271" t="str">
        <f ca="1">INDEX(PO!O$11:O$1504,MATCH($A203,PO!$W$11:$W$1504,0))</f>
        <v>Atividade 53 - Curso: Manicure/pedicure região Parque São João</v>
      </c>
      <c r="N201" s="273">
        <f ca="1">IF(ROUND(K203,2)=0,K203,ROUND(K203,2))</f>
        <v>17759.560000000001</v>
      </c>
      <c r="O201" s="113" t="s">
        <v>33</v>
      </c>
      <c r="P201" s="112"/>
      <c r="Q201" s="59"/>
      <c r="R201" s="59"/>
      <c r="S201" s="59"/>
      <c r="T201" s="59"/>
      <c r="U201" s="59"/>
      <c r="V201" s="59">
        <v>1</v>
      </c>
      <c r="W201" s="59"/>
      <c r="X201" s="105"/>
    </row>
    <row r="202" spans="1:24" customFormat="1" ht="14.25">
      <c r="A202" s="93"/>
      <c r="B202" s="93"/>
      <c r="C202" s="93"/>
      <c r="D202" s="93"/>
      <c r="E202" s="93"/>
      <c r="F202" s="93"/>
      <c r="G202" s="93"/>
      <c r="H202" s="93"/>
      <c r="I202" s="93"/>
      <c r="J202" s="93"/>
      <c r="K202" s="93"/>
      <c r="L202" s="270"/>
      <c r="M202" s="272"/>
      <c r="N202" s="274"/>
      <c r="O202" s="79" t="s">
        <v>35</v>
      </c>
      <c r="P202" s="107">
        <f t="shared" ref="P202:W202" ca="1" si="129">MIN(IF($B203,P201+IF(ISNUMBER(O202),O202,0),P203/$N201),1)</f>
        <v>0</v>
      </c>
      <c r="Q202" s="77">
        <f t="shared" ca="1" si="129"/>
        <v>0</v>
      </c>
      <c r="R202" s="77">
        <f t="shared" ca="1" si="129"/>
        <v>0</v>
      </c>
      <c r="S202" s="77">
        <f t="shared" ca="1" si="129"/>
        <v>0</v>
      </c>
      <c r="T202" s="77">
        <f t="shared" ca="1" si="129"/>
        <v>0</v>
      </c>
      <c r="U202" s="77">
        <f t="shared" ca="1" si="129"/>
        <v>0</v>
      </c>
      <c r="V202" s="77">
        <f t="shared" ca="1" si="129"/>
        <v>1</v>
      </c>
      <c r="W202" s="77">
        <f t="shared" ca="1" si="129"/>
        <v>1</v>
      </c>
      <c r="X202" s="105"/>
    </row>
    <row r="203" spans="1:24" customFormat="1" ht="14.25">
      <c r="A203" s="93">
        <f ca="1">OFFSET(A203,-CFF.NumLinha,0)+1</f>
        <v>62</v>
      </c>
      <c r="B203" s="93" t="b">
        <f ca="1">$C203&gt;=OFFSET($C203,CFF.NumLinha,0)</f>
        <v>1</v>
      </c>
      <c r="C203" s="93">
        <f ca="1">INDEX(PO!A$11:A$1504,MATCH($A203,PO!$W$11:$W$1504,0))</f>
        <v>2</v>
      </c>
      <c r="D203" s="93">
        <f ca="1">IF(ISERROR(J203),I203,SMALL(I203:J203,1))-1</f>
        <v>2</v>
      </c>
      <c r="E203" s="93">
        <f ca="1">IF($C203=1,OFFSET(E203,-CFF.NumLinha,0)+1,OFFSET(E203,-CFF.NumLinha,0))</f>
        <v>9</v>
      </c>
      <c r="F203" s="93">
        <f ca="1">IF($C203=1,0,IF($C203=2,OFFSET(F203,-CFF.NumLinha,0)+1,OFFSET(F203,-CFF.NumLinha,0)))</f>
        <v>1</v>
      </c>
      <c r="G203" s="93">
        <f ca="1">IF(AND($C203&lt;=2,$C203&lt;&gt;0),0,IF($C203=3,OFFSET(G203,-CFF.NumLinha,0)+1,OFFSET(G203,-CFF.NumLinha,0)))</f>
        <v>0</v>
      </c>
      <c r="H203" s="93">
        <f ca="1">IF(AND($C203&lt;=3,$C203&lt;&gt;0),0,IF($C203=4,OFFSET(H203,-CFF.NumLinha,0)+1,OFFSET(H203,-CFF.NumLinha,0)))</f>
        <v>0</v>
      </c>
      <c r="I203" s="93">
        <f ca="1">MATCH(0,OFFSET($D203,1,$C203,ROW($A$435)-ROW($A203)),0)</f>
        <v>33</v>
      </c>
      <c r="J203" s="93">
        <f ca="1">MATCH(OFFSET($D203,0,$C203)+1,OFFSET($D203,1,$C203,ROW($A$435)-ROW($A203)),0)</f>
        <v>3</v>
      </c>
      <c r="K203" s="94">
        <f ca="1">ROUND(INDEX(PO!U$11:U$1504,MATCH($A203,PO!$W$11:$W$1504,0)),2)+10^-12</f>
        <v>17759.560000000001</v>
      </c>
      <c r="L203" s="270"/>
      <c r="M203" s="272"/>
      <c r="N203" s="274"/>
      <c r="O203" s="115" t="s">
        <v>7</v>
      </c>
      <c r="P203" s="108">
        <f t="shared" ref="P203:W203" ca="1" si="130">IF($B203,ROUND(P202*$N201,2),ROUND(SUMIF(OFFSET($B203,1,0,$D203),TRUE,OFFSET(P203,1,0,$D203))/SUMIF(OFFSET($B203,1,0,$D203),TRUE,OFFSET($K203,1,0,$D203))*$N201,2))</f>
        <v>0</v>
      </c>
      <c r="Q203" s="78">
        <f t="shared" ca="1" si="130"/>
        <v>0</v>
      </c>
      <c r="R203" s="78">
        <f t="shared" ca="1" si="130"/>
        <v>0</v>
      </c>
      <c r="S203" s="78">
        <f t="shared" ca="1" si="130"/>
        <v>0</v>
      </c>
      <c r="T203" s="78">
        <f t="shared" ca="1" si="130"/>
        <v>0</v>
      </c>
      <c r="U203" s="78">
        <f t="shared" ca="1" si="130"/>
        <v>0</v>
      </c>
      <c r="V203" s="78">
        <f t="shared" ca="1" si="130"/>
        <v>17759.560000000001</v>
      </c>
      <c r="W203" s="118">
        <f t="shared" ca="1" si="130"/>
        <v>17759.560000000001</v>
      </c>
      <c r="X203" s="105"/>
    </row>
    <row r="204" spans="1:24" customFormat="1" ht="14.25" customHeight="1">
      <c r="A204" s="39"/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269" t="str">
        <f ca="1">INDEX(PO!K$11:K$1504,MATCH($A206,PO!$W$11:$W$1504,0))</f>
        <v>9.2.</v>
      </c>
      <c r="M204" s="271" t="str">
        <f ca="1">INDEX(PO!O$11:O$1504,MATCH($A206,PO!$W$11:$W$1504,0))</f>
        <v>Atividade 54 - Visita dos beneficiários com UHs e CAO as obras região Parque São João</v>
      </c>
      <c r="N204" s="273">
        <f ca="1">IF(ROUND(K206,2)=0,K206,ROUND(K206,2))</f>
        <v>3946.8</v>
      </c>
      <c r="O204" s="113" t="s">
        <v>33</v>
      </c>
      <c r="P204" s="112"/>
      <c r="Q204" s="59"/>
      <c r="R204" s="59"/>
      <c r="S204" s="59"/>
      <c r="T204" s="59"/>
      <c r="U204" s="59"/>
      <c r="V204" s="59"/>
      <c r="W204" s="59">
        <f ca="1">IF($B206,0,W205-IF(ISNUMBER(V205),V205,0))</f>
        <v>0</v>
      </c>
      <c r="X204" s="105"/>
    </row>
    <row r="205" spans="1:24" customFormat="1" ht="14.25">
      <c r="A205" s="93"/>
      <c r="B205" s="93"/>
      <c r="C205" s="93"/>
      <c r="D205" s="93"/>
      <c r="E205" s="93"/>
      <c r="F205" s="93"/>
      <c r="G205" s="93"/>
      <c r="H205" s="93"/>
      <c r="I205" s="93"/>
      <c r="J205" s="93"/>
      <c r="K205" s="93"/>
      <c r="L205" s="270"/>
      <c r="M205" s="272"/>
      <c r="N205" s="274"/>
      <c r="O205" s="79" t="s">
        <v>35</v>
      </c>
      <c r="P205" s="107">
        <f t="shared" ref="P205:W205" ca="1" si="131">MIN(IF($B206,P204+IF(ISNUMBER(O205),O205,0),P206/$N204),1)</f>
        <v>0</v>
      </c>
      <c r="Q205" s="77">
        <f t="shared" ca="1" si="131"/>
        <v>0</v>
      </c>
      <c r="R205" s="77">
        <f t="shared" ca="1" si="131"/>
        <v>0</v>
      </c>
      <c r="S205" s="77">
        <f t="shared" ca="1" si="131"/>
        <v>0</v>
      </c>
      <c r="T205" s="77">
        <f t="shared" ca="1" si="131"/>
        <v>0</v>
      </c>
      <c r="U205" s="77">
        <f t="shared" ca="1" si="131"/>
        <v>0</v>
      </c>
      <c r="V205" s="77">
        <f t="shared" ca="1" si="131"/>
        <v>0</v>
      </c>
      <c r="W205" s="77">
        <f t="shared" ca="1" si="131"/>
        <v>0</v>
      </c>
      <c r="X205" s="105"/>
    </row>
    <row r="206" spans="1:24" customFormat="1" ht="14.25">
      <c r="A206" s="93">
        <f ca="1">OFFSET(A206,-CFF.NumLinha,0)+1</f>
        <v>63</v>
      </c>
      <c r="B206" s="93" t="b">
        <f ca="1">$C206&gt;=OFFSET($C206,CFF.NumLinha,0)</f>
        <v>1</v>
      </c>
      <c r="C206" s="93">
        <f ca="1">INDEX(PO!A$11:A$1504,MATCH($A206,PO!$W$11:$W$1504,0))</f>
        <v>2</v>
      </c>
      <c r="D206" s="93">
        <f ca="1">IF(ISERROR(J206),I206,SMALL(I206:J206,1))-1</f>
        <v>2</v>
      </c>
      <c r="E206" s="93">
        <f ca="1">IF($C206=1,OFFSET(E206,-CFF.NumLinha,0)+1,OFFSET(E206,-CFF.NumLinha,0))</f>
        <v>9</v>
      </c>
      <c r="F206" s="93">
        <f ca="1">IF($C206=1,0,IF($C206=2,OFFSET(F206,-CFF.NumLinha,0)+1,OFFSET(F206,-CFF.NumLinha,0)))</f>
        <v>2</v>
      </c>
      <c r="G206" s="93">
        <f ca="1">IF(AND($C206&lt;=2,$C206&lt;&gt;0),0,IF($C206=3,OFFSET(G206,-CFF.NumLinha,0)+1,OFFSET(G206,-CFF.NumLinha,0)))</f>
        <v>0</v>
      </c>
      <c r="H206" s="93">
        <f ca="1">IF(AND($C206&lt;=3,$C206&lt;&gt;0),0,IF($C206=4,OFFSET(H206,-CFF.NumLinha,0)+1,OFFSET(H206,-CFF.NumLinha,0)))</f>
        <v>0</v>
      </c>
      <c r="I206" s="93">
        <f ca="1">MATCH(0,OFFSET($D206,1,$C206,ROW($A$435)-ROW($A206)),0)</f>
        <v>30</v>
      </c>
      <c r="J206" s="93">
        <f ca="1">MATCH(OFFSET($D206,0,$C206)+1,OFFSET($D206,1,$C206,ROW($A$435)-ROW($A206)),0)</f>
        <v>3</v>
      </c>
      <c r="K206" s="94">
        <f ca="1">ROUND(INDEX(PO!U$11:U$1504,MATCH($A206,PO!$W$11:$W$1504,0)),2)+10^-12</f>
        <v>3946.8000000000011</v>
      </c>
      <c r="L206" s="270"/>
      <c r="M206" s="272"/>
      <c r="N206" s="274"/>
      <c r="O206" s="115" t="s">
        <v>7</v>
      </c>
      <c r="P206" s="108">
        <f t="shared" ref="P206:W206" ca="1" si="132">IF($B206,ROUND(P205*$N204,2),ROUND(SUMIF(OFFSET($B206,1,0,$D206),TRUE,OFFSET(P206,1,0,$D206))/SUMIF(OFFSET($B206,1,0,$D206),TRUE,OFFSET($K206,1,0,$D206))*$N204,2))</f>
        <v>0</v>
      </c>
      <c r="Q206" s="78">
        <f t="shared" ca="1" si="132"/>
        <v>0</v>
      </c>
      <c r="R206" s="78">
        <f t="shared" ca="1" si="132"/>
        <v>0</v>
      </c>
      <c r="S206" s="78">
        <f t="shared" ca="1" si="132"/>
        <v>0</v>
      </c>
      <c r="T206" s="78">
        <f t="shared" ca="1" si="132"/>
        <v>0</v>
      </c>
      <c r="U206" s="78">
        <f t="shared" ca="1" si="132"/>
        <v>0</v>
      </c>
      <c r="V206" s="78">
        <f t="shared" ca="1" si="132"/>
        <v>0</v>
      </c>
      <c r="W206" s="118">
        <f t="shared" ca="1" si="132"/>
        <v>0</v>
      </c>
      <c r="X206" s="105"/>
    </row>
    <row r="207" spans="1:24" customFormat="1" ht="14.25" customHeight="1">
      <c r="A207" s="39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269" t="str">
        <f ca="1">INDEX(PO!K$11:K$1504,MATCH($A209,PO!$W$11:$W$1504,0))</f>
        <v>9.3.</v>
      </c>
      <c r="M207" s="271" t="str">
        <f ca="1">INDEX(PO!O$11:O$1504,MATCH($A209,PO!$W$11:$W$1504,0))</f>
        <v>Atividade 55 - Plantão Social região Parque São João</v>
      </c>
      <c r="N207" s="273">
        <f ca="1">IF(ROUND(K209,2)=0,K209,ROUND(K209,2))</f>
        <v>3427.56</v>
      </c>
      <c r="O207" s="113" t="s">
        <v>33</v>
      </c>
      <c r="P207" s="112"/>
      <c r="Q207" s="59"/>
      <c r="R207" s="59"/>
      <c r="S207" s="59"/>
      <c r="T207" s="59"/>
      <c r="U207" s="59"/>
      <c r="V207" s="59"/>
      <c r="W207" s="59">
        <v>1</v>
      </c>
      <c r="X207" s="105"/>
    </row>
    <row r="208" spans="1:24" customFormat="1" ht="14.25">
      <c r="A208" s="93"/>
      <c r="B208" s="93"/>
      <c r="C208" s="93"/>
      <c r="D208" s="93"/>
      <c r="E208" s="93"/>
      <c r="F208" s="93"/>
      <c r="G208" s="93"/>
      <c r="H208" s="93"/>
      <c r="I208" s="93"/>
      <c r="J208" s="93"/>
      <c r="K208" s="93"/>
      <c r="L208" s="270"/>
      <c r="M208" s="272"/>
      <c r="N208" s="274"/>
      <c r="O208" s="79" t="s">
        <v>35</v>
      </c>
      <c r="P208" s="107">
        <f t="shared" ref="P208:W208" ca="1" si="133">MIN(IF($B209,P207+IF(ISNUMBER(O208),O208,0),P209/$N207),1)</f>
        <v>0</v>
      </c>
      <c r="Q208" s="77">
        <f t="shared" ca="1" si="133"/>
        <v>0</v>
      </c>
      <c r="R208" s="77">
        <f t="shared" ca="1" si="133"/>
        <v>0</v>
      </c>
      <c r="S208" s="77">
        <f t="shared" ca="1" si="133"/>
        <v>0</v>
      </c>
      <c r="T208" s="77">
        <f t="shared" ca="1" si="133"/>
        <v>0</v>
      </c>
      <c r="U208" s="77">
        <f t="shared" ca="1" si="133"/>
        <v>0</v>
      </c>
      <c r="V208" s="77">
        <f t="shared" ca="1" si="133"/>
        <v>0</v>
      </c>
      <c r="W208" s="77">
        <f t="shared" ca="1" si="133"/>
        <v>1</v>
      </c>
      <c r="X208" s="105"/>
    </row>
    <row r="209" spans="1:24" customFormat="1" ht="14.25">
      <c r="A209" s="93">
        <f ca="1">OFFSET(A209,-CFF.NumLinha,0)+1</f>
        <v>64</v>
      </c>
      <c r="B209" s="93" t="b">
        <f ca="1">$C209&gt;=OFFSET($C209,CFF.NumLinha,0)</f>
        <v>1</v>
      </c>
      <c r="C209" s="93">
        <f ca="1">INDEX(PO!A$11:A$1504,MATCH($A209,PO!$W$11:$W$1504,0))</f>
        <v>2</v>
      </c>
      <c r="D209" s="93">
        <f ca="1">IF(ISERROR(J209),I209,SMALL(I209:J209,1))-1</f>
        <v>2</v>
      </c>
      <c r="E209" s="93">
        <f ca="1">IF($C209=1,OFFSET(E209,-CFF.NumLinha,0)+1,OFFSET(E209,-CFF.NumLinha,0))</f>
        <v>9</v>
      </c>
      <c r="F209" s="93">
        <f ca="1">IF($C209=1,0,IF($C209=2,OFFSET(F209,-CFF.NumLinha,0)+1,OFFSET(F209,-CFF.NumLinha,0)))</f>
        <v>3</v>
      </c>
      <c r="G209" s="93">
        <f ca="1">IF(AND($C209&lt;=2,$C209&lt;&gt;0),0,IF($C209=3,OFFSET(G209,-CFF.NumLinha,0)+1,OFFSET(G209,-CFF.NumLinha,0)))</f>
        <v>0</v>
      </c>
      <c r="H209" s="93">
        <f ca="1">IF(AND($C209&lt;=3,$C209&lt;&gt;0),0,IF($C209=4,OFFSET(H209,-CFF.NumLinha,0)+1,OFFSET(H209,-CFF.NumLinha,0)))</f>
        <v>0</v>
      </c>
      <c r="I209" s="93">
        <f ca="1">MATCH(0,OFFSET($D209,1,$C209,ROW($A$435)-ROW($A209)),0)</f>
        <v>27</v>
      </c>
      <c r="J209" s="93">
        <f ca="1">MATCH(OFFSET($D209,0,$C209)+1,OFFSET($D209,1,$C209,ROW($A$435)-ROW($A209)),0)</f>
        <v>3</v>
      </c>
      <c r="K209" s="94">
        <f ca="1">ROUND(INDEX(PO!U$11:U$1504,MATCH($A209,PO!$W$11:$W$1504,0)),2)+10^-12</f>
        <v>3427.5600000000009</v>
      </c>
      <c r="L209" s="270"/>
      <c r="M209" s="272"/>
      <c r="N209" s="274"/>
      <c r="O209" s="115" t="s">
        <v>7</v>
      </c>
      <c r="P209" s="108">
        <f t="shared" ref="P209:W209" ca="1" si="134">IF($B209,ROUND(P208*$N207,2),ROUND(SUMIF(OFFSET($B209,1,0,$D209),TRUE,OFFSET(P209,1,0,$D209))/SUMIF(OFFSET($B209,1,0,$D209),TRUE,OFFSET($K209,1,0,$D209))*$N207,2))</f>
        <v>0</v>
      </c>
      <c r="Q209" s="78">
        <f t="shared" ca="1" si="134"/>
        <v>0</v>
      </c>
      <c r="R209" s="78">
        <f t="shared" ca="1" si="134"/>
        <v>0</v>
      </c>
      <c r="S209" s="78">
        <f t="shared" ca="1" si="134"/>
        <v>0</v>
      </c>
      <c r="T209" s="78">
        <f t="shared" ca="1" si="134"/>
        <v>0</v>
      </c>
      <c r="U209" s="78">
        <f t="shared" ca="1" si="134"/>
        <v>0</v>
      </c>
      <c r="V209" s="78">
        <f t="shared" ca="1" si="134"/>
        <v>0</v>
      </c>
      <c r="W209" s="118">
        <f t="shared" ca="1" si="134"/>
        <v>3427.56</v>
      </c>
      <c r="X209" s="105"/>
    </row>
    <row r="210" spans="1:24" customFormat="1" ht="14.25" customHeight="1">
      <c r="A210" s="39"/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269" t="str">
        <f ca="1">INDEX(PO!K$11:K$1504,MATCH($A212,PO!$W$11:$W$1504,0))</f>
        <v>9.4.</v>
      </c>
      <c r="M210" s="271" t="str">
        <f ca="1">INDEX(PO!O$11:O$1504,MATCH($A212,PO!$W$11:$W$1504,0))</f>
        <v>Atividade 56 - Curso: Manicure/pedicure região Jardim Ikaraí</v>
      </c>
      <c r="N210" s="273">
        <f ca="1">IF(ROUND(K212,2)=0,K212,ROUND(K212,2))</f>
        <v>18359.560000000001</v>
      </c>
      <c r="O210" s="113" t="s">
        <v>33</v>
      </c>
      <c r="P210" s="112"/>
      <c r="Q210" s="59"/>
      <c r="R210" s="59"/>
      <c r="S210" s="59"/>
      <c r="T210" s="59"/>
      <c r="U210" s="59"/>
      <c r="V210" s="59"/>
      <c r="W210" s="59">
        <v>1</v>
      </c>
      <c r="X210" s="105"/>
    </row>
    <row r="211" spans="1:24" customFormat="1" ht="14.25">
      <c r="A211" s="93"/>
      <c r="B211" s="93"/>
      <c r="C211" s="93"/>
      <c r="D211" s="93"/>
      <c r="E211" s="93"/>
      <c r="F211" s="93"/>
      <c r="G211" s="93"/>
      <c r="H211" s="93"/>
      <c r="I211" s="93"/>
      <c r="J211" s="93"/>
      <c r="K211" s="93"/>
      <c r="L211" s="270"/>
      <c r="M211" s="272"/>
      <c r="N211" s="274"/>
      <c r="O211" s="79" t="s">
        <v>35</v>
      </c>
      <c r="P211" s="107">
        <f t="shared" ref="P211:W211" ca="1" si="135">MIN(IF($B212,P210+IF(ISNUMBER(O211),O211,0),P212/$N210),1)</f>
        <v>0</v>
      </c>
      <c r="Q211" s="77">
        <f t="shared" ca="1" si="135"/>
        <v>0</v>
      </c>
      <c r="R211" s="77">
        <f t="shared" ca="1" si="135"/>
        <v>0</v>
      </c>
      <c r="S211" s="77">
        <f t="shared" ca="1" si="135"/>
        <v>0</v>
      </c>
      <c r="T211" s="77">
        <f t="shared" ca="1" si="135"/>
        <v>0</v>
      </c>
      <c r="U211" s="77">
        <f t="shared" ca="1" si="135"/>
        <v>0</v>
      </c>
      <c r="V211" s="77">
        <f t="shared" ca="1" si="135"/>
        <v>0</v>
      </c>
      <c r="W211" s="77">
        <f t="shared" ca="1" si="135"/>
        <v>1</v>
      </c>
      <c r="X211" s="105"/>
    </row>
    <row r="212" spans="1:24" customFormat="1" ht="14.25">
      <c r="A212" s="93">
        <f ca="1">OFFSET(A212,-CFF.NumLinha,0)+1</f>
        <v>65</v>
      </c>
      <c r="B212" s="93" t="b">
        <f ca="1">$C212&gt;=OFFSET($C212,CFF.NumLinha,0)</f>
        <v>1</v>
      </c>
      <c r="C212" s="93">
        <f ca="1">INDEX(PO!A$11:A$1504,MATCH($A212,PO!$W$11:$W$1504,0))</f>
        <v>2</v>
      </c>
      <c r="D212" s="93">
        <f ca="1">IF(ISERROR(J212),I212,SMALL(I212:J212,1))-1</f>
        <v>2</v>
      </c>
      <c r="E212" s="93">
        <f ca="1">IF($C212=1,OFFSET(E212,-CFF.NumLinha,0)+1,OFFSET(E212,-CFF.NumLinha,0))</f>
        <v>9</v>
      </c>
      <c r="F212" s="93">
        <f ca="1">IF($C212=1,0,IF($C212=2,OFFSET(F212,-CFF.NumLinha,0)+1,OFFSET(F212,-CFF.NumLinha,0)))</f>
        <v>4</v>
      </c>
      <c r="G212" s="93">
        <f ca="1">IF(AND($C212&lt;=2,$C212&lt;&gt;0),0,IF($C212=3,OFFSET(G212,-CFF.NumLinha,0)+1,OFFSET(G212,-CFF.NumLinha,0)))</f>
        <v>0</v>
      </c>
      <c r="H212" s="93">
        <f ca="1">IF(AND($C212&lt;=3,$C212&lt;&gt;0),0,IF($C212=4,OFFSET(H212,-CFF.NumLinha,0)+1,OFFSET(H212,-CFF.NumLinha,0)))</f>
        <v>0</v>
      </c>
      <c r="I212" s="93">
        <f ca="1">MATCH(0,OFFSET($D212,1,$C212,ROW($A$435)-ROW($A212)),0)</f>
        <v>24</v>
      </c>
      <c r="J212" s="93">
        <f ca="1">MATCH(OFFSET($D212,0,$C212)+1,OFFSET($D212,1,$C212,ROW($A$435)-ROW($A212)),0)</f>
        <v>3</v>
      </c>
      <c r="K212" s="94">
        <f ca="1">ROUND(INDEX(PO!U$11:U$1504,MATCH($A212,PO!$W$11:$W$1504,0)),2)+10^-12</f>
        <v>18359.560000000001</v>
      </c>
      <c r="L212" s="270"/>
      <c r="M212" s="272"/>
      <c r="N212" s="274"/>
      <c r="O212" s="115" t="s">
        <v>7</v>
      </c>
      <c r="P212" s="108">
        <f t="shared" ref="P212:W212" ca="1" si="136">IF($B212,ROUND(P211*$N210,2),ROUND(SUMIF(OFFSET($B212,1,0,$D212),TRUE,OFFSET(P212,1,0,$D212))/SUMIF(OFFSET($B212,1,0,$D212),TRUE,OFFSET($K212,1,0,$D212))*$N210,2))</f>
        <v>0</v>
      </c>
      <c r="Q212" s="78">
        <f t="shared" ca="1" si="136"/>
        <v>0</v>
      </c>
      <c r="R212" s="78">
        <f t="shared" ca="1" si="136"/>
        <v>0</v>
      </c>
      <c r="S212" s="78">
        <f t="shared" ca="1" si="136"/>
        <v>0</v>
      </c>
      <c r="T212" s="78">
        <f t="shared" ca="1" si="136"/>
        <v>0</v>
      </c>
      <c r="U212" s="78">
        <f t="shared" ca="1" si="136"/>
        <v>0</v>
      </c>
      <c r="V212" s="78">
        <f t="shared" ca="1" si="136"/>
        <v>0</v>
      </c>
      <c r="W212" s="118">
        <f t="shared" ca="1" si="136"/>
        <v>18359.560000000001</v>
      </c>
      <c r="X212" s="105"/>
    </row>
    <row r="213" spans="1:24" customFormat="1" ht="14.25" customHeight="1">
      <c r="A213" s="39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269" t="str">
        <f ca="1">INDEX(PO!K$11:K$1504,MATCH($A215,PO!$W$11:$W$1504,0))</f>
        <v>9.5.</v>
      </c>
      <c r="M213" s="271" t="str">
        <f ca="1">INDEX(PO!O$11:O$1504,MATCH($A215,PO!$W$11:$W$1504,0))</f>
        <v>Atividade 57 - Visita dos beneficiários com UHs e CAO as obras região Jardim Ikaraí</v>
      </c>
      <c r="N213" s="273">
        <f ca="1">IF(ROUND(K215,2)=0,K215,ROUND(K215,2))</f>
        <v>4657.0200000000004</v>
      </c>
      <c r="O213" s="113" t="s">
        <v>33</v>
      </c>
      <c r="P213" s="112"/>
      <c r="Q213" s="59"/>
      <c r="R213" s="59"/>
      <c r="S213" s="59"/>
      <c r="T213" s="59"/>
      <c r="U213" s="59"/>
      <c r="V213" s="59"/>
      <c r="W213" s="59">
        <v>1</v>
      </c>
      <c r="X213" s="105"/>
    </row>
    <row r="214" spans="1:24" customFormat="1" ht="14.25">
      <c r="A214" s="93"/>
      <c r="B214" s="93"/>
      <c r="C214" s="93"/>
      <c r="D214" s="93"/>
      <c r="E214" s="93"/>
      <c r="F214" s="93"/>
      <c r="G214" s="93"/>
      <c r="H214" s="93"/>
      <c r="I214" s="93"/>
      <c r="J214" s="93"/>
      <c r="K214" s="93"/>
      <c r="L214" s="270"/>
      <c r="M214" s="272"/>
      <c r="N214" s="274"/>
      <c r="O214" s="79" t="s">
        <v>35</v>
      </c>
      <c r="P214" s="107">
        <f t="shared" ref="P214:W214" ca="1" si="137">MIN(IF($B215,P213+IF(ISNUMBER(O214),O214,0),P215/$N213),1)</f>
        <v>0</v>
      </c>
      <c r="Q214" s="77">
        <f t="shared" ca="1" si="137"/>
        <v>0</v>
      </c>
      <c r="R214" s="77">
        <f t="shared" ca="1" si="137"/>
        <v>0</v>
      </c>
      <c r="S214" s="77">
        <f t="shared" ca="1" si="137"/>
        <v>0</v>
      </c>
      <c r="T214" s="77">
        <f t="shared" ca="1" si="137"/>
        <v>0</v>
      </c>
      <c r="U214" s="77">
        <f t="shared" ca="1" si="137"/>
        <v>0</v>
      </c>
      <c r="V214" s="77">
        <f t="shared" ca="1" si="137"/>
        <v>0</v>
      </c>
      <c r="W214" s="77">
        <f t="shared" ca="1" si="137"/>
        <v>1</v>
      </c>
      <c r="X214" s="105"/>
    </row>
    <row r="215" spans="1:24" customFormat="1" ht="14.25">
      <c r="A215" s="93">
        <f ca="1">OFFSET(A215,-CFF.NumLinha,0)+1</f>
        <v>66</v>
      </c>
      <c r="B215" s="93" t="b">
        <f ca="1">$C215&gt;=OFFSET($C215,CFF.NumLinha,0)</f>
        <v>1</v>
      </c>
      <c r="C215" s="93">
        <f ca="1">INDEX(PO!A$11:A$1504,MATCH($A215,PO!$W$11:$W$1504,0))</f>
        <v>2</v>
      </c>
      <c r="D215" s="93">
        <f ca="1">IF(ISERROR(J215),I215,SMALL(I215:J215,1))-1</f>
        <v>2</v>
      </c>
      <c r="E215" s="93">
        <f ca="1">IF($C215=1,OFFSET(E215,-CFF.NumLinha,0)+1,OFFSET(E215,-CFF.NumLinha,0))</f>
        <v>9</v>
      </c>
      <c r="F215" s="93">
        <f ca="1">IF($C215=1,0,IF($C215=2,OFFSET(F215,-CFF.NumLinha,0)+1,OFFSET(F215,-CFF.NumLinha,0)))</f>
        <v>5</v>
      </c>
      <c r="G215" s="93">
        <f ca="1">IF(AND($C215&lt;=2,$C215&lt;&gt;0),0,IF($C215=3,OFFSET(G215,-CFF.NumLinha,0)+1,OFFSET(G215,-CFF.NumLinha,0)))</f>
        <v>0</v>
      </c>
      <c r="H215" s="93">
        <f ca="1">IF(AND($C215&lt;=3,$C215&lt;&gt;0),0,IF($C215=4,OFFSET(H215,-CFF.NumLinha,0)+1,OFFSET(H215,-CFF.NumLinha,0)))</f>
        <v>0</v>
      </c>
      <c r="I215" s="93">
        <f ca="1">MATCH(0,OFFSET($D215,1,$C215,ROW($A$435)-ROW($A215)),0)</f>
        <v>21</v>
      </c>
      <c r="J215" s="93">
        <f ca="1">MATCH(OFFSET($D215,0,$C215)+1,OFFSET($D215,1,$C215,ROW($A$435)-ROW($A215)),0)</f>
        <v>3</v>
      </c>
      <c r="K215" s="94">
        <f ca="1">ROUND(INDEX(PO!U$11:U$1504,MATCH($A215,PO!$W$11:$W$1504,0)),2)+10^-12</f>
        <v>4657.0200000000013</v>
      </c>
      <c r="L215" s="270"/>
      <c r="M215" s="272"/>
      <c r="N215" s="274"/>
      <c r="O215" s="115" t="s">
        <v>7</v>
      </c>
      <c r="P215" s="108">
        <f t="shared" ref="P215:W215" ca="1" si="138">IF($B215,ROUND(P214*$N213,2),ROUND(SUMIF(OFFSET($B215,1,0,$D215),TRUE,OFFSET(P215,1,0,$D215))/SUMIF(OFFSET($B215,1,0,$D215),TRUE,OFFSET($K215,1,0,$D215))*$N213,2))</f>
        <v>0</v>
      </c>
      <c r="Q215" s="78">
        <f t="shared" ca="1" si="138"/>
        <v>0</v>
      </c>
      <c r="R215" s="78">
        <f t="shared" ca="1" si="138"/>
        <v>0</v>
      </c>
      <c r="S215" s="78">
        <f t="shared" ca="1" si="138"/>
        <v>0</v>
      </c>
      <c r="T215" s="78">
        <f t="shared" ca="1" si="138"/>
        <v>0</v>
      </c>
      <c r="U215" s="78">
        <f t="shared" ca="1" si="138"/>
        <v>0</v>
      </c>
      <c r="V215" s="78">
        <f t="shared" ca="1" si="138"/>
        <v>0</v>
      </c>
      <c r="W215" s="118">
        <f t="shared" ca="1" si="138"/>
        <v>4657.0200000000004</v>
      </c>
      <c r="X215" s="105"/>
    </row>
    <row r="216" spans="1:24" customFormat="1" ht="14.25" customHeight="1">
      <c r="A216" s="39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269" t="str">
        <f ca="1">INDEX(PO!K$11:K$1504,MATCH($A218,PO!$W$11:$W$1504,0))</f>
        <v>9.6.</v>
      </c>
      <c r="M216" s="271" t="str">
        <f ca="1">INDEX(PO!O$11:O$1504,MATCH($A218,PO!$W$11:$W$1504,0))</f>
        <v>Atividade 58 - Plantão Social região Jardim Ikaraí</v>
      </c>
      <c r="N216" s="273">
        <f ca="1">IF(ROUND(K218,2)=0,K218,ROUND(K218,2))</f>
        <v>3427.56</v>
      </c>
      <c r="O216" s="113" t="s">
        <v>33</v>
      </c>
      <c r="P216" s="112"/>
      <c r="Q216" s="59"/>
      <c r="R216" s="59"/>
      <c r="S216" s="59"/>
      <c r="T216" s="59"/>
      <c r="U216" s="59"/>
      <c r="V216" s="59"/>
      <c r="W216" s="59">
        <v>1</v>
      </c>
      <c r="X216" s="105"/>
    </row>
    <row r="217" spans="1:24" customFormat="1" ht="14.25">
      <c r="A217" s="93"/>
      <c r="B217" s="93"/>
      <c r="C217" s="93"/>
      <c r="D217" s="93"/>
      <c r="E217" s="93"/>
      <c r="F217" s="93"/>
      <c r="G217" s="93"/>
      <c r="H217" s="93"/>
      <c r="I217" s="93"/>
      <c r="J217" s="93"/>
      <c r="K217" s="93"/>
      <c r="L217" s="270"/>
      <c r="M217" s="272"/>
      <c r="N217" s="274"/>
      <c r="O217" s="79" t="s">
        <v>35</v>
      </c>
      <c r="P217" s="107">
        <f t="shared" ref="P217:W217" ca="1" si="139">MIN(IF($B218,P216+IF(ISNUMBER(O217),O217,0),P218/$N216),1)</f>
        <v>0</v>
      </c>
      <c r="Q217" s="77">
        <f t="shared" ca="1" si="139"/>
        <v>0</v>
      </c>
      <c r="R217" s="77">
        <f t="shared" ca="1" si="139"/>
        <v>0</v>
      </c>
      <c r="S217" s="77">
        <f t="shared" ca="1" si="139"/>
        <v>0</v>
      </c>
      <c r="T217" s="77">
        <f t="shared" ca="1" si="139"/>
        <v>0</v>
      </c>
      <c r="U217" s="77">
        <f t="shared" ca="1" si="139"/>
        <v>0</v>
      </c>
      <c r="V217" s="77">
        <f t="shared" ca="1" si="139"/>
        <v>0</v>
      </c>
      <c r="W217" s="77">
        <f t="shared" ca="1" si="139"/>
        <v>1</v>
      </c>
      <c r="X217" s="105"/>
    </row>
    <row r="218" spans="1:24" customFormat="1" ht="14.25">
      <c r="A218" s="93">
        <f ca="1">OFFSET(A218,-CFF.NumLinha,0)+1</f>
        <v>67</v>
      </c>
      <c r="B218" s="93" t="b">
        <f ca="1">$C218&gt;=OFFSET($C218,CFF.NumLinha,0)</f>
        <v>1</v>
      </c>
      <c r="C218" s="93">
        <f ca="1">INDEX(PO!A$11:A$1504,MATCH($A218,PO!$W$11:$W$1504,0))</f>
        <v>2</v>
      </c>
      <c r="D218" s="93">
        <f ca="1">IF(ISERROR(J218),I218,SMALL(I218:J218,1))-1</f>
        <v>2</v>
      </c>
      <c r="E218" s="93">
        <f ca="1">IF($C218=1,OFFSET(E218,-CFF.NumLinha,0)+1,OFFSET(E218,-CFF.NumLinha,0))</f>
        <v>9</v>
      </c>
      <c r="F218" s="93">
        <f ca="1">IF($C218=1,0,IF($C218=2,OFFSET(F218,-CFF.NumLinha,0)+1,OFFSET(F218,-CFF.NumLinha,0)))</f>
        <v>6</v>
      </c>
      <c r="G218" s="93">
        <f ca="1">IF(AND($C218&lt;=2,$C218&lt;&gt;0),0,IF($C218=3,OFFSET(G218,-CFF.NumLinha,0)+1,OFFSET(G218,-CFF.NumLinha,0)))</f>
        <v>0</v>
      </c>
      <c r="H218" s="93">
        <f ca="1">IF(AND($C218&lt;=3,$C218&lt;&gt;0),0,IF($C218=4,OFFSET(H218,-CFF.NumLinha,0)+1,OFFSET(H218,-CFF.NumLinha,0)))</f>
        <v>0</v>
      </c>
      <c r="I218" s="93">
        <f ca="1">MATCH(0,OFFSET($D218,1,$C218,ROW($A$435)-ROW($A218)),0)</f>
        <v>18</v>
      </c>
      <c r="J218" s="93">
        <f ca="1">MATCH(OFFSET($D218,0,$C218)+1,OFFSET($D218,1,$C218,ROW($A$435)-ROW($A218)),0)</f>
        <v>3</v>
      </c>
      <c r="K218" s="94">
        <f ca="1">ROUND(INDEX(PO!U$11:U$1504,MATCH($A218,PO!$W$11:$W$1504,0)),2)+10^-12</f>
        <v>3427.5600000000009</v>
      </c>
      <c r="L218" s="270"/>
      <c r="M218" s="272"/>
      <c r="N218" s="274"/>
      <c r="O218" s="115" t="s">
        <v>7</v>
      </c>
      <c r="P218" s="108">
        <f t="shared" ref="P218:W218" ca="1" si="140">IF($B218,ROUND(P217*$N216,2),ROUND(SUMIF(OFFSET($B218,1,0,$D218),TRUE,OFFSET(P218,1,0,$D218))/SUMIF(OFFSET($B218,1,0,$D218),TRUE,OFFSET($K218,1,0,$D218))*$N216,2))</f>
        <v>0</v>
      </c>
      <c r="Q218" s="78">
        <f t="shared" ca="1" si="140"/>
        <v>0</v>
      </c>
      <c r="R218" s="78">
        <f t="shared" ca="1" si="140"/>
        <v>0</v>
      </c>
      <c r="S218" s="78">
        <f t="shared" ca="1" si="140"/>
        <v>0</v>
      </c>
      <c r="T218" s="78">
        <f t="shared" ca="1" si="140"/>
        <v>0</v>
      </c>
      <c r="U218" s="78">
        <f t="shared" ca="1" si="140"/>
        <v>0</v>
      </c>
      <c r="V218" s="78">
        <f t="shared" ca="1" si="140"/>
        <v>0</v>
      </c>
      <c r="W218" s="118">
        <f t="shared" ca="1" si="140"/>
        <v>3427.56</v>
      </c>
      <c r="X218" s="105"/>
    </row>
    <row r="219" spans="1:24" customFormat="1" ht="14.25" customHeight="1">
      <c r="A219" s="39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269" t="str">
        <f ca="1">INDEX(PO!K$11:K$1504,MATCH($A221,PO!$W$11:$W$1504,0))</f>
        <v>9.7.</v>
      </c>
      <c r="M219" s="271" t="str">
        <f ca="1">INDEX(PO!O$11:O$1504,MATCH($A221,PO!$W$11:$W$1504,0))</f>
        <v>Atividade 59 - Palestra: Preservação ambiental e combate epedemias (dengue e outros) região Parque São João</v>
      </c>
      <c r="N219" s="273">
        <f ca="1">IF(ROUND(K221,2)=0,K221,ROUND(K221,2))</f>
        <v>10228.35</v>
      </c>
      <c r="O219" s="113" t="s">
        <v>33</v>
      </c>
      <c r="P219" s="112"/>
      <c r="Q219" s="59"/>
      <c r="R219" s="59"/>
      <c r="S219" s="59"/>
      <c r="T219" s="59"/>
      <c r="U219" s="59"/>
      <c r="V219" s="59"/>
      <c r="W219" s="59">
        <v>1</v>
      </c>
      <c r="X219" s="105"/>
    </row>
    <row r="220" spans="1:24" customFormat="1" ht="14.25">
      <c r="A220" s="93"/>
      <c r="B220" s="93"/>
      <c r="C220" s="93"/>
      <c r="D220" s="93"/>
      <c r="E220" s="93"/>
      <c r="F220" s="93"/>
      <c r="G220" s="93"/>
      <c r="H220" s="93"/>
      <c r="I220" s="93"/>
      <c r="J220" s="93"/>
      <c r="K220" s="93"/>
      <c r="L220" s="270"/>
      <c r="M220" s="272"/>
      <c r="N220" s="274"/>
      <c r="O220" s="79" t="s">
        <v>35</v>
      </c>
      <c r="P220" s="107">
        <f t="shared" ref="P220:W220" ca="1" si="141">MIN(IF($B221,P219+IF(ISNUMBER(O220),O220,0),P221/$N219),1)</f>
        <v>0</v>
      </c>
      <c r="Q220" s="77">
        <f t="shared" ca="1" si="141"/>
        <v>0</v>
      </c>
      <c r="R220" s="77">
        <f t="shared" ca="1" si="141"/>
        <v>0</v>
      </c>
      <c r="S220" s="77">
        <f t="shared" ca="1" si="141"/>
        <v>0</v>
      </c>
      <c r="T220" s="77">
        <f t="shared" ca="1" si="141"/>
        <v>0</v>
      </c>
      <c r="U220" s="77">
        <f t="shared" ca="1" si="141"/>
        <v>0</v>
      </c>
      <c r="V220" s="77">
        <f t="shared" ca="1" si="141"/>
        <v>0</v>
      </c>
      <c r="W220" s="77">
        <f t="shared" ca="1" si="141"/>
        <v>1</v>
      </c>
      <c r="X220" s="105"/>
    </row>
    <row r="221" spans="1:24" customFormat="1" ht="14.25">
      <c r="A221" s="93">
        <f ca="1">OFFSET(A221,-CFF.NumLinha,0)+1</f>
        <v>68</v>
      </c>
      <c r="B221" s="93" t="b">
        <f ca="1">$C221&gt;=OFFSET($C221,CFF.NumLinha,0)</f>
        <v>1</v>
      </c>
      <c r="C221" s="93">
        <f ca="1">INDEX(PO!A$11:A$1504,MATCH($A221,PO!$W$11:$W$1504,0))</f>
        <v>2</v>
      </c>
      <c r="D221" s="93">
        <f ca="1">IF(ISERROR(J221),I221,SMALL(I221:J221,1))-1</f>
        <v>2</v>
      </c>
      <c r="E221" s="93">
        <f ca="1">IF($C221=1,OFFSET(E221,-CFF.NumLinha,0)+1,OFFSET(E221,-CFF.NumLinha,0))</f>
        <v>9</v>
      </c>
      <c r="F221" s="93">
        <f ca="1">IF($C221=1,0,IF($C221=2,OFFSET(F221,-CFF.NumLinha,0)+1,OFFSET(F221,-CFF.NumLinha,0)))</f>
        <v>7</v>
      </c>
      <c r="G221" s="93">
        <f ca="1">IF(AND($C221&lt;=2,$C221&lt;&gt;0),0,IF($C221=3,OFFSET(G221,-CFF.NumLinha,0)+1,OFFSET(G221,-CFF.NumLinha,0)))</f>
        <v>0</v>
      </c>
      <c r="H221" s="93">
        <f ca="1">IF(AND($C221&lt;=3,$C221&lt;&gt;0),0,IF($C221=4,OFFSET(H221,-CFF.NumLinha,0)+1,OFFSET(H221,-CFF.NumLinha,0)))</f>
        <v>0</v>
      </c>
      <c r="I221" s="93">
        <f ca="1">MATCH(0,OFFSET($D221,1,$C221,ROW($A$435)-ROW($A221)),0)</f>
        <v>15</v>
      </c>
      <c r="J221" s="93">
        <f ca="1">MATCH(OFFSET($D221,0,$C221)+1,OFFSET($D221,1,$C221,ROW($A$435)-ROW($A221)),0)</f>
        <v>3</v>
      </c>
      <c r="K221" s="94">
        <f ca="1">ROUND(INDEX(PO!U$11:U$1504,MATCH($A221,PO!$W$11:$W$1504,0)),2)+10^-12</f>
        <v>10228.350000000002</v>
      </c>
      <c r="L221" s="270"/>
      <c r="M221" s="272"/>
      <c r="N221" s="274"/>
      <c r="O221" s="115" t="s">
        <v>7</v>
      </c>
      <c r="P221" s="108">
        <f t="shared" ref="P221:W221" ca="1" si="142">IF($B221,ROUND(P220*$N219,2),ROUND(SUMIF(OFFSET($B221,1,0,$D221),TRUE,OFFSET(P221,1,0,$D221))/SUMIF(OFFSET($B221,1,0,$D221),TRUE,OFFSET($K221,1,0,$D221))*$N219,2))</f>
        <v>0</v>
      </c>
      <c r="Q221" s="78">
        <f t="shared" ca="1" si="142"/>
        <v>0</v>
      </c>
      <c r="R221" s="78">
        <f t="shared" ca="1" si="142"/>
        <v>0</v>
      </c>
      <c r="S221" s="78">
        <f t="shared" ca="1" si="142"/>
        <v>0</v>
      </c>
      <c r="T221" s="78">
        <f t="shared" ca="1" si="142"/>
        <v>0</v>
      </c>
      <c r="U221" s="78">
        <f t="shared" ca="1" si="142"/>
        <v>0</v>
      </c>
      <c r="V221" s="78">
        <f t="shared" ca="1" si="142"/>
        <v>0</v>
      </c>
      <c r="W221" s="118">
        <f t="shared" ca="1" si="142"/>
        <v>10228.35</v>
      </c>
      <c r="X221" s="105"/>
    </row>
    <row r="222" spans="1:24" customFormat="1" ht="14.25" customHeight="1">
      <c r="A222" s="39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269" t="str">
        <f ca="1">INDEX(PO!K$11:K$1504,MATCH($A224,PO!$W$11:$W$1504,0))</f>
        <v>9.8.</v>
      </c>
      <c r="M222" s="271" t="str">
        <f ca="1">INDEX(PO!O$11:O$1504,MATCH($A224,PO!$W$11:$W$1504,0))</f>
        <v>Atividade 60 - Oficina para melhor idade região Parque São João</v>
      </c>
      <c r="N222" s="273">
        <f ca="1">IF(ROUND(K224,2)=0,K224,ROUND(K224,2))</f>
        <v>4003.24</v>
      </c>
      <c r="O222" s="113" t="s">
        <v>33</v>
      </c>
      <c r="P222" s="112"/>
      <c r="Q222" s="59"/>
      <c r="R222" s="59"/>
      <c r="S222" s="59"/>
      <c r="T222" s="59"/>
      <c r="U222" s="59"/>
      <c r="V222" s="59"/>
      <c r="W222" s="59">
        <v>1</v>
      </c>
      <c r="X222" s="105"/>
    </row>
    <row r="223" spans="1:24" customFormat="1" ht="14.25">
      <c r="A223" s="93"/>
      <c r="B223" s="93"/>
      <c r="C223" s="93"/>
      <c r="D223" s="93"/>
      <c r="E223" s="93"/>
      <c r="F223" s="93"/>
      <c r="G223" s="93"/>
      <c r="H223" s="93"/>
      <c r="I223" s="93"/>
      <c r="J223" s="93"/>
      <c r="K223" s="93"/>
      <c r="L223" s="270"/>
      <c r="M223" s="272"/>
      <c r="N223" s="274"/>
      <c r="O223" s="79" t="s">
        <v>35</v>
      </c>
      <c r="P223" s="107">
        <f t="shared" ref="P223:W223" ca="1" si="143">MIN(IF($B224,P222+IF(ISNUMBER(O223),O223,0),P224/$N222),1)</f>
        <v>0</v>
      </c>
      <c r="Q223" s="77">
        <f t="shared" ca="1" si="143"/>
        <v>0</v>
      </c>
      <c r="R223" s="77">
        <f t="shared" ca="1" si="143"/>
        <v>0</v>
      </c>
      <c r="S223" s="77">
        <f t="shared" ca="1" si="143"/>
        <v>0</v>
      </c>
      <c r="T223" s="77">
        <f t="shared" ca="1" si="143"/>
        <v>0</v>
      </c>
      <c r="U223" s="77">
        <f t="shared" ca="1" si="143"/>
        <v>0</v>
      </c>
      <c r="V223" s="77">
        <f t="shared" ca="1" si="143"/>
        <v>0</v>
      </c>
      <c r="W223" s="77">
        <f t="shared" ca="1" si="143"/>
        <v>1</v>
      </c>
      <c r="X223" s="105"/>
    </row>
    <row r="224" spans="1:24" customFormat="1" ht="14.25">
      <c r="A224" s="93">
        <f ca="1">OFFSET(A224,-CFF.NumLinha,0)+1</f>
        <v>69</v>
      </c>
      <c r="B224" s="93" t="b">
        <f ca="1">$C224&gt;=OFFSET($C224,CFF.NumLinha,0)</f>
        <v>1</v>
      </c>
      <c r="C224" s="93">
        <f ca="1">INDEX(PO!A$11:A$1504,MATCH($A224,PO!$W$11:$W$1504,0))</f>
        <v>2</v>
      </c>
      <c r="D224" s="93">
        <f ca="1">IF(ISERROR(J224),I224,SMALL(I224:J224,1))-1</f>
        <v>2</v>
      </c>
      <c r="E224" s="93">
        <f ca="1">IF($C224=1,OFFSET(E224,-CFF.NumLinha,0)+1,OFFSET(E224,-CFF.NumLinha,0))</f>
        <v>9</v>
      </c>
      <c r="F224" s="93">
        <f ca="1">IF($C224=1,0,IF($C224=2,OFFSET(F224,-CFF.NumLinha,0)+1,OFFSET(F224,-CFF.NumLinha,0)))</f>
        <v>8</v>
      </c>
      <c r="G224" s="93">
        <f ca="1">IF(AND($C224&lt;=2,$C224&lt;&gt;0),0,IF($C224=3,OFFSET(G224,-CFF.NumLinha,0)+1,OFFSET(G224,-CFF.NumLinha,0)))</f>
        <v>0</v>
      </c>
      <c r="H224" s="93">
        <f ca="1">IF(AND($C224&lt;=3,$C224&lt;&gt;0),0,IF($C224=4,OFFSET(H224,-CFF.NumLinha,0)+1,OFFSET(H224,-CFF.NumLinha,0)))</f>
        <v>0</v>
      </c>
      <c r="I224" s="93">
        <f ca="1">MATCH(0,OFFSET($D224,1,$C224,ROW($A$435)-ROW($A224)),0)</f>
        <v>12</v>
      </c>
      <c r="J224" s="93">
        <f ca="1">MATCH(OFFSET($D224,0,$C224)+1,OFFSET($D224,1,$C224,ROW($A$435)-ROW($A224)),0)</f>
        <v>3</v>
      </c>
      <c r="K224" s="94">
        <f ca="1">ROUND(INDEX(PO!U$11:U$1504,MATCH($A224,PO!$W$11:$W$1504,0)),2)+10^-12</f>
        <v>4003.2400000000007</v>
      </c>
      <c r="L224" s="270"/>
      <c r="M224" s="272"/>
      <c r="N224" s="274"/>
      <c r="O224" s="115" t="s">
        <v>7</v>
      </c>
      <c r="P224" s="108">
        <f t="shared" ref="P224:W224" ca="1" si="144">IF($B224,ROUND(P223*$N222,2),ROUND(SUMIF(OFFSET($B224,1,0,$D224),TRUE,OFFSET(P224,1,0,$D224))/SUMIF(OFFSET($B224,1,0,$D224),TRUE,OFFSET($K224,1,0,$D224))*$N222,2))</f>
        <v>0</v>
      </c>
      <c r="Q224" s="78">
        <f t="shared" ca="1" si="144"/>
        <v>0</v>
      </c>
      <c r="R224" s="78">
        <f t="shared" ca="1" si="144"/>
        <v>0</v>
      </c>
      <c r="S224" s="78">
        <f t="shared" ca="1" si="144"/>
        <v>0</v>
      </c>
      <c r="T224" s="78">
        <f t="shared" ca="1" si="144"/>
        <v>0</v>
      </c>
      <c r="U224" s="78">
        <f t="shared" ca="1" si="144"/>
        <v>0</v>
      </c>
      <c r="V224" s="78">
        <f t="shared" ca="1" si="144"/>
        <v>0</v>
      </c>
      <c r="W224" s="118">
        <f t="shared" ca="1" si="144"/>
        <v>4003.24</v>
      </c>
      <c r="X224" s="105"/>
    </row>
    <row r="225" spans="1:24" customFormat="1" ht="14.25" customHeight="1">
      <c r="A225" s="39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269" t="str">
        <f ca="1">INDEX(PO!K$11:K$1504,MATCH($A227,PO!$W$11:$W$1504,0))</f>
        <v>9.9.</v>
      </c>
      <c r="M225" s="271" t="str">
        <f ca="1">INDEX(PO!O$11:O$1504,MATCH($A227,PO!$W$11:$W$1504,0))</f>
        <v>Atividade 61 - Palestra: Preservação ambiental e combate epidemias (dengue e outros) região Jardim Ikaraí</v>
      </c>
      <c r="N225" s="273">
        <f ca="1">IF(ROUND(K227,2)=0,K227,ROUND(K227,2))</f>
        <v>5687.92</v>
      </c>
      <c r="O225" s="113" t="s">
        <v>33</v>
      </c>
      <c r="P225" s="112"/>
      <c r="Q225" s="59"/>
      <c r="R225" s="59"/>
      <c r="S225" s="59"/>
      <c r="T225" s="59"/>
      <c r="U225" s="59"/>
      <c r="V225" s="59"/>
      <c r="W225" s="59">
        <v>1</v>
      </c>
      <c r="X225" s="105"/>
    </row>
    <row r="226" spans="1:24" customFormat="1" ht="14.25">
      <c r="A226" s="93"/>
      <c r="B226" s="93"/>
      <c r="C226" s="93"/>
      <c r="D226" s="93"/>
      <c r="E226" s="93"/>
      <c r="F226" s="93"/>
      <c r="G226" s="93"/>
      <c r="H226" s="93"/>
      <c r="I226" s="93"/>
      <c r="J226" s="93"/>
      <c r="K226" s="93"/>
      <c r="L226" s="270"/>
      <c r="M226" s="272"/>
      <c r="N226" s="274"/>
      <c r="O226" s="79" t="s">
        <v>35</v>
      </c>
      <c r="P226" s="107">
        <f t="shared" ref="P226:W226" ca="1" si="145">MIN(IF($B227,P225+IF(ISNUMBER(O226),O226,0),P227/$N225),1)</f>
        <v>0</v>
      </c>
      <c r="Q226" s="77">
        <f t="shared" ca="1" si="145"/>
        <v>0</v>
      </c>
      <c r="R226" s="77">
        <f t="shared" ca="1" si="145"/>
        <v>0</v>
      </c>
      <c r="S226" s="77">
        <f t="shared" ca="1" si="145"/>
        <v>0</v>
      </c>
      <c r="T226" s="77">
        <f t="shared" ca="1" si="145"/>
        <v>0</v>
      </c>
      <c r="U226" s="77">
        <f t="shared" ca="1" si="145"/>
        <v>0</v>
      </c>
      <c r="V226" s="77">
        <f t="shared" ca="1" si="145"/>
        <v>0</v>
      </c>
      <c r="W226" s="77">
        <f t="shared" ca="1" si="145"/>
        <v>1</v>
      </c>
      <c r="X226" s="105"/>
    </row>
    <row r="227" spans="1:24" customFormat="1" ht="14.25">
      <c r="A227" s="93">
        <f ca="1">OFFSET(A227,-CFF.NumLinha,0)+1</f>
        <v>70</v>
      </c>
      <c r="B227" s="93" t="b">
        <f ca="1">$C227&gt;=OFFSET($C227,CFF.NumLinha,0)</f>
        <v>1</v>
      </c>
      <c r="C227" s="93">
        <f ca="1">INDEX(PO!A$11:A$1504,MATCH($A227,PO!$W$11:$W$1504,0))</f>
        <v>2</v>
      </c>
      <c r="D227" s="93">
        <f ca="1">IF(ISERROR(J227),I227,SMALL(I227:J227,1))-1</f>
        <v>2</v>
      </c>
      <c r="E227" s="93">
        <f ca="1">IF($C227=1,OFFSET(E227,-CFF.NumLinha,0)+1,OFFSET(E227,-CFF.NumLinha,0))</f>
        <v>9</v>
      </c>
      <c r="F227" s="93">
        <f ca="1">IF($C227=1,0,IF($C227=2,OFFSET(F227,-CFF.NumLinha,0)+1,OFFSET(F227,-CFF.NumLinha,0)))</f>
        <v>9</v>
      </c>
      <c r="G227" s="93">
        <f ca="1">IF(AND($C227&lt;=2,$C227&lt;&gt;0),0,IF($C227=3,OFFSET(G227,-CFF.NumLinha,0)+1,OFFSET(G227,-CFF.NumLinha,0)))</f>
        <v>0</v>
      </c>
      <c r="H227" s="93">
        <f ca="1">IF(AND($C227&lt;=3,$C227&lt;&gt;0),0,IF($C227=4,OFFSET(H227,-CFF.NumLinha,0)+1,OFFSET(H227,-CFF.NumLinha,0)))</f>
        <v>0</v>
      </c>
      <c r="I227" s="93">
        <f ca="1">MATCH(0,OFFSET($D227,1,$C227,ROW($A$435)-ROW($A227)),0)</f>
        <v>9</v>
      </c>
      <c r="J227" s="93">
        <f ca="1">MATCH(OFFSET($D227,0,$C227)+1,OFFSET($D227,1,$C227,ROW($A$435)-ROW($A227)),0)</f>
        <v>3</v>
      </c>
      <c r="K227" s="94">
        <f ca="1">ROUND(INDEX(PO!U$11:U$1504,MATCH($A227,PO!$W$11:$W$1504,0)),2)+10^-12</f>
        <v>5687.920000000001</v>
      </c>
      <c r="L227" s="270"/>
      <c r="M227" s="272"/>
      <c r="N227" s="274"/>
      <c r="O227" s="115" t="s">
        <v>7</v>
      </c>
      <c r="P227" s="108">
        <f t="shared" ref="P227:W227" ca="1" si="146">IF($B227,ROUND(P226*$N225,2),ROUND(SUMIF(OFFSET($B227,1,0,$D227),TRUE,OFFSET(P227,1,0,$D227))/SUMIF(OFFSET($B227,1,0,$D227),TRUE,OFFSET($K227,1,0,$D227))*$N225,2))</f>
        <v>0</v>
      </c>
      <c r="Q227" s="78">
        <f t="shared" ca="1" si="146"/>
        <v>0</v>
      </c>
      <c r="R227" s="78">
        <f t="shared" ca="1" si="146"/>
        <v>0</v>
      </c>
      <c r="S227" s="78">
        <f t="shared" ca="1" si="146"/>
        <v>0</v>
      </c>
      <c r="T227" s="78">
        <f t="shared" ca="1" si="146"/>
        <v>0</v>
      </c>
      <c r="U227" s="78">
        <f t="shared" ca="1" si="146"/>
        <v>0</v>
      </c>
      <c r="V227" s="78">
        <f t="shared" ca="1" si="146"/>
        <v>0</v>
      </c>
      <c r="W227" s="118">
        <f t="shared" ca="1" si="146"/>
        <v>5687.92</v>
      </c>
      <c r="X227" s="105"/>
    </row>
    <row r="228" spans="1:24" customFormat="1" ht="14.25" customHeight="1">
      <c r="A228" s="39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269" t="str">
        <f ca="1">INDEX(PO!K$11:K$1504,MATCH($A230,PO!$W$11:$W$1504,0))</f>
        <v>9.10.</v>
      </c>
      <c r="M228" s="271" t="str">
        <f ca="1">INDEX(PO!O$11:O$1504,MATCH($A230,PO!$W$11:$W$1504,0))</f>
        <v>Atividade 62 - Oficina para melhor idade região Jardim Ikaraí</v>
      </c>
      <c r="N228" s="273">
        <f ca="1">IF(ROUND(K230,2)=0,K230,ROUND(K230,2))</f>
        <v>4465.74</v>
      </c>
      <c r="O228" s="113" t="s">
        <v>33</v>
      </c>
      <c r="P228" s="112"/>
      <c r="Q228" s="59"/>
      <c r="R228" s="59"/>
      <c r="S228" s="59"/>
      <c r="T228" s="59"/>
      <c r="U228" s="59"/>
      <c r="V228" s="59"/>
      <c r="W228" s="59"/>
      <c r="X228" s="105"/>
    </row>
    <row r="229" spans="1:24" customFormat="1" ht="14.25">
      <c r="A229" s="93"/>
      <c r="B229" s="93"/>
      <c r="C229" s="93"/>
      <c r="D229" s="93"/>
      <c r="E229" s="93"/>
      <c r="F229" s="93"/>
      <c r="G229" s="93"/>
      <c r="H229" s="93"/>
      <c r="I229" s="93"/>
      <c r="J229" s="93"/>
      <c r="K229" s="93"/>
      <c r="L229" s="270"/>
      <c r="M229" s="272"/>
      <c r="N229" s="274"/>
      <c r="O229" s="79" t="s">
        <v>35</v>
      </c>
      <c r="P229" s="107">
        <f t="shared" ref="P229:W229" ca="1" si="147">MIN(IF($B230,P228+IF(ISNUMBER(O229),O229,0),P230/$N228),1)</f>
        <v>0</v>
      </c>
      <c r="Q229" s="77">
        <f t="shared" ca="1" si="147"/>
        <v>0</v>
      </c>
      <c r="R229" s="77">
        <f t="shared" ca="1" si="147"/>
        <v>0</v>
      </c>
      <c r="S229" s="77">
        <f t="shared" ca="1" si="147"/>
        <v>0</v>
      </c>
      <c r="T229" s="77">
        <f t="shared" ca="1" si="147"/>
        <v>0</v>
      </c>
      <c r="U229" s="77">
        <f t="shared" ca="1" si="147"/>
        <v>0</v>
      </c>
      <c r="V229" s="77">
        <f t="shared" ca="1" si="147"/>
        <v>0</v>
      </c>
      <c r="W229" s="77">
        <f t="shared" ca="1" si="147"/>
        <v>0</v>
      </c>
      <c r="X229" s="105"/>
    </row>
    <row r="230" spans="1:24" customFormat="1" ht="14.25">
      <c r="A230" s="93">
        <f ca="1">OFFSET(A230,-CFF.NumLinha,0)+1</f>
        <v>71</v>
      </c>
      <c r="B230" s="93" t="b">
        <f ca="1">$C230&gt;=OFFSET($C230,CFF.NumLinha,0)</f>
        <v>1</v>
      </c>
      <c r="C230" s="93">
        <f ca="1">INDEX(PO!A$11:A$1504,MATCH($A230,PO!$W$11:$W$1504,0))</f>
        <v>2</v>
      </c>
      <c r="D230" s="93">
        <f ca="1">IF(ISERROR(J230),I230,SMALL(I230:J230,1))-1</f>
        <v>2</v>
      </c>
      <c r="E230" s="93">
        <f ca="1">IF($C230=1,OFFSET(E230,-CFF.NumLinha,0)+1,OFFSET(E230,-CFF.NumLinha,0))</f>
        <v>9</v>
      </c>
      <c r="F230" s="93">
        <f ca="1">IF($C230=1,0,IF($C230=2,OFFSET(F230,-CFF.NumLinha,0)+1,OFFSET(F230,-CFF.NumLinha,0)))</f>
        <v>10</v>
      </c>
      <c r="G230" s="93">
        <f ca="1">IF(AND($C230&lt;=2,$C230&lt;&gt;0),0,IF($C230=3,OFFSET(G230,-CFF.NumLinha,0)+1,OFFSET(G230,-CFF.NumLinha,0)))</f>
        <v>0</v>
      </c>
      <c r="H230" s="93">
        <f ca="1">IF(AND($C230&lt;=3,$C230&lt;&gt;0),0,IF($C230=4,OFFSET(H230,-CFF.NumLinha,0)+1,OFFSET(H230,-CFF.NumLinha,0)))</f>
        <v>0</v>
      </c>
      <c r="I230" s="93">
        <f ca="1">MATCH(0,OFFSET($D230,1,$C230,ROW($A$435)-ROW($A230)),0)</f>
        <v>6</v>
      </c>
      <c r="J230" s="93">
        <f ca="1">MATCH(OFFSET($D230,0,$C230)+1,OFFSET($D230,1,$C230,ROW($A$435)-ROW($A230)),0)</f>
        <v>3</v>
      </c>
      <c r="K230" s="94">
        <f ca="1">ROUND(INDEX(PO!U$11:U$1504,MATCH($A230,PO!$W$11:$W$1504,0)),2)+10^-12</f>
        <v>4465.7400000000007</v>
      </c>
      <c r="L230" s="270"/>
      <c r="M230" s="272"/>
      <c r="N230" s="274"/>
      <c r="O230" s="115" t="s">
        <v>7</v>
      </c>
      <c r="P230" s="108">
        <f t="shared" ref="P230:W230" ca="1" si="148">IF($B230,ROUND(P229*$N228,2),ROUND(SUMIF(OFFSET($B230,1,0,$D230),TRUE,OFFSET(P230,1,0,$D230))/SUMIF(OFFSET($B230,1,0,$D230),TRUE,OFFSET($K230,1,0,$D230))*$N228,2))</f>
        <v>0</v>
      </c>
      <c r="Q230" s="78">
        <f t="shared" ca="1" si="148"/>
        <v>0</v>
      </c>
      <c r="R230" s="78">
        <f t="shared" ca="1" si="148"/>
        <v>0</v>
      </c>
      <c r="S230" s="78">
        <f t="shared" ca="1" si="148"/>
        <v>0</v>
      </c>
      <c r="T230" s="78">
        <f t="shared" ca="1" si="148"/>
        <v>0</v>
      </c>
      <c r="U230" s="78">
        <f t="shared" ca="1" si="148"/>
        <v>0</v>
      </c>
      <c r="V230" s="78">
        <f t="shared" ca="1" si="148"/>
        <v>0</v>
      </c>
      <c r="W230" s="118">
        <f t="shared" ca="1" si="148"/>
        <v>0</v>
      </c>
      <c r="X230" s="105"/>
    </row>
    <row r="231" spans="1:24" customFormat="1" ht="14.25" customHeight="1">
      <c r="A231" s="39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269" t="str">
        <f ca="1">INDEX(PO!K$11:K$1504,MATCH($A233,PO!$W$11:$W$1504,0))</f>
        <v>9.11.</v>
      </c>
      <c r="M231" s="271" t="str">
        <f ca="1">INDEX(PO!O$11:O$1504,MATCH($A233,PO!$W$11:$W$1504,0))</f>
        <v>Atividade 63 - Palestra: Preservação ambiental e combate epidemia (dengue e outros) Bairro: Frutal de Minas e Jardim Paula II</v>
      </c>
      <c r="N231" s="273">
        <f ca="1">IF(ROUND(K233,2)=0,K233,ROUND(K233,2))</f>
        <v>5687.92</v>
      </c>
      <c r="O231" s="113" t="s">
        <v>33</v>
      </c>
      <c r="P231" s="112"/>
      <c r="Q231" s="59"/>
      <c r="R231" s="59"/>
      <c r="S231" s="59"/>
      <c r="T231" s="59"/>
      <c r="U231" s="59"/>
      <c r="V231" s="59"/>
      <c r="W231" s="59"/>
      <c r="X231" s="105"/>
    </row>
    <row r="232" spans="1:24" customFormat="1" ht="14.25">
      <c r="A232" s="93"/>
      <c r="B232" s="93"/>
      <c r="C232" s="93"/>
      <c r="D232" s="93"/>
      <c r="E232" s="93"/>
      <c r="F232" s="93"/>
      <c r="G232" s="93"/>
      <c r="H232" s="93"/>
      <c r="I232" s="93"/>
      <c r="J232" s="93"/>
      <c r="K232" s="93"/>
      <c r="L232" s="270"/>
      <c r="M232" s="272"/>
      <c r="N232" s="274"/>
      <c r="O232" s="79" t="s">
        <v>35</v>
      </c>
      <c r="P232" s="107">
        <f t="shared" ref="P232:W232" ca="1" si="149">MIN(IF($B233,P231+IF(ISNUMBER(O232),O232,0),P233/$N231),1)</f>
        <v>0</v>
      </c>
      <c r="Q232" s="77">
        <f t="shared" ca="1" si="149"/>
        <v>0</v>
      </c>
      <c r="R232" s="77">
        <f t="shared" ca="1" si="149"/>
        <v>0</v>
      </c>
      <c r="S232" s="77">
        <f t="shared" ca="1" si="149"/>
        <v>0</v>
      </c>
      <c r="T232" s="77">
        <f t="shared" ca="1" si="149"/>
        <v>0</v>
      </c>
      <c r="U232" s="77">
        <f t="shared" ca="1" si="149"/>
        <v>0</v>
      </c>
      <c r="V232" s="77">
        <f t="shared" ca="1" si="149"/>
        <v>0</v>
      </c>
      <c r="W232" s="77">
        <f t="shared" ca="1" si="149"/>
        <v>0</v>
      </c>
      <c r="X232" s="105"/>
    </row>
    <row r="233" spans="1:24" customFormat="1" ht="14.25">
      <c r="A233" s="93">
        <f ca="1">OFFSET(A233,-CFF.NumLinha,0)+1</f>
        <v>72</v>
      </c>
      <c r="B233" s="93" t="b">
        <f ca="1">$C233&gt;=OFFSET($C233,CFF.NumLinha,0)</f>
        <v>1</v>
      </c>
      <c r="C233" s="93">
        <f ca="1">INDEX(PO!A$11:A$1504,MATCH($A233,PO!$W$11:$W$1504,0))</f>
        <v>2</v>
      </c>
      <c r="D233" s="93">
        <f ca="1">IF(ISERROR(J233),I233,SMALL(I233:J233,1))-1</f>
        <v>2</v>
      </c>
      <c r="E233" s="93">
        <f ca="1">IF($C233=1,OFFSET(E233,-CFF.NumLinha,0)+1,OFFSET(E233,-CFF.NumLinha,0))</f>
        <v>9</v>
      </c>
      <c r="F233" s="93">
        <f ca="1">IF($C233=1,0,IF($C233=2,OFFSET(F233,-CFF.NumLinha,0)+1,OFFSET(F233,-CFF.NumLinha,0)))</f>
        <v>11</v>
      </c>
      <c r="G233" s="93">
        <f ca="1">IF(AND($C233&lt;=2,$C233&lt;&gt;0),0,IF($C233=3,OFFSET(G233,-CFF.NumLinha,0)+1,OFFSET(G233,-CFF.NumLinha,0)))</f>
        <v>0</v>
      </c>
      <c r="H233" s="93">
        <f ca="1">IF(AND($C233&lt;=3,$C233&lt;&gt;0),0,IF($C233=4,OFFSET(H233,-CFF.NumLinha,0)+1,OFFSET(H233,-CFF.NumLinha,0)))</f>
        <v>0</v>
      </c>
      <c r="I233" s="93">
        <f ca="1">MATCH(0,OFFSET($D233,1,$C233,ROW($A$435)-ROW($A233)),0)</f>
        <v>3</v>
      </c>
      <c r="J233" s="93" t="e">
        <f ca="1">MATCH(OFFSET($D233,0,$C233)+1,OFFSET($D233,1,$C233,ROW($A$435)-ROW($A233)),0)</f>
        <v>#N/A</v>
      </c>
      <c r="K233" s="94">
        <f ca="1">ROUND(INDEX(PO!U$11:U$1504,MATCH($A233,PO!$W$11:$W$1504,0)),2)+10^-12</f>
        <v>5687.920000000001</v>
      </c>
      <c r="L233" s="270"/>
      <c r="M233" s="272"/>
      <c r="N233" s="274"/>
      <c r="O233" s="115" t="s">
        <v>7</v>
      </c>
      <c r="P233" s="108">
        <f t="shared" ref="P233:W233" ca="1" si="150">IF($B233,ROUND(P232*$N231,2),ROUND(SUMIF(OFFSET($B233,1,0,$D233),TRUE,OFFSET(P233,1,0,$D233))/SUMIF(OFFSET($B233,1,0,$D233),TRUE,OFFSET($K233,1,0,$D233))*$N231,2))</f>
        <v>0</v>
      </c>
      <c r="Q233" s="78">
        <f t="shared" ca="1" si="150"/>
        <v>0</v>
      </c>
      <c r="R233" s="78">
        <f t="shared" ca="1" si="150"/>
        <v>0</v>
      </c>
      <c r="S233" s="78">
        <f t="shared" ca="1" si="150"/>
        <v>0</v>
      </c>
      <c r="T233" s="78">
        <f t="shared" ca="1" si="150"/>
        <v>0</v>
      </c>
      <c r="U233" s="78">
        <f t="shared" ca="1" si="150"/>
        <v>0</v>
      </c>
      <c r="V233" s="78">
        <f t="shared" ca="1" si="150"/>
        <v>0</v>
      </c>
      <c r="W233" s="118">
        <f t="shared" ca="1" si="150"/>
        <v>0</v>
      </c>
      <c r="X233" s="105"/>
    </row>
    <row r="234" spans="1:24" customFormat="1" ht="14.25" customHeight="1">
      <c r="A234" s="39"/>
      <c r="B234" s="39"/>
      <c r="C234" s="39"/>
      <c r="D234" s="39"/>
      <c r="E234" s="39"/>
      <c r="F234" s="39"/>
      <c r="G234" s="39"/>
      <c r="H234" s="39"/>
      <c r="I234" s="39"/>
      <c r="J234" s="39"/>
      <c r="K234" s="39"/>
      <c r="L234" s="269" t="str">
        <f ca="1">INDEX(PO!K$11:K$1504,MATCH($A236,PO!$W$11:$W$1504,0))</f>
        <v>10.</v>
      </c>
      <c r="M234" s="271" t="str">
        <f ca="1">INDEX(PO!O$11:O$1504,MATCH($A236,PO!$W$11:$W$1504,0))</f>
        <v>MÊS 10 - INFORMAÇÕES/AÇÃO DE SAÚDE</v>
      </c>
      <c r="N234" s="273">
        <f ca="1">IF(ROUND(K236,2)=0,K236,ROUND(K236,2))</f>
        <v>61773.08</v>
      </c>
      <c r="O234" s="113" t="s">
        <v>33</v>
      </c>
      <c r="P234" s="112"/>
      <c r="Q234" s="59"/>
      <c r="R234" s="59"/>
      <c r="S234" s="59"/>
      <c r="T234" s="59"/>
      <c r="U234" s="59"/>
      <c r="V234" s="59"/>
      <c r="W234" s="59"/>
      <c r="X234" s="105"/>
    </row>
    <row r="235" spans="1:24" customFormat="1" ht="14.25">
      <c r="A235" s="93"/>
      <c r="B235" s="93"/>
      <c r="C235" s="93"/>
      <c r="D235" s="93"/>
      <c r="E235" s="93"/>
      <c r="F235" s="93"/>
      <c r="G235" s="93"/>
      <c r="H235" s="93"/>
      <c r="I235" s="93"/>
      <c r="J235" s="93"/>
      <c r="K235" s="93"/>
      <c r="L235" s="270"/>
      <c r="M235" s="272"/>
      <c r="N235" s="274"/>
      <c r="O235" s="79" t="s">
        <v>35</v>
      </c>
      <c r="P235" s="107">
        <f t="shared" ref="P235:W235" ca="1" si="151">MIN(IF($B236,P234+IF(ISNUMBER(O235),O235,0),P236/$N234),1)</f>
        <v>0</v>
      </c>
      <c r="Q235" s="77">
        <f t="shared" ca="1" si="151"/>
        <v>0</v>
      </c>
      <c r="R235" s="77">
        <f t="shared" ca="1" si="151"/>
        <v>0</v>
      </c>
      <c r="S235" s="77">
        <f t="shared" ca="1" si="151"/>
        <v>0</v>
      </c>
      <c r="T235" s="77">
        <f t="shared" ca="1" si="151"/>
        <v>0</v>
      </c>
      <c r="U235" s="77">
        <f t="shared" ca="1" si="151"/>
        <v>0</v>
      </c>
      <c r="V235" s="77">
        <f t="shared" ca="1" si="151"/>
        <v>0</v>
      </c>
      <c r="W235" s="77">
        <f t="shared" ca="1" si="151"/>
        <v>0</v>
      </c>
      <c r="X235" s="105"/>
    </row>
    <row r="236" spans="1:24" customFormat="1" ht="14.25">
      <c r="A236" s="93">
        <f ca="1">OFFSET(A236,-CFF.NumLinha,0)+1</f>
        <v>73</v>
      </c>
      <c r="B236" s="93" t="b">
        <f ca="1">$C236&gt;=OFFSET($C236,CFF.NumLinha,0)</f>
        <v>0</v>
      </c>
      <c r="C236" s="93">
        <f ca="1">INDEX(PO!A$11:A$1504,MATCH($A236,PO!$W$11:$W$1504,0))</f>
        <v>1</v>
      </c>
      <c r="D236" s="93">
        <f ca="1">IF(ISERROR(J236),I236,SMALL(I236:J236,1))-1</f>
        <v>26</v>
      </c>
      <c r="E236" s="93">
        <f ca="1">IF($C236=1,OFFSET(E236,-CFF.NumLinha,0)+1,OFFSET(E236,-CFF.NumLinha,0))</f>
        <v>10</v>
      </c>
      <c r="F236" s="93">
        <f ca="1">IF($C236=1,0,IF($C236=2,OFFSET(F236,-CFF.NumLinha,0)+1,OFFSET(F236,-CFF.NumLinha,0)))</f>
        <v>0</v>
      </c>
      <c r="G236" s="93">
        <f ca="1">IF(AND($C236&lt;=2,$C236&lt;&gt;0),0,IF($C236=3,OFFSET(G236,-CFF.NumLinha,0)+1,OFFSET(G236,-CFF.NumLinha,0)))</f>
        <v>0</v>
      </c>
      <c r="H236" s="93">
        <f ca="1">IF(AND($C236&lt;=3,$C236&lt;&gt;0),0,IF($C236=4,OFFSET(H236,-CFF.NumLinha,0)+1,OFFSET(H236,-CFF.NumLinha,0)))</f>
        <v>0</v>
      </c>
      <c r="I236" s="93">
        <f ca="1">MATCH(0,OFFSET($D236,1,$C236,ROW($A$435)-ROW($A236)),0)</f>
        <v>199</v>
      </c>
      <c r="J236" s="93">
        <f ca="1">MATCH(OFFSET($D236,0,$C236)+1,OFFSET($D236,1,$C236,ROW($A$435)-ROW($A236)),0)</f>
        <v>27</v>
      </c>
      <c r="K236" s="94">
        <f ca="1">ROUND(INDEX(PO!U$11:U$1504,MATCH($A236,PO!$W$11:$W$1504,0)),2)+10^-12</f>
        <v>61773.08</v>
      </c>
      <c r="L236" s="270"/>
      <c r="M236" s="272"/>
      <c r="N236" s="274"/>
      <c r="O236" s="115" t="s">
        <v>7</v>
      </c>
      <c r="P236" s="108">
        <f t="shared" ref="P236:W236" ca="1" si="152">IF($B236,ROUND(P235*$N234,2),ROUND(SUMIF(OFFSET($B236,1,0,$D236),TRUE,OFFSET(P236,1,0,$D236))/SUMIF(OFFSET($B236,1,0,$D236),TRUE,OFFSET($K236,1,0,$D236))*$N234,2))</f>
        <v>0</v>
      </c>
      <c r="Q236" s="78">
        <f t="shared" ca="1" si="152"/>
        <v>0</v>
      </c>
      <c r="R236" s="78">
        <f t="shared" ca="1" si="152"/>
        <v>0</v>
      </c>
      <c r="S236" s="78">
        <f t="shared" ca="1" si="152"/>
        <v>0</v>
      </c>
      <c r="T236" s="78">
        <f t="shared" ca="1" si="152"/>
        <v>0</v>
      </c>
      <c r="U236" s="78">
        <f t="shared" ca="1" si="152"/>
        <v>0</v>
      </c>
      <c r="V236" s="78">
        <f t="shared" ca="1" si="152"/>
        <v>0</v>
      </c>
      <c r="W236" s="118">
        <f t="shared" ca="1" si="152"/>
        <v>0</v>
      </c>
      <c r="X236" s="105"/>
    </row>
    <row r="237" spans="1:24" customFormat="1" ht="14.25" customHeight="1">
      <c r="A237" s="39"/>
      <c r="B237" s="39"/>
      <c r="C237" s="39"/>
      <c r="D237" s="39"/>
      <c r="E237" s="39"/>
      <c r="F237" s="39"/>
      <c r="G237" s="39"/>
      <c r="H237" s="39"/>
      <c r="I237" s="39"/>
      <c r="J237" s="39"/>
      <c r="K237" s="39"/>
      <c r="L237" s="269" t="str">
        <f ca="1">INDEX(PO!K$11:K$1504,MATCH($A239,PO!$W$11:$W$1504,0))</f>
        <v>10.1.</v>
      </c>
      <c r="M237" s="271" t="str">
        <f ca="1">INDEX(PO!O$11:O$1504,MATCH($A239,PO!$W$11:$W$1504,0))</f>
        <v>Atividade 64 - Ação de saúde e gincana interativa região Parque São João</v>
      </c>
      <c r="N237" s="273">
        <f ca="1">IF(ROUND(K239,2)=0,K239,ROUND(K239,2))</f>
        <v>14631.57</v>
      </c>
      <c r="O237" s="113" t="s">
        <v>33</v>
      </c>
      <c r="P237" s="112"/>
      <c r="Q237" s="59"/>
      <c r="R237" s="59"/>
      <c r="S237" s="59"/>
      <c r="T237" s="59"/>
      <c r="U237" s="59"/>
      <c r="V237" s="59"/>
      <c r="W237" s="59"/>
      <c r="X237" s="105"/>
    </row>
    <row r="238" spans="1:24" customFormat="1" ht="14.25">
      <c r="A238" s="93"/>
      <c r="B238" s="93"/>
      <c r="C238" s="93"/>
      <c r="D238" s="93"/>
      <c r="E238" s="93"/>
      <c r="F238" s="93"/>
      <c r="G238" s="93"/>
      <c r="H238" s="93"/>
      <c r="I238" s="93"/>
      <c r="J238" s="93"/>
      <c r="K238" s="93"/>
      <c r="L238" s="270"/>
      <c r="M238" s="272"/>
      <c r="N238" s="274"/>
      <c r="O238" s="79" t="s">
        <v>35</v>
      </c>
      <c r="P238" s="107">
        <f t="shared" ref="P238:W238" ca="1" si="153">MIN(IF($B239,P237+IF(ISNUMBER(O238),O238,0),P239/$N237),1)</f>
        <v>0</v>
      </c>
      <c r="Q238" s="77">
        <f t="shared" ca="1" si="153"/>
        <v>0</v>
      </c>
      <c r="R238" s="77">
        <f t="shared" ca="1" si="153"/>
        <v>0</v>
      </c>
      <c r="S238" s="77">
        <f t="shared" ca="1" si="153"/>
        <v>0</v>
      </c>
      <c r="T238" s="77">
        <f t="shared" ca="1" si="153"/>
        <v>0</v>
      </c>
      <c r="U238" s="77">
        <f t="shared" ca="1" si="153"/>
        <v>0</v>
      </c>
      <c r="V238" s="77">
        <f t="shared" ca="1" si="153"/>
        <v>0</v>
      </c>
      <c r="W238" s="77">
        <f t="shared" ca="1" si="153"/>
        <v>0</v>
      </c>
      <c r="X238" s="105"/>
    </row>
    <row r="239" spans="1:24" customFormat="1" ht="14.25">
      <c r="A239" s="93">
        <f ca="1">OFFSET(A239,-CFF.NumLinha,0)+1</f>
        <v>74</v>
      </c>
      <c r="B239" s="93" t="b">
        <f ca="1">$C239&gt;=OFFSET($C239,CFF.NumLinha,0)</f>
        <v>1</v>
      </c>
      <c r="C239" s="93">
        <f ca="1">INDEX(PO!A$11:A$1504,MATCH($A239,PO!$W$11:$W$1504,0))</f>
        <v>2</v>
      </c>
      <c r="D239" s="93">
        <f ca="1">IF(ISERROR(J239),I239,SMALL(I239:J239,1))-1</f>
        <v>2</v>
      </c>
      <c r="E239" s="93">
        <f ca="1">IF($C239=1,OFFSET(E239,-CFF.NumLinha,0)+1,OFFSET(E239,-CFF.NumLinha,0))</f>
        <v>10</v>
      </c>
      <c r="F239" s="93">
        <f ca="1">IF($C239=1,0,IF($C239=2,OFFSET(F239,-CFF.NumLinha,0)+1,OFFSET(F239,-CFF.NumLinha,0)))</f>
        <v>1</v>
      </c>
      <c r="G239" s="93">
        <f ca="1">IF(AND($C239&lt;=2,$C239&lt;&gt;0),0,IF($C239=3,OFFSET(G239,-CFF.NumLinha,0)+1,OFFSET(G239,-CFF.NumLinha,0)))</f>
        <v>0</v>
      </c>
      <c r="H239" s="93">
        <f ca="1">IF(AND($C239&lt;=3,$C239&lt;&gt;0),0,IF($C239=4,OFFSET(H239,-CFF.NumLinha,0)+1,OFFSET(H239,-CFF.NumLinha,0)))</f>
        <v>0</v>
      </c>
      <c r="I239" s="93">
        <f ca="1">MATCH(0,OFFSET($D239,1,$C239,ROW($A$435)-ROW($A239)),0)</f>
        <v>24</v>
      </c>
      <c r="J239" s="93">
        <f ca="1">MATCH(OFFSET($D239,0,$C239)+1,OFFSET($D239,1,$C239,ROW($A$435)-ROW($A239)),0)</f>
        <v>3</v>
      </c>
      <c r="K239" s="94">
        <f ca="1">ROUND(INDEX(PO!U$11:U$1504,MATCH($A239,PO!$W$11:$W$1504,0)),2)+10^-12</f>
        <v>14631.570000000002</v>
      </c>
      <c r="L239" s="270"/>
      <c r="M239" s="272"/>
      <c r="N239" s="274"/>
      <c r="O239" s="115" t="s">
        <v>7</v>
      </c>
      <c r="P239" s="108">
        <f t="shared" ref="P239:W239" ca="1" si="154">IF($B239,ROUND(P238*$N237,2),ROUND(SUMIF(OFFSET($B239,1,0,$D239),TRUE,OFFSET(P239,1,0,$D239))/SUMIF(OFFSET($B239,1,0,$D239),TRUE,OFFSET($K239,1,0,$D239))*$N237,2))</f>
        <v>0</v>
      </c>
      <c r="Q239" s="78">
        <f t="shared" ca="1" si="154"/>
        <v>0</v>
      </c>
      <c r="R239" s="78">
        <f t="shared" ca="1" si="154"/>
        <v>0</v>
      </c>
      <c r="S239" s="78">
        <f t="shared" ca="1" si="154"/>
        <v>0</v>
      </c>
      <c r="T239" s="78">
        <f t="shared" ca="1" si="154"/>
        <v>0</v>
      </c>
      <c r="U239" s="78">
        <f t="shared" ca="1" si="154"/>
        <v>0</v>
      </c>
      <c r="V239" s="78">
        <f t="shared" ca="1" si="154"/>
        <v>0</v>
      </c>
      <c r="W239" s="118">
        <f t="shared" ca="1" si="154"/>
        <v>0</v>
      </c>
      <c r="X239" s="105"/>
    </row>
    <row r="240" spans="1:24" customFormat="1" ht="14.25" customHeight="1">
      <c r="A240" s="39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269" t="str">
        <f ca="1">INDEX(PO!K$11:K$1504,MATCH($A242,PO!$W$11:$W$1504,0))</f>
        <v>10.2.</v>
      </c>
      <c r="M240" s="271" t="str">
        <f ca="1">INDEX(PO!O$11:O$1504,MATCH($A242,PO!$W$11:$W$1504,0))</f>
        <v>Atividade 65 - Plantão Social região Parque São João</v>
      </c>
      <c r="N240" s="273">
        <f ca="1">IF(ROUND(K242,2)=0,K242,ROUND(K242,2))</f>
        <v>3427.56</v>
      </c>
      <c r="O240" s="113" t="s">
        <v>33</v>
      </c>
      <c r="P240" s="112"/>
      <c r="Q240" s="59"/>
      <c r="R240" s="59"/>
      <c r="S240" s="59"/>
      <c r="T240" s="59"/>
      <c r="U240" s="59"/>
      <c r="V240" s="59"/>
      <c r="W240" s="59"/>
      <c r="X240" s="105"/>
    </row>
    <row r="241" spans="1:24" customFormat="1" ht="14.25">
      <c r="A241" s="93"/>
      <c r="B241" s="93"/>
      <c r="C241" s="93"/>
      <c r="D241" s="93"/>
      <c r="E241" s="93"/>
      <c r="F241" s="93"/>
      <c r="G241" s="93"/>
      <c r="H241" s="93"/>
      <c r="I241" s="93"/>
      <c r="J241" s="93"/>
      <c r="K241" s="93"/>
      <c r="L241" s="270"/>
      <c r="M241" s="272"/>
      <c r="N241" s="274"/>
      <c r="O241" s="79" t="s">
        <v>35</v>
      </c>
      <c r="P241" s="107">
        <f t="shared" ref="P241:W241" ca="1" si="155">MIN(IF($B242,P240+IF(ISNUMBER(O241),O241,0),P242/$N240),1)</f>
        <v>0</v>
      </c>
      <c r="Q241" s="77">
        <f t="shared" ca="1" si="155"/>
        <v>0</v>
      </c>
      <c r="R241" s="77">
        <f t="shared" ca="1" si="155"/>
        <v>0</v>
      </c>
      <c r="S241" s="77">
        <f t="shared" ca="1" si="155"/>
        <v>0</v>
      </c>
      <c r="T241" s="77">
        <f t="shared" ca="1" si="155"/>
        <v>0</v>
      </c>
      <c r="U241" s="77">
        <f t="shared" ca="1" si="155"/>
        <v>0</v>
      </c>
      <c r="V241" s="77">
        <f t="shared" ca="1" si="155"/>
        <v>0</v>
      </c>
      <c r="W241" s="77">
        <f t="shared" ca="1" si="155"/>
        <v>0</v>
      </c>
      <c r="X241" s="105"/>
    </row>
    <row r="242" spans="1:24" customFormat="1" ht="14.25">
      <c r="A242" s="93">
        <f ca="1">OFFSET(A242,-CFF.NumLinha,0)+1</f>
        <v>75</v>
      </c>
      <c r="B242" s="93" t="b">
        <f ca="1">$C242&gt;=OFFSET($C242,CFF.NumLinha,0)</f>
        <v>1</v>
      </c>
      <c r="C242" s="93">
        <f ca="1">INDEX(PO!A$11:A$1504,MATCH($A242,PO!$W$11:$W$1504,0))</f>
        <v>2</v>
      </c>
      <c r="D242" s="93">
        <f ca="1">IF(ISERROR(J242),I242,SMALL(I242:J242,1))-1</f>
        <v>2</v>
      </c>
      <c r="E242" s="93">
        <f ca="1">IF($C242=1,OFFSET(E242,-CFF.NumLinha,0)+1,OFFSET(E242,-CFF.NumLinha,0))</f>
        <v>10</v>
      </c>
      <c r="F242" s="93">
        <f ca="1">IF($C242=1,0,IF($C242=2,OFFSET(F242,-CFF.NumLinha,0)+1,OFFSET(F242,-CFF.NumLinha,0)))</f>
        <v>2</v>
      </c>
      <c r="G242" s="93">
        <f ca="1">IF(AND($C242&lt;=2,$C242&lt;&gt;0),0,IF($C242=3,OFFSET(G242,-CFF.NumLinha,0)+1,OFFSET(G242,-CFF.NumLinha,0)))</f>
        <v>0</v>
      </c>
      <c r="H242" s="93">
        <f ca="1">IF(AND($C242&lt;=3,$C242&lt;&gt;0),0,IF($C242=4,OFFSET(H242,-CFF.NumLinha,0)+1,OFFSET(H242,-CFF.NumLinha,0)))</f>
        <v>0</v>
      </c>
      <c r="I242" s="93">
        <f ca="1">MATCH(0,OFFSET($D242,1,$C242,ROW($A$435)-ROW($A242)),0)</f>
        <v>21</v>
      </c>
      <c r="J242" s="93">
        <f ca="1">MATCH(OFFSET($D242,0,$C242)+1,OFFSET($D242,1,$C242,ROW($A$435)-ROW($A242)),0)</f>
        <v>3</v>
      </c>
      <c r="K242" s="94">
        <f ca="1">ROUND(INDEX(PO!U$11:U$1504,MATCH($A242,PO!$W$11:$W$1504,0)),2)+10^-12</f>
        <v>3427.5600000000009</v>
      </c>
      <c r="L242" s="270"/>
      <c r="M242" s="272"/>
      <c r="N242" s="274"/>
      <c r="O242" s="115" t="s">
        <v>7</v>
      </c>
      <c r="P242" s="108">
        <f t="shared" ref="P242:W242" ca="1" si="156">IF($B242,ROUND(P241*$N240,2),ROUND(SUMIF(OFFSET($B242,1,0,$D242),TRUE,OFFSET(P242,1,0,$D242))/SUMIF(OFFSET($B242,1,0,$D242),TRUE,OFFSET($K242,1,0,$D242))*$N240,2))</f>
        <v>0</v>
      </c>
      <c r="Q242" s="78">
        <f t="shared" ca="1" si="156"/>
        <v>0</v>
      </c>
      <c r="R242" s="78">
        <f t="shared" ca="1" si="156"/>
        <v>0</v>
      </c>
      <c r="S242" s="78">
        <f t="shared" ca="1" si="156"/>
        <v>0</v>
      </c>
      <c r="T242" s="78">
        <f t="shared" ca="1" si="156"/>
        <v>0</v>
      </c>
      <c r="U242" s="78">
        <f t="shared" ca="1" si="156"/>
        <v>0</v>
      </c>
      <c r="V242" s="78">
        <f t="shared" ca="1" si="156"/>
        <v>0</v>
      </c>
      <c r="W242" s="118">
        <f t="shared" ca="1" si="156"/>
        <v>0</v>
      </c>
      <c r="X242" s="105"/>
    </row>
    <row r="243" spans="1:24" customFormat="1" ht="14.25" customHeight="1">
      <c r="A243" s="39"/>
      <c r="B243" s="39"/>
      <c r="C243" s="39"/>
      <c r="D243" s="39"/>
      <c r="E243" s="39"/>
      <c r="F243" s="39"/>
      <c r="G243" s="39"/>
      <c r="H243" s="39"/>
      <c r="I243" s="39"/>
      <c r="J243" s="39"/>
      <c r="K243" s="39"/>
      <c r="L243" s="269" t="str">
        <f ca="1">INDEX(PO!K$11:K$1504,MATCH($A245,PO!$W$11:$W$1504,0))</f>
        <v>10.3.</v>
      </c>
      <c r="M243" s="271" t="str">
        <f ca="1">INDEX(PO!O$11:O$1504,MATCH($A245,PO!$W$11:$W$1504,0))</f>
        <v>Atividade 66 - Ação de saúde e gincana interativa região Jardim Ikaraí</v>
      </c>
      <c r="N243" s="273">
        <f ca="1">IF(ROUND(K245,2)=0,K245,ROUND(K245,2))</f>
        <v>9603.68</v>
      </c>
      <c r="O243" s="113" t="s">
        <v>33</v>
      </c>
      <c r="P243" s="112"/>
      <c r="Q243" s="59"/>
      <c r="R243" s="59"/>
      <c r="S243" s="59"/>
      <c r="T243" s="59"/>
      <c r="U243" s="59"/>
      <c r="V243" s="59"/>
      <c r="W243" s="59"/>
      <c r="X243" s="105"/>
    </row>
    <row r="244" spans="1:24" customFormat="1" ht="14.25">
      <c r="A244" s="93"/>
      <c r="B244" s="93"/>
      <c r="C244" s="93"/>
      <c r="D244" s="93"/>
      <c r="E244" s="93"/>
      <c r="F244" s="93"/>
      <c r="G244" s="93"/>
      <c r="H244" s="93"/>
      <c r="I244" s="93"/>
      <c r="J244" s="93"/>
      <c r="K244" s="93"/>
      <c r="L244" s="270"/>
      <c r="M244" s="272"/>
      <c r="N244" s="274"/>
      <c r="O244" s="79" t="s">
        <v>35</v>
      </c>
      <c r="P244" s="107">
        <f t="shared" ref="P244:W244" ca="1" si="157">MIN(IF($B245,P243+IF(ISNUMBER(O244),O244,0),P245/$N243),1)</f>
        <v>0</v>
      </c>
      <c r="Q244" s="77">
        <f t="shared" ca="1" si="157"/>
        <v>0</v>
      </c>
      <c r="R244" s="77">
        <f t="shared" ca="1" si="157"/>
        <v>0</v>
      </c>
      <c r="S244" s="77">
        <f t="shared" ca="1" si="157"/>
        <v>0</v>
      </c>
      <c r="T244" s="77">
        <f t="shared" ca="1" si="157"/>
        <v>0</v>
      </c>
      <c r="U244" s="77">
        <f t="shared" ca="1" si="157"/>
        <v>0</v>
      </c>
      <c r="V244" s="77">
        <f t="shared" ca="1" si="157"/>
        <v>0</v>
      </c>
      <c r="W244" s="77">
        <f t="shared" ca="1" si="157"/>
        <v>0</v>
      </c>
      <c r="X244" s="105"/>
    </row>
    <row r="245" spans="1:24" customFormat="1" ht="14.25">
      <c r="A245" s="93">
        <f ca="1">OFFSET(A245,-CFF.NumLinha,0)+1</f>
        <v>76</v>
      </c>
      <c r="B245" s="93" t="b">
        <f ca="1">$C245&gt;=OFFSET($C245,CFF.NumLinha,0)</f>
        <v>1</v>
      </c>
      <c r="C245" s="93">
        <f ca="1">INDEX(PO!A$11:A$1504,MATCH($A245,PO!$W$11:$W$1504,0))</f>
        <v>2</v>
      </c>
      <c r="D245" s="93">
        <f ca="1">IF(ISERROR(J245),I245,SMALL(I245:J245,1))-1</f>
        <v>2</v>
      </c>
      <c r="E245" s="93">
        <f ca="1">IF($C245=1,OFFSET(E245,-CFF.NumLinha,0)+1,OFFSET(E245,-CFF.NumLinha,0))</f>
        <v>10</v>
      </c>
      <c r="F245" s="93">
        <f ca="1">IF($C245=1,0,IF($C245=2,OFFSET(F245,-CFF.NumLinha,0)+1,OFFSET(F245,-CFF.NumLinha,0)))</f>
        <v>3</v>
      </c>
      <c r="G245" s="93">
        <f ca="1">IF(AND($C245&lt;=2,$C245&lt;&gt;0),0,IF($C245=3,OFFSET(G245,-CFF.NumLinha,0)+1,OFFSET(G245,-CFF.NumLinha,0)))</f>
        <v>0</v>
      </c>
      <c r="H245" s="93">
        <f ca="1">IF(AND($C245&lt;=3,$C245&lt;&gt;0),0,IF($C245=4,OFFSET(H245,-CFF.NumLinha,0)+1,OFFSET(H245,-CFF.NumLinha,0)))</f>
        <v>0</v>
      </c>
      <c r="I245" s="93">
        <f ca="1">MATCH(0,OFFSET($D245,1,$C245,ROW($A$435)-ROW($A245)),0)</f>
        <v>18</v>
      </c>
      <c r="J245" s="93">
        <f ca="1">MATCH(OFFSET($D245,0,$C245)+1,OFFSET($D245,1,$C245,ROW($A$435)-ROW($A245)),0)</f>
        <v>3</v>
      </c>
      <c r="K245" s="94">
        <f ca="1">ROUND(INDEX(PO!U$11:U$1504,MATCH($A245,PO!$W$11:$W$1504,0)),2)+10^-12</f>
        <v>9603.6800000000021</v>
      </c>
      <c r="L245" s="270"/>
      <c r="M245" s="272"/>
      <c r="N245" s="274"/>
      <c r="O245" s="115" t="s">
        <v>7</v>
      </c>
      <c r="P245" s="108">
        <f t="shared" ref="P245:W245" ca="1" si="158">IF($B245,ROUND(P244*$N243,2),ROUND(SUMIF(OFFSET($B245,1,0,$D245),TRUE,OFFSET(P245,1,0,$D245))/SUMIF(OFFSET($B245,1,0,$D245),TRUE,OFFSET($K245,1,0,$D245))*$N243,2))</f>
        <v>0</v>
      </c>
      <c r="Q245" s="78">
        <f t="shared" ca="1" si="158"/>
        <v>0</v>
      </c>
      <c r="R245" s="78">
        <f t="shared" ca="1" si="158"/>
        <v>0</v>
      </c>
      <c r="S245" s="78">
        <f t="shared" ca="1" si="158"/>
        <v>0</v>
      </c>
      <c r="T245" s="78">
        <f t="shared" ca="1" si="158"/>
        <v>0</v>
      </c>
      <c r="U245" s="78">
        <f t="shared" ca="1" si="158"/>
        <v>0</v>
      </c>
      <c r="V245" s="78">
        <f t="shared" ca="1" si="158"/>
        <v>0</v>
      </c>
      <c r="W245" s="118">
        <f t="shared" ca="1" si="158"/>
        <v>0</v>
      </c>
      <c r="X245" s="105"/>
    </row>
    <row r="246" spans="1:24" customFormat="1" ht="14.25" customHeight="1">
      <c r="A246" s="39"/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269" t="str">
        <f ca="1">INDEX(PO!K$11:K$1504,MATCH($A248,PO!$W$11:$W$1504,0))</f>
        <v>10.4.</v>
      </c>
      <c r="M246" s="271" t="str">
        <f ca="1">INDEX(PO!O$11:O$1504,MATCH($A248,PO!$W$11:$W$1504,0))</f>
        <v>Atividade 67 - Plantão Social região Jardim Ikaraí</v>
      </c>
      <c r="N246" s="273">
        <f ca="1">IF(ROUND(K248,2)=0,K248,ROUND(K248,2))</f>
        <v>3427.56</v>
      </c>
      <c r="O246" s="113" t="s">
        <v>33</v>
      </c>
      <c r="P246" s="112"/>
      <c r="Q246" s="59"/>
      <c r="R246" s="59"/>
      <c r="S246" s="59"/>
      <c r="T246" s="59"/>
      <c r="U246" s="59"/>
      <c r="V246" s="59"/>
      <c r="W246" s="59"/>
      <c r="X246" s="105"/>
    </row>
    <row r="247" spans="1:24" customFormat="1" ht="14.25">
      <c r="A247" s="93"/>
      <c r="B247" s="93"/>
      <c r="C247" s="93"/>
      <c r="D247" s="93"/>
      <c r="E247" s="93"/>
      <c r="F247" s="93"/>
      <c r="G247" s="93"/>
      <c r="H247" s="93"/>
      <c r="I247" s="93"/>
      <c r="J247" s="93"/>
      <c r="K247" s="93"/>
      <c r="L247" s="270"/>
      <c r="M247" s="272"/>
      <c r="N247" s="274"/>
      <c r="O247" s="79" t="s">
        <v>35</v>
      </c>
      <c r="P247" s="107">
        <f t="shared" ref="P247:W247" ca="1" si="159">MIN(IF($B248,P246+IF(ISNUMBER(O247),O247,0),P248/$N246),1)</f>
        <v>0</v>
      </c>
      <c r="Q247" s="77">
        <f t="shared" ca="1" si="159"/>
        <v>0</v>
      </c>
      <c r="R247" s="77">
        <f t="shared" ca="1" si="159"/>
        <v>0</v>
      </c>
      <c r="S247" s="77">
        <f t="shared" ca="1" si="159"/>
        <v>0</v>
      </c>
      <c r="T247" s="77">
        <f t="shared" ca="1" si="159"/>
        <v>0</v>
      </c>
      <c r="U247" s="77">
        <f t="shared" ca="1" si="159"/>
        <v>0</v>
      </c>
      <c r="V247" s="77">
        <f t="shared" ca="1" si="159"/>
        <v>0</v>
      </c>
      <c r="W247" s="77">
        <f t="shared" ca="1" si="159"/>
        <v>0</v>
      </c>
      <c r="X247" s="105"/>
    </row>
    <row r="248" spans="1:24" customFormat="1" ht="14.25">
      <c r="A248" s="93">
        <f ca="1">OFFSET(A248,-CFF.NumLinha,0)+1</f>
        <v>77</v>
      </c>
      <c r="B248" s="93" t="b">
        <f ca="1">$C248&gt;=OFFSET($C248,CFF.NumLinha,0)</f>
        <v>1</v>
      </c>
      <c r="C248" s="93">
        <f ca="1">INDEX(PO!A$11:A$1504,MATCH($A248,PO!$W$11:$W$1504,0))</f>
        <v>2</v>
      </c>
      <c r="D248" s="93">
        <f ca="1">IF(ISERROR(J248),I248,SMALL(I248:J248,1))-1</f>
        <v>2</v>
      </c>
      <c r="E248" s="93">
        <f ca="1">IF($C248=1,OFFSET(E248,-CFF.NumLinha,0)+1,OFFSET(E248,-CFF.NumLinha,0))</f>
        <v>10</v>
      </c>
      <c r="F248" s="93">
        <f ca="1">IF($C248=1,0,IF($C248=2,OFFSET(F248,-CFF.NumLinha,0)+1,OFFSET(F248,-CFF.NumLinha,0)))</f>
        <v>4</v>
      </c>
      <c r="G248" s="93">
        <f ca="1">IF(AND($C248&lt;=2,$C248&lt;&gt;0),0,IF($C248=3,OFFSET(G248,-CFF.NumLinha,0)+1,OFFSET(G248,-CFF.NumLinha,0)))</f>
        <v>0</v>
      </c>
      <c r="H248" s="93">
        <f ca="1">IF(AND($C248&lt;=3,$C248&lt;&gt;0),0,IF($C248=4,OFFSET(H248,-CFF.NumLinha,0)+1,OFFSET(H248,-CFF.NumLinha,0)))</f>
        <v>0</v>
      </c>
      <c r="I248" s="93">
        <f ca="1">MATCH(0,OFFSET($D248,1,$C248,ROW($A$435)-ROW($A248)),0)</f>
        <v>15</v>
      </c>
      <c r="J248" s="93">
        <f ca="1">MATCH(OFFSET($D248,0,$C248)+1,OFFSET($D248,1,$C248,ROW($A$435)-ROW($A248)),0)</f>
        <v>3</v>
      </c>
      <c r="K248" s="94">
        <f ca="1">ROUND(INDEX(PO!U$11:U$1504,MATCH($A248,PO!$W$11:$W$1504,0)),2)+10^-12</f>
        <v>3427.5600000000009</v>
      </c>
      <c r="L248" s="270"/>
      <c r="M248" s="272"/>
      <c r="N248" s="274"/>
      <c r="O248" s="115" t="s">
        <v>7</v>
      </c>
      <c r="P248" s="108">
        <f t="shared" ref="P248:W248" ca="1" si="160">IF($B248,ROUND(P247*$N246,2),ROUND(SUMIF(OFFSET($B248,1,0,$D248),TRUE,OFFSET(P248,1,0,$D248))/SUMIF(OFFSET($B248,1,0,$D248),TRUE,OFFSET($K248,1,0,$D248))*$N246,2))</f>
        <v>0</v>
      </c>
      <c r="Q248" s="78">
        <f t="shared" ca="1" si="160"/>
        <v>0</v>
      </c>
      <c r="R248" s="78">
        <f t="shared" ca="1" si="160"/>
        <v>0</v>
      </c>
      <c r="S248" s="78">
        <f t="shared" ca="1" si="160"/>
        <v>0</v>
      </c>
      <c r="T248" s="78">
        <f t="shared" ca="1" si="160"/>
        <v>0</v>
      </c>
      <c r="U248" s="78">
        <f t="shared" ca="1" si="160"/>
        <v>0</v>
      </c>
      <c r="V248" s="78">
        <f t="shared" ca="1" si="160"/>
        <v>0</v>
      </c>
      <c r="W248" s="118">
        <f t="shared" ca="1" si="160"/>
        <v>0</v>
      </c>
      <c r="X248" s="105"/>
    </row>
    <row r="249" spans="1:24" customFormat="1" ht="14.25" customHeight="1">
      <c r="A249" s="39"/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269" t="str">
        <f ca="1">INDEX(PO!K$11:K$1504,MATCH($A251,PO!$W$11:$W$1504,0))</f>
        <v>10.5.</v>
      </c>
      <c r="M249" s="271" t="str">
        <f ca="1">INDEX(PO!O$11:O$1504,MATCH($A251,PO!$W$11:$W$1504,0))</f>
        <v>Atividade 68 - Ação de saúde e gincana interativa Bairro: Frutal de Minas e Jardim PaulaII</v>
      </c>
      <c r="N249" s="273">
        <f ca="1">IF(ROUND(K251,2)=0,K251,ROUND(K251,2))</f>
        <v>6603.71</v>
      </c>
      <c r="O249" s="113" t="s">
        <v>33</v>
      </c>
      <c r="P249" s="112"/>
      <c r="Q249" s="59"/>
      <c r="R249" s="59"/>
      <c r="S249" s="59"/>
      <c r="T249" s="59"/>
      <c r="U249" s="59"/>
      <c r="V249" s="59"/>
      <c r="W249" s="59"/>
      <c r="X249" s="105"/>
    </row>
    <row r="250" spans="1:24" customFormat="1" ht="14.25">
      <c r="A250" s="93"/>
      <c r="B250" s="93"/>
      <c r="C250" s="93"/>
      <c r="D250" s="93"/>
      <c r="E250" s="93"/>
      <c r="F250" s="93"/>
      <c r="G250" s="93"/>
      <c r="H250" s="93"/>
      <c r="I250" s="93"/>
      <c r="J250" s="93"/>
      <c r="K250" s="93"/>
      <c r="L250" s="270"/>
      <c r="M250" s="272"/>
      <c r="N250" s="274"/>
      <c r="O250" s="79" t="s">
        <v>35</v>
      </c>
      <c r="P250" s="107">
        <f t="shared" ref="P250:W250" ca="1" si="161">MIN(IF($B251,P249+IF(ISNUMBER(O250),O250,0),P251/$N249),1)</f>
        <v>0</v>
      </c>
      <c r="Q250" s="77">
        <f t="shared" ca="1" si="161"/>
        <v>0</v>
      </c>
      <c r="R250" s="77">
        <f t="shared" ca="1" si="161"/>
        <v>0</v>
      </c>
      <c r="S250" s="77">
        <f t="shared" ca="1" si="161"/>
        <v>0</v>
      </c>
      <c r="T250" s="77">
        <f t="shared" ca="1" si="161"/>
        <v>0</v>
      </c>
      <c r="U250" s="77">
        <f t="shared" ca="1" si="161"/>
        <v>0</v>
      </c>
      <c r="V250" s="77">
        <f t="shared" ca="1" si="161"/>
        <v>0</v>
      </c>
      <c r="W250" s="77">
        <f t="shared" ca="1" si="161"/>
        <v>0</v>
      </c>
      <c r="X250" s="105"/>
    </row>
    <row r="251" spans="1:24" customFormat="1" ht="14.25">
      <c r="A251" s="93">
        <f ca="1">OFFSET(A251,-CFF.NumLinha,0)+1</f>
        <v>78</v>
      </c>
      <c r="B251" s="93" t="b">
        <f ca="1">$C251&gt;=OFFSET($C251,CFF.NumLinha,0)</f>
        <v>1</v>
      </c>
      <c r="C251" s="93">
        <f ca="1">INDEX(PO!A$11:A$1504,MATCH($A251,PO!$W$11:$W$1504,0))</f>
        <v>2</v>
      </c>
      <c r="D251" s="93">
        <f ca="1">IF(ISERROR(J251),I251,SMALL(I251:J251,1))-1</f>
        <v>2</v>
      </c>
      <c r="E251" s="93">
        <f ca="1">IF($C251=1,OFFSET(E251,-CFF.NumLinha,0)+1,OFFSET(E251,-CFF.NumLinha,0))</f>
        <v>10</v>
      </c>
      <c r="F251" s="93">
        <f ca="1">IF($C251=1,0,IF($C251=2,OFFSET(F251,-CFF.NumLinha,0)+1,OFFSET(F251,-CFF.NumLinha,0)))</f>
        <v>5</v>
      </c>
      <c r="G251" s="93">
        <f ca="1">IF(AND($C251&lt;=2,$C251&lt;&gt;0),0,IF($C251=3,OFFSET(G251,-CFF.NumLinha,0)+1,OFFSET(G251,-CFF.NumLinha,0)))</f>
        <v>0</v>
      </c>
      <c r="H251" s="93">
        <f ca="1">IF(AND($C251&lt;=3,$C251&lt;&gt;0),0,IF($C251=4,OFFSET(H251,-CFF.NumLinha,0)+1,OFFSET(H251,-CFF.NumLinha,0)))</f>
        <v>0</v>
      </c>
      <c r="I251" s="93">
        <f ca="1">MATCH(0,OFFSET($D251,1,$C251,ROW($A$435)-ROW($A251)),0)</f>
        <v>12</v>
      </c>
      <c r="J251" s="93">
        <f ca="1">MATCH(OFFSET($D251,0,$C251)+1,OFFSET($D251,1,$C251,ROW($A$435)-ROW($A251)),0)</f>
        <v>3</v>
      </c>
      <c r="K251" s="94">
        <f ca="1">ROUND(INDEX(PO!U$11:U$1504,MATCH($A251,PO!$W$11:$W$1504,0)),2)+10^-12</f>
        <v>6603.7100000000009</v>
      </c>
      <c r="L251" s="270"/>
      <c r="M251" s="272"/>
      <c r="N251" s="274"/>
      <c r="O251" s="115" t="s">
        <v>7</v>
      </c>
      <c r="P251" s="108">
        <f t="shared" ref="P251:W251" ca="1" si="162">IF($B251,ROUND(P250*$N249,2),ROUND(SUMIF(OFFSET($B251,1,0,$D251),TRUE,OFFSET(P251,1,0,$D251))/SUMIF(OFFSET($B251,1,0,$D251),TRUE,OFFSET($K251,1,0,$D251))*$N249,2))</f>
        <v>0</v>
      </c>
      <c r="Q251" s="78">
        <f t="shared" ca="1" si="162"/>
        <v>0</v>
      </c>
      <c r="R251" s="78">
        <f t="shared" ca="1" si="162"/>
        <v>0</v>
      </c>
      <c r="S251" s="78">
        <f t="shared" ca="1" si="162"/>
        <v>0</v>
      </c>
      <c r="T251" s="78">
        <f t="shared" ca="1" si="162"/>
        <v>0</v>
      </c>
      <c r="U251" s="78">
        <f t="shared" ca="1" si="162"/>
        <v>0</v>
      </c>
      <c r="V251" s="78">
        <f t="shared" ca="1" si="162"/>
        <v>0</v>
      </c>
      <c r="W251" s="118">
        <f t="shared" ca="1" si="162"/>
        <v>0</v>
      </c>
      <c r="X251" s="105"/>
    </row>
    <row r="252" spans="1:24" customFormat="1" ht="14.25" customHeight="1">
      <c r="A252" s="39"/>
      <c r="B252" s="39"/>
      <c r="C252" s="39"/>
      <c r="D252" s="39"/>
      <c r="E252" s="39"/>
      <c r="F252" s="39"/>
      <c r="G252" s="39"/>
      <c r="H252" s="39"/>
      <c r="I252" s="39"/>
      <c r="J252" s="39"/>
      <c r="K252" s="39"/>
      <c r="L252" s="269" t="str">
        <f ca="1">INDEX(PO!K$11:K$1504,MATCH($A254,PO!$W$11:$W$1504,0))</f>
        <v>10.6.</v>
      </c>
      <c r="M252" s="271" t="str">
        <f ca="1">INDEX(PO!O$11:O$1504,MATCH($A254,PO!$W$11:$W$1504,0))</f>
        <v>Atividade 69 - Palestra da família prevenção masculina e feminina região Parque São João</v>
      </c>
      <c r="N252" s="273">
        <f ca="1">IF(ROUND(K254,2)=0,K254,ROUND(K254,2))</f>
        <v>9836.6200000000008</v>
      </c>
      <c r="O252" s="113" t="s">
        <v>33</v>
      </c>
      <c r="P252" s="112"/>
      <c r="Q252" s="59"/>
      <c r="R252" s="59"/>
      <c r="S252" s="59"/>
      <c r="T252" s="59"/>
      <c r="U252" s="59"/>
      <c r="V252" s="59"/>
      <c r="W252" s="59"/>
      <c r="X252" s="105"/>
    </row>
    <row r="253" spans="1:24" customFormat="1" ht="14.25">
      <c r="A253" s="93"/>
      <c r="B253" s="93"/>
      <c r="C253" s="93"/>
      <c r="D253" s="93"/>
      <c r="E253" s="93"/>
      <c r="F253" s="93"/>
      <c r="G253" s="93"/>
      <c r="H253" s="93"/>
      <c r="I253" s="93"/>
      <c r="J253" s="93"/>
      <c r="K253" s="93"/>
      <c r="L253" s="270"/>
      <c r="M253" s="272"/>
      <c r="N253" s="274"/>
      <c r="O253" s="79" t="s">
        <v>35</v>
      </c>
      <c r="P253" s="107">
        <f t="shared" ref="P253:W253" ca="1" si="163">MIN(IF($B254,P252+IF(ISNUMBER(O253),O253,0),P254/$N252),1)</f>
        <v>0</v>
      </c>
      <c r="Q253" s="77">
        <f t="shared" ca="1" si="163"/>
        <v>0</v>
      </c>
      <c r="R253" s="77">
        <f t="shared" ca="1" si="163"/>
        <v>0</v>
      </c>
      <c r="S253" s="77">
        <f t="shared" ca="1" si="163"/>
        <v>0</v>
      </c>
      <c r="T253" s="77">
        <f t="shared" ca="1" si="163"/>
        <v>0</v>
      </c>
      <c r="U253" s="77">
        <f t="shared" ca="1" si="163"/>
        <v>0</v>
      </c>
      <c r="V253" s="77">
        <f t="shared" ca="1" si="163"/>
        <v>0</v>
      </c>
      <c r="W253" s="77">
        <f t="shared" ca="1" si="163"/>
        <v>0</v>
      </c>
      <c r="X253" s="105"/>
    </row>
    <row r="254" spans="1:24" customFormat="1" ht="14.25">
      <c r="A254" s="93">
        <f ca="1">OFFSET(A254,-CFF.NumLinha,0)+1</f>
        <v>79</v>
      </c>
      <c r="B254" s="93" t="b">
        <f ca="1">$C254&gt;=OFFSET($C254,CFF.NumLinha,0)</f>
        <v>1</v>
      </c>
      <c r="C254" s="93">
        <f ca="1">INDEX(PO!A$11:A$1504,MATCH($A254,PO!$W$11:$W$1504,0))</f>
        <v>2</v>
      </c>
      <c r="D254" s="93">
        <f ca="1">IF(ISERROR(J254),I254,SMALL(I254:J254,1))-1</f>
        <v>2</v>
      </c>
      <c r="E254" s="93">
        <f ca="1">IF($C254=1,OFFSET(E254,-CFF.NumLinha,0)+1,OFFSET(E254,-CFF.NumLinha,0))</f>
        <v>10</v>
      </c>
      <c r="F254" s="93">
        <f ca="1">IF($C254=1,0,IF($C254=2,OFFSET(F254,-CFF.NumLinha,0)+1,OFFSET(F254,-CFF.NumLinha,0)))</f>
        <v>6</v>
      </c>
      <c r="G254" s="93">
        <f ca="1">IF(AND($C254&lt;=2,$C254&lt;&gt;0),0,IF($C254=3,OFFSET(G254,-CFF.NumLinha,0)+1,OFFSET(G254,-CFF.NumLinha,0)))</f>
        <v>0</v>
      </c>
      <c r="H254" s="93">
        <f ca="1">IF(AND($C254&lt;=3,$C254&lt;&gt;0),0,IF($C254=4,OFFSET(H254,-CFF.NumLinha,0)+1,OFFSET(H254,-CFF.NumLinha,0)))</f>
        <v>0</v>
      </c>
      <c r="I254" s="93">
        <f ca="1">MATCH(0,OFFSET($D254,1,$C254,ROW($A$435)-ROW($A254)),0)</f>
        <v>9</v>
      </c>
      <c r="J254" s="93">
        <f ca="1">MATCH(OFFSET($D254,0,$C254)+1,OFFSET($D254,1,$C254,ROW($A$435)-ROW($A254)),0)</f>
        <v>3</v>
      </c>
      <c r="K254" s="94">
        <f ca="1">ROUND(INDEX(PO!U$11:U$1504,MATCH($A254,PO!$W$11:$W$1504,0)),2)+10^-12</f>
        <v>9836.6200000000026</v>
      </c>
      <c r="L254" s="270"/>
      <c r="M254" s="272"/>
      <c r="N254" s="274"/>
      <c r="O254" s="115" t="s">
        <v>7</v>
      </c>
      <c r="P254" s="108">
        <f t="shared" ref="P254:W254" ca="1" si="164">IF($B254,ROUND(P253*$N252,2),ROUND(SUMIF(OFFSET($B254,1,0,$D254),TRUE,OFFSET(P254,1,0,$D254))/SUMIF(OFFSET($B254,1,0,$D254),TRUE,OFFSET($K254,1,0,$D254))*$N252,2))</f>
        <v>0</v>
      </c>
      <c r="Q254" s="78">
        <f t="shared" ca="1" si="164"/>
        <v>0</v>
      </c>
      <c r="R254" s="78">
        <f t="shared" ca="1" si="164"/>
        <v>0</v>
      </c>
      <c r="S254" s="78">
        <f t="shared" ca="1" si="164"/>
        <v>0</v>
      </c>
      <c r="T254" s="78">
        <f t="shared" ca="1" si="164"/>
        <v>0</v>
      </c>
      <c r="U254" s="78">
        <f t="shared" ca="1" si="164"/>
        <v>0</v>
      </c>
      <c r="V254" s="78">
        <f t="shared" ca="1" si="164"/>
        <v>0</v>
      </c>
      <c r="W254" s="118">
        <f t="shared" ca="1" si="164"/>
        <v>0</v>
      </c>
      <c r="X254" s="105"/>
    </row>
    <row r="255" spans="1:24" customFormat="1" ht="14.25" customHeight="1">
      <c r="A255" s="39"/>
      <c r="B255" s="39"/>
      <c r="C255" s="39"/>
      <c r="D255" s="39"/>
      <c r="E255" s="39"/>
      <c r="F255" s="39"/>
      <c r="G255" s="39"/>
      <c r="H255" s="39"/>
      <c r="I255" s="39"/>
      <c r="J255" s="39"/>
      <c r="K255" s="39"/>
      <c r="L255" s="269" t="str">
        <f ca="1">INDEX(PO!K$11:K$1504,MATCH($A257,PO!$W$11:$W$1504,0))</f>
        <v>10.7.</v>
      </c>
      <c r="M255" s="271" t="str">
        <f ca="1">INDEX(PO!O$11:O$1504,MATCH($A257,PO!$W$11:$W$1504,0))</f>
        <v>Atividade 70 - Palestra: Saúde da família e prevenção masculina e feminina região Jardim Ikaraí</v>
      </c>
      <c r="N255" s="273">
        <f ca="1">IF(ROUND(K257,2)=0,K257,ROUND(K257,2))</f>
        <v>7121.19</v>
      </c>
      <c r="O255" s="113" t="s">
        <v>33</v>
      </c>
      <c r="P255" s="112"/>
      <c r="Q255" s="59"/>
      <c r="R255" s="59"/>
      <c r="S255" s="59"/>
      <c r="T255" s="59"/>
      <c r="U255" s="59"/>
      <c r="V255" s="59"/>
      <c r="W255" s="59"/>
      <c r="X255" s="105"/>
    </row>
    <row r="256" spans="1:24" customFormat="1" ht="14.25">
      <c r="A256" s="93"/>
      <c r="B256" s="93"/>
      <c r="C256" s="93"/>
      <c r="D256" s="93"/>
      <c r="E256" s="93"/>
      <c r="F256" s="93"/>
      <c r="G256" s="93"/>
      <c r="H256" s="93"/>
      <c r="I256" s="93"/>
      <c r="J256" s="93"/>
      <c r="K256" s="93"/>
      <c r="L256" s="270"/>
      <c r="M256" s="272"/>
      <c r="N256" s="274"/>
      <c r="O256" s="79" t="s">
        <v>35</v>
      </c>
      <c r="P256" s="107">
        <f t="shared" ref="P256:W256" ca="1" si="165">MIN(IF($B257,P255+IF(ISNUMBER(O256),O256,0),P257/$N255),1)</f>
        <v>0</v>
      </c>
      <c r="Q256" s="77">
        <f t="shared" ca="1" si="165"/>
        <v>0</v>
      </c>
      <c r="R256" s="77">
        <f t="shared" ca="1" si="165"/>
        <v>0</v>
      </c>
      <c r="S256" s="77">
        <f t="shared" ca="1" si="165"/>
        <v>0</v>
      </c>
      <c r="T256" s="77">
        <f t="shared" ca="1" si="165"/>
        <v>0</v>
      </c>
      <c r="U256" s="77">
        <f t="shared" ca="1" si="165"/>
        <v>0</v>
      </c>
      <c r="V256" s="77">
        <f t="shared" ca="1" si="165"/>
        <v>0</v>
      </c>
      <c r="W256" s="77">
        <f t="shared" ca="1" si="165"/>
        <v>0</v>
      </c>
      <c r="X256" s="105"/>
    </row>
    <row r="257" spans="1:24" customFormat="1" ht="14.25">
      <c r="A257" s="93">
        <f ca="1">OFFSET(A257,-CFF.NumLinha,0)+1</f>
        <v>80</v>
      </c>
      <c r="B257" s="93" t="b">
        <f ca="1">$C257&gt;=OFFSET($C257,CFF.NumLinha,0)</f>
        <v>1</v>
      </c>
      <c r="C257" s="93">
        <f ca="1">INDEX(PO!A$11:A$1504,MATCH($A257,PO!$W$11:$W$1504,0))</f>
        <v>2</v>
      </c>
      <c r="D257" s="93">
        <f ca="1">IF(ISERROR(J257),I257,SMALL(I257:J257,1))-1</f>
        <v>2</v>
      </c>
      <c r="E257" s="93">
        <f ca="1">IF($C257=1,OFFSET(E257,-CFF.NumLinha,0)+1,OFFSET(E257,-CFF.NumLinha,0))</f>
        <v>10</v>
      </c>
      <c r="F257" s="93">
        <f ca="1">IF($C257=1,0,IF($C257=2,OFFSET(F257,-CFF.NumLinha,0)+1,OFFSET(F257,-CFF.NumLinha,0)))</f>
        <v>7</v>
      </c>
      <c r="G257" s="93">
        <f ca="1">IF(AND($C257&lt;=2,$C257&lt;&gt;0),0,IF($C257=3,OFFSET(G257,-CFF.NumLinha,0)+1,OFFSET(G257,-CFF.NumLinha,0)))</f>
        <v>0</v>
      </c>
      <c r="H257" s="93">
        <f ca="1">IF(AND($C257&lt;=3,$C257&lt;&gt;0),0,IF($C257=4,OFFSET(H257,-CFF.NumLinha,0)+1,OFFSET(H257,-CFF.NumLinha,0)))</f>
        <v>0</v>
      </c>
      <c r="I257" s="93">
        <f ca="1">MATCH(0,OFFSET($D257,1,$C257,ROW($A$435)-ROW($A257)),0)</f>
        <v>6</v>
      </c>
      <c r="J257" s="93">
        <f ca="1">MATCH(OFFSET($D257,0,$C257)+1,OFFSET($D257,1,$C257,ROW($A$435)-ROW($A257)),0)</f>
        <v>3</v>
      </c>
      <c r="K257" s="94">
        <f ca="1">ROUND(INDEX(PO!U$11:U$1504,MATCH($A257,PO!$W$11:$W$1504,0)),2)+10^-12</f>
        <v>7121.1900000000005</v>
      </c>
      <c r="L257" s="270"/>
      <c r="M257" s="272"/>
      <c r="N257" s="274"/>
      <c r="O257" s="115" t="s">
        <v>7</v>
      </c>
      <c r="P257" s="108">
        <f t="shared" ref="P257:W257" ca="1" si="166">IF($B257,ROUND(P256*$N255,2),ROUND(SUMIF(OFFSET($B257,1,0,$D257),TRUE,OFFSET(P257,1,0,$D257))/SUMIF(OFFSET($B257,1,0,$D257),TRUE,OFFSET($K257,1,0,$D257))*$N255,2))</f>
        <v>0</v>
      </c>
      <c r="Q257" s="78">
        <f t="shared" ca="1" si="166"/>
        <v>0</v>
      </c>
      <c r="R257" s="78">
        <f t="shared" ca="1" si="166"/>
        <v>0</v>
      </c>
      <c r="S257" s="78">
        <f t="shared" ca="1" si="166"/>
        <v>0</v>
      </c>
      <c r="T257" s="78">
        <f t="shared" ca="1" si="166"/>
        <v>0</v>
      </c>
      <c r="U257" s="78">
        <f t="shared" ca="1" si="166"/>
        <v>0</v>
      </c>
      <c r="V257" s="78">
        <f t="shared" ca="1" si="166"/>
        <v>0</v>
      </c>
      <c r="W257" s="118">
        <f t="shared" ca="1" si="166"/>
        <v>0</v>
      </c>
      <c r="X257" s="105"/>
    </row>
    <row r="258" spans="1:24" customFormat="1" ht="14.25" customHeight="1">
      <c r="A258" s="39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269" t="str">
        <f ca="1">INDEX(PO!K$11:K$1504,MATCH($A260,PO!$W$11:$W$1504,0))</f>
        <v>10.8.</v>
      </c>
      <c r="M258" s="271" t="str">
        <f ca="1">INDEX(PO!O$11:O$1504,MATCH($A260,PO!$W$11:$W$1504,0))</f>
        <v>Atividade 71 - Palestra: Saúde da família prevenção masculina e feminina Bairro: Frutal de Minas e Jardim Paula II</v>
      </c>
      <c r="N258" s="273">
        <f ca="1">IF(ROUND(K260,2)=0,K260,ROUND(K260,2))</f>
        <v>7121.19</v>
      </c>
      <c r="O258" s="113" t="s">
        <v>33</v>
      </c>
      <c r="P258" s="112"/>
      <c r="Q258" s="59"/>
      <c r="R258" s="59"/>
      <c r="S258" s="59"/>
      <c r="T258" s="59"/>
      <c r="U258" s="59"/>
      <c r="V258" s="59"/>
      <c r="W258" s="59"/>
      <c r="X258" s="105"/>
    </row>
    <row r="259" spans="1:24" customFormat="1" ht="14.25">
      <c r="A259" s="93"/>
      <c r="B259" s="93"/>
      <c r="C259" s="93"/>
      <c r="D259" s="93"/>
      <c r="E259" s="93"/>
      <c r="F259" s="93"/>
      <c r="G259" s="93"/>
      <c r="H259" s="93"/>
      <c r="I259" s="93"/>
      <c r="J259" s="93"/>
      <c r="K259" s="93"/>
      <c r="L259" s="270"/>
      <c r="M259" s="272"/>
      <c r="N259" s="274"/>
      <c r="O259" s="79" t="s">
        <v>35</v>
      </c>
      <c r="P259" s="107">
        <f t="shared" ref="P259:W259" ca="1" si="167">MIN(IF($B260,P258+IF(ISNUMBER(O259),O259,0),P260/$N258),1)</f>
        <v>0</v>
      </c>
      <c r="Q259" s="77">
        <f t="shared" ca="1" si="167"/>
        <v>0</v>
      </c>
      <c r="R259" s="77">
        <f t="shared" ca="1" si="167"/>
        <v>0</v>
      </c>
      <c r="S259" s="77">
        <f t="shared" ca="1" si="167"/>
        <v>0</v>
      </c>
      <c r="T259" s="77">
        <f t="shared" ca="1" si="167"/>
        <v>0</v>
      </c>
      <c r="U259" s="77">
        <f t="shared" ca="1" si="167"/>
        <v>0</v>
      </c>
      <c r="V259" s="77">
        <f t="shared" ca="1" si="167"/>
        <v>0</v>
      </c>
      <c r="W259" s="77">
        <f t="shared" ca="1" si="167"/>
        <v>0</v>
      </c>
      <c r="X259" s="105"/>
    </row>
    <row r="260" spans="1:24" customFormat="1" ht="14.25">
      <c r="A260" s="93">
        <f ca="1">OFFSET(A260,-CFF.NumLinha,0)+1</f>
        <v>81</v>
      </c>
      <c r="B260" s="93" t="b">
        <f ca="1">$C260&gt;=OFFSET($C260,CFF.NumLinha,0)</f>
        <v>1</v>
      </c>
      <c r="C260" s="93">
        <f ca="1">INDEX(PO!A$11:A$1504,MATCH($A260,PO!$W$11:$W$1504,0))</f>
        <v>2</v>
      </c>
      <c r="D260" s="93">
        <f ca="1">IF(ISERROR(J260),I260,SMALL(I260:J260,1))-1</f>
        <v>2</v>
      </c>
      <c r="E260" s="93">
        <f ca="1">IF($C260=1,OFFSET(E260,-CFF.NumLinha,0)+1,OFFSET(E260,-CFF.NumLinha,0))</f>
        <v>10</v>
      </c>
      <c r="F260" s="93">
        <f ca="1">IF($C260=1,0,IF($C260=2,OFFSET(F260,-CFF.NumLinha,0)+1,OFFSET(F260,-CFF.NumLinha,0)))</f>
        <v>8</v>
      </c>
      <c r="G260" s="93">
        <f ca="1">IF(AND($C260&lt;=2,$C260&lt;&gt;0),0,IF($C260=3,OFFSET(G260,-CFF.NumLinha,0)+1,OFFSET(G260,-CFF.NumLinha,0)))</f>
        <v>0</v>
      </c>
      <c r="H260" s="93">
        <f ca="1">IF(AND($C260&lt;=3,$C260&lt;&gt;0),0,IF($C260=4,OFFSET(H260,-CFF.NumLinha,0)+1,OFFSET(H260,-CFF.NumLinha,0)))</f>
        <v>0</v>
      </c>
      <c r="I260" s="93">
        <f ca="1">MATCH(0,OFFSET($D260,1,$C260,ROW($A$435)-ROW($A260)),0)</f>
        <v>3</v>
      </c>
      <c r="J260" s="93" t="e">
        <f ca="1">MATCH(OFFSET($D260,0,$C260)+1,OFFSET($D260,1,$C260,ROW($A$435)-ROW($A260)),0)</f>
        <v>#N/A</v>
      </c>
      <c r="K260" s="94">
        <f ca="1">ROUND(INDEX(PO!U$11:U$1504,MATCH($A260,PO!$W$11:$W$1504,0)),2)+10^-12</f>
        <v>7121.1900000000005</v>
      </c>
      <c r="L260" s="270"/>
      <c r="M260" s="272"/>
      <c r="N260" s="274"/>
      <c r="O260" s="115" t="s">
        <v>7</v>
      </c>
      <c r="P260" s="108">
        <f t="shared" ref="P260:W260" ca="1" si="168">IF($B260,ROUND(P259*$N258,2),ROUND(SUMIF(OFFSET($B260,1,0,$D260),TRUE,OFFSET(P260,1,0,$D260))/SUMIF(OFFSET($B260,1,0,$D260),TRUE,OFFSET($K260,1,0,$D260))*$N258,2))</f>
        <v>0</v>
      </c>
      <c r="Q260" s="78">
        <f t="shared" ca="1" si="168"/>
        <v>0</v>
      </c>
      <c r="R260" s="78">
        <f t="shared" ca="1" si="168"/>
        <v>0</v>
      </c>
      <c r="S260" s="78">
        <f t="shared" ca="1" si="168"/>
        <v>0</v>
      </c>
      <c r="T260" s="78">
        <f t="shared" ca="1" si="168"/>
        <v>0</v>
      </c>
      <c r="U260" s="78">
        <f t="shared" ca="1" si="168"/>
        <v>0</v>
      </c>
      <c r="V260" s="78">
        <f t="shared" ca="1" si="168"/>
        <v>0</v>
      </c>
      <c r="W260" s="118">
        <f t="shared" ca="1" si="168"/>
        <v>0</v>
      </c>
      <c r="X260" s="105"/>
    </row>
    <row r="261" spans="1:24" customFormat="1" ht="14.25" customHeight="1">
      <c r="A261" s="39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269" t="str">
        <f ca="1">INDEX(PO!K$11:K$1504,MATCH($A263,PO!$W$11:$W$1504,0))</f>
        <v>11.</v>
      </c>
      <c r="M261" s="271" t="str">
        <f ca="1">INDEX(PO!O$11:O$1504,MATCH($A263,PO!$W$11:$W$1504,0))</f>
        <v>MÊS 11 - INFORMAÇÕES/PALESTRA E GERAÇÃO E RENDA</v>
      </c>
      <c r="N261" s="273">
        <f ca="1">IF(ROUND(K263,2)=0,K263,ROUND(K263,2))</f>
        <v>89893.87</v>
      </c>
      <c r="O261" s="113" t="s">
        <v>33</v>
      </c>
      <c r="P261" s="112"/>
      <c r="Q261" s="59"/>
      <c r="R261" s="59"/>
      <c r="S261" s="59"/>
      <c r="T261" s="59"/>
      <c r="U261" s="59"/>
      <c r="V261" s="59"/>
      <c r="W261" s="59"/>
      <c r="X261" s="105"/>
    </row>
    <row r="262" spans="1:24" customFormat="1" ht="14.25">
      <c r="A262" s="93"/>
      <c r="B262" s="93"/>
      <c r="C262" s="93"/>
      <c r="D262" s="93"/>
      <c r="E262" s="93"/>
      <c r="F262" s="93"/>
      <c r="G262" s="93"/>
      <c r="H262" s="93"/>
      <c r="I262" s="93"/>
      <c r="J262" s="93"/>
      <c r="K262" s="93"/>
      <c r="L262" s="270"/>
      <c r="M262" s="272"/>
      <c r="N262" s="274"/>
      <c r="O262" s="79" t="s">
        <v>35</v>
      </c>
      <c r="P262" s="107">
        <f t="shared" ref="P262:W262" ca="1" si="169">MIN(IF($B263,P261+IF(ISNUMBER(O262),O262,0),P263/$N261),1)</f>
        <v>0</v>
      </c>
      <c r="Q262" s="77">
        <f t="shared" ca="1" si="169"/>
        <v>0</v>
      </c>
      <c r="R262" s="77">
        <f t="shared" ca="1" si="169"/>
        <v>0</v>
      </c>
      <c r="S262" s="77">
        <f t="shared" ca="1" si="169"/>
        <v>0</v>
      </c>
      <c r="T262" s="77">
        <f t="shared" ca="1" si="169"/>
        <v>0</v>
      </c>
      <c r="U262" s="77">
        <f t="shared" ca="1" si="169"/>
        <v>0</v>
      </c>
      <c r="V262" s="77">
        <f t="shared" ca="1" si="169"/>
        <v>0</v>
      </c>
      <c r="W262" s="77">
        <f t="shared" ca="1" si="169"/>
        <v>0</v>
      </c>
      <c r="X262" s="105"/>
    </row>
    <row r="263" spans="1:24" customFormat="1" ht="14.25">
      <c r="A263" s="93">
        <f ca="1">OFFSET(A263,-CFF.NumLinha,0)+1</f>
        <v>82</v>
      </c>
      <c r="B263" s="93" t="b">
        <f ca="1">$C263&gt;=OFFSET($C263,CFF.NumLinha,0)</f>
        <v>0</v>
      </c>
      <c r="C263" s="93">
        <f ca="1">INDEX(PO!A$11:A$1504,MATCH($A263,PO!$W$11:$W$1504,0))</f>
        <v>1</v>
      </c>
      <c r="D263" s="93">
        <f ca="1">IF(ISERROR(J263),I263,SMALL(I263:J263,1))-1</f>
        <v>23</v>
      </c>
      <c r="E263" s="93">
        <f ca="1">IF($C263=1,OFFSET(E263,-CFF.NumLinha,0)+1,OFFSET(E263,-CFF.NumLinha,0))</f>
        <v>11</v>
      </c>
      <c r="F263" s="93">
        <f ca="1">IF($C263=1,0,IF($C263=2,OFFSET(F263,-CFF.NumLinha,0)+1,OFFSET(F263,-CFF.NumLinha,0)))</f>
        <v>0</v>
      </c>
      <c r="G263" s="93">
        <f ca="1">IF(AND($C263&lt;=2,$C263&lt;&gt;0),0,IF($C263=3,OFFSET(G263,-CFF.NumLinha,0)+1,OFFSET(G263,-CFF.NumLinha,0)))</f>
        <v>0</v>
      </c>
      <c r="H263" s="93">
        <f ca="1">IF(AND($C263&lt;=3,$C263&lt;&gt;0),0,IF($C263=4,OFFSET(H263,-CFF.NumLinha,0)+1,OFFSET(H263,-CFF.NumLinha,0)))</f>
        <v>0</v>
      </c>
      <c r="I263" s="93">
        <f ca="1">MATCH(0,OFFSET($D263,1,$C263,ROW($A$435)-ROW($A263)),0)</f>
        <v>172</v>
      </c>
      <c r="J263" s="93">
        <f ca="1">MATCH(OFFSET($D263,0,$C263)+1,OFFSET($D263,1,$C263,ROW($A$435)-ROW($A263)),0)</f>
        <v>24</v>
      </c>
      <c r="K263" s="94">
        <f ca="1">ROUND(INDEX(PO!U$11:U$1504,MATCH($A263,PO!$W$11:$W$1504,0)),2)+10^-12</f>
        <v>89893.87</v>
      </c>
      <c r="L263" s="270"/>
      <c r="M263" s="272"/>
      <c r="N263" s="274"/>
      <c r="O263" s="115" t="s">
        <v>7</v>
      </c>
      <c r="P263" s="108">
        <f t="shared" ref="P263:W263" ca="1" si="170">IF($B263,ROUND(P262*$N261,2),ROUND(SUMIF(OFFSET($B263,1,0,$D263),TRUE,OFFSET(P263,1,0,$D263))/SUMIF(OFFSET($B263,1,0,$D263),TRUE,OFFSET($K263,1,0,$D263))*$N261,2))</f>
        <v>0</v>
      </c>
      <c r="Q263" s="78">
        <f t="shared" ca="1" si="170"/>
        <v>0</v>
      </c>
      <c r="R263" s="78">
        <f t="shared" ca="1" si="170"/>
        <v>0</v>
      </c>
      <c r="S263" s="78">
        <f t="shared" ca="1" si="170"/>
        <v>0</v>
      </c>
      <c r="T263" s="78">
        <f t="shared" ca="1" si="170"/>
        <v>0</v>
      </c>
      <c r="U263" s="78">
        <f t="shared" ca="1" si="170"/>
        <v>0</v>
      </c>
      <c r="V263" s="78">
        <f t="shared" ca="1" si="170"/>
        <v>0</v>
      </c>
      <c r="W263" s="118">
        <f t="shared" ca="1" si="170"/>
        <v>0</v>
      </c>
      <c r="X263" s="105"/>
    </row>
    <row r="264" spans="1:24" customFormat="1" ht="14.25" customHeight="1">
      <c r="A264" s="39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269" t="str">
        <f ca="1">INDEX(PO!K$11:K$1504,MATCH($A266,PO!$W$11:$W$1504,0))</f>
        <v>11.1.</v>
      </c>
      <c r="M264" s="271" t="str">
        <f ca="1">INDEX(PO!O$11:O$1504,MATCH($A266,PO!$W$11:$W$1504,0))</f>
        <v>Atividade 72 - Palestra Cidadania direitos e igualdades região Parque São João</v>
      </c>
      <c r="N264" s="273">
        <f ca="1">IF(ROUND(K266,2)=0,K266,ROUND(K266,2))</f>
        <v>14097.18</v>
      </c>
      <c r="O264" s="113" t="s">
        <v>33</v>
      </c>
      <c r="P264" s="112"/>
      <c r="Q264" s="59"/>
      <c r="R264" s="59"/>
      <c r="S264" s="59"/>
      <c r="T264" s="59"/>
      <c r="U264" s="59"/>
      <c r="V264" s="59"/>
      <c r="W264" s="59"/>
      <c r="X264" s="105"/>
    </row>
    <row r="265" spans="1:24" customFormat="1" ht="14.25">
      <c r="A265" s="93"/>
      <c r="B265" s="93"/>
      <c r="C265" s="93"/>
      <c r="D265" s="93"/>
      <c r="E265" s="93"/>
      <c r="F265" s="93"/>
      <c r="G265" s="93"/>
      <c r="H265" s="93"/>
      <c r="I265" s="93"/>
      <c r="J265" s="93"/>
      <c r="K265" s="93"/>
      <c r="L265" s="270"/>
      <c r="M265" s="272"/>
      <c r="N265" s="274"/>
      <c r="O265" s="79" t="s">
        <v>35</v>
      </c>
      <c r="P265" s="107">
        <f t="shared" ref="P265:W265" ca="1" si="171">MIN(IF($B266,P264+IF(ISNUMBER(O265),O265,0),P266/$N264),1)</f>
        <v>0</v>
      </c>
      <c r="Q265" s="77">
        <f t="shared" ca="1" si="171"/>
        <v>0</v>
      </c>
      <c r="R265" s="77">
        <f t="shared" ca="1" si="171"/>
        <v>0</v>
      </c>
      <c r="S265" s="77">
        <f t="shared" ca="1" si="171"/>
        <v>0</v>
      </c>
      <c r="T265" s="77">
        <f t="shared" ca="1" si="171"/>
        <v>0</v>
      </c>
      <c r="U265" s="77">
        <f t="shared" ca="1" si="171"/>
        <v>0</v>
      </c>
      <c r="V265" s="77">
        <f t="shared" ca="1" si="171"/>
        <v>0</v>
      </c>
      <c r="W265" s="77">
        <f t="shared" ca="1" si="171"/>
        <v>0</v>
      </c>
      <c r="X265" s="105"/>
    </row>
    <row r="266" spans="1:24" customFormat="1" ht="14.25">
      <c r="A266" s="93">
        <f ca="1">OFFSET(A266,-CFF.NumLinha,0)+1</f>
        <v>83</v>
      </c>
      <c r="B266" s="93" t="b">
        <f ca="1">$C266&gt;=OFFSET($C266,CFF.NumLinha,0)</f>
        <v>1</v>
      </c>
      <c r="C266" s="93">
        <f ca="1">INDEX(PO!A$11:A$1504,MATCH($A266,PO!$W$11:$W$1504,0))</f>
        <v>2</v>
      </c>
      <c r="D266" s="93">
        <f ca="1">IF(ISERROR(J266),I266,SMALL(I266:J266,1))-1</f>
        <v>2</v>
      </c>
      <c r="E266" s="93">
        <f ca="1">IF($C266=1,OFFSET(E266,-CFF.NumLinha,0)+1,OFFSET(E266,-CFF.NumLinha,0))</f>
        <v>11</v>
      </c>
      <c r="F266" s="93">
        <f ca="1">IF($C266=1,0,IF($C266=2,OFFSET(F266,-CFF.NumLinha,0)+1,OFFSET(F266,-CFF.NumLinha,0)))</f>
        <v>1</v>
      </c>
      <c r="G266" s="93">
        <f ca="1">IF(AND($C266&lt;=2,$C266&lt;&gt;0),0,IF($C266=3,OFFSET(G266,-CFF.NumLinha,0)+1,OFFSET(G266,-CFF.NumLinha,0)))</f>
        <v>0</v>
      </c>
      <c r="H266" s="93">
        <f ca="1">IF(AND($C266&lt;=3,$C266&lt;&gt;0),0,IF($C266=4,OFFSET(H266,-CFF.NumLinha,0)+1,OFFSET(H266,-CFF.NumLinha,0)))</f>
        <v>0</v>
      </c>
      <c r="I266" s="93">
        <f ca="1">MATCH(0,OFFSET($D266,1,$C266,ROW($A$435)-ROW($A266)),0)</f>
        <v>21</v>
      </c>
      <c r="J266" s="93">
        <f ca="1">MATCH(OFFSET($D266,0,$C266)+1,OFFSET($D266,1,$C266,ROW($A$435)-ROW($A266)),0)</f>
        <v>3</v>
      </c>
      <c r="K266" s="94">
        <f ca="1">ROUND(INDEX(PO!U$11:U$1504,MATCH($A266,PO!$W$11:$W$1504,0)),2)+10^-12</f>
        <v>14097.180000000002</v>
      </c>
      <c r="L266" s="270"/>
      <c r="M266" s="272"/>
      <c r="N266" s="274"/>
      <c r="O266" s="115" t="s">
        <v>7</v>
      </c>
      <c r="P266" s="108">
        <f t="shared" ref="P266:W266" ca="1" si="172">IF($B266,ROUND(P265*$N264,2),ROUND(SUMIF(OFFSET($B266,1,0,$D266),TRUE,OFFSET(P266,1,0,$D266))/SUMIF(OFFSET($B266,1,0,$D266),TRUE,OFFSET($K266,1,0,$D266))*$N264,2))</f>
        <v>0</v>
      </c>
      <c r="Q266" s="78">
        <f t="shared" ca="1" si="172"/>
        <v>0</v>
      </c>
      <c r="R266" s="78">
        <f t="shared" ca="1" si="172"/>
        <v>0</v>
      </c>
      <c r="S266" s="78">
        <f t="shared" ca="1" si="172"/>
        <v>0</v>
      </c>
      <c r="T266" s="78">
        <f t="shared" ca="1" si="172"/>
        <v>0</v>
      </c>
      <c r="U266" s="78">
        <f t="shared" ca="1" si="172"/>
        <v>0</v>
      </c>
      <c r="V266" s="78">
        <f t="shared" ca="1" si="172"/>
        <v>0</v>
      </c>
      <c r="W266" s="118">
        <f t="shared" ca="1" si="172"/>
        <v>0</v>
      </c>
      <c r="X266" s="105"/>
    </row>
    <row r="267" spans="1:24" customFormat="1" ht="14.25" customHeight="1">
      <c r="A267" s="39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269" t="str">
        <f ca="1">INDEX(PO!K$11:K$1504,MATCH($A269,PO!$W$11:$W$1504,0))</f>
        <v>11.2.</v>
      </c>
      <c r="M267" s="271" t="str">
        <f ca="1">INDEX(PO!O$11:O$1504,MATCH($A269,PO!$W$11:$W$1504,0))</f>
        <v>Atividade 73 - Plantão Social região Parque São João</v>
      </c>
      <c r="N267" s="273">
        <f ca="1">IF(ROUND(K269,2)=0,K269,ROUND(K269,2))</f>
        <v>3427.56</v>
      </c>
      <c r="O267" s="113" t="s">
        <v>33</v>
      </c>
      <c r="P267" s="112"/>
      <c r="Q267" s="59"/>
      <c r="R267" s="59"/>
      <c r="S267" s="59"/>
      <c r="T267" s="59"/>
      <c r="U267" s="59"/>
      <c r="V267" s="59"/>
      <c r="W267" s="59"/>
      <c r="X267" s="105"/>
    </row>
    <row r="268" spans="1:24" customFormat="1" ht="14.25">
      <c r="A268" s="93"/>
      <c r="B268" s="93"/>
      <c r="C268" s="93"/>
      <c r="D268" s="93"/>
      <c r="E268" s="93"/>
      <c r="F268" s="93"/>
      <c r="G268" s="93"/>
      <c r="H268" s="93"/>
      <c r="I268" s="93"/>
      <c r="J268" s="93"/>
      <c r="K268" s="93"/>
      <c r="L268" s="270"/>
      <c r="M268" s="272"/>
      <c r="N268" s="274"/>
      <c r="O268" s="79" t="s">
        <v>35</v>
      </c>
      <c r="P268" s="107">
        <f t="shared" ref="P268:W268" ca="1" si="173">MIN(IF($B269,P267+IF(ISNUMBER(O268),O268,0),P269/$N267),1)</f>
        <v>0</v>
      </c>
      <c r="Q268" s="77">
        <f t="shared" ca="1" si="173"/>
        <v>0</v>
      </c>
      <c r="R268" s="77">
        <f t="shared" ca="1" si="173"/>
        <v>0</v>
      </c>
      <c r="S268" s="77">
        <f t="shared" ca="1" si="173"/>
        <v>0</v>
      </c>
      <c r="T268" s="77">
        <f t="shared" ca="1" si="173"/>
        <v>0</v>
      </c>
      <c r="U268" s="77">
        <f t="shared" ca="1" si="173"/>
        <v>0</v>
      </c>
      <c r="V268" s="77">
        <f t="shared" ca="1" si="173"/>
        <v>0</v>
      </c>
      <c r="W268" s="77">
        <f t="shared" ca="1" si="173"/>
        <v>0</v>
      </c>
      <c r="X268" s="105"/>
    </row>
    <row r="269" spans="1:24" customFormat="1" ht="14.25">
      <c r="A269" s="93">
        <f ca="1">OFFSET(A269,-CFF.NumLinha,0)+1</f>
        <v>84</v>
      </c>
      <c r="B269" s="93" t="b">
        <f ca="1">$C269&gt;=OFFSET($C269,CFF.NumLinha,0)</f>
        <v>1</v>
      </c>
      <c r="C269" s="93">
        <f ca="1">INDEX(PO!A$11:A$1504,MATCH($A269,PO!$W$11:$W$1504,0))</f>
        <v>2</v>
      </c>
      <c r="D269" s="93">
        <f ca="1">IF(ISERROR(J269),I269,SMALL(I269:J269,1))-1</f>
        <v>2</v>
      </c>
      <c r="E269" s="93">
        <f ca="1">IF($C269=1,OFFSET(E269,-CFF.NumLinha,0)+1,OFFSET(E269,-CFF.NumLinha,0))</f>
        <v>11</v>
      </c>
      <c r="F269" s="93">
        <f ca="1">IF($C269=1,0,IF($C269=2,OFFSET(F269,-CFF.NumLinha,0)+1,OFFSET(F269,-CFF.NumLinha,0)))</f>
        <v>2</v>
      </c>
      <c r="G269" s="93">
        <f ca="1">IF(AND($C269&lt;=2,$C269&lt;&gt;0),0,IF($C269=3,OFFSET(G269,-CFF.NumLinha,0)+1,OFFSET(G269,-CFF.NumLinha,0)))</f>
        <v>0</v>
      </c>
      <c r="H269" s="93">
        <f ca="1">IF(AND($C269&lt;=3,$C269&lt;&gt;0),0,IF($C269=4,OFFSET(H269,-CFF.NumLinha,0)+1,OFFSET(H269,-CFF.NumLinha,0)))</f>
        <v>0</v>
      </c>
      <c r="I269" s="93">
        <f ca="1">MATCH(0,OFFSET($D269,1,$C269,ROW($A$435)-ROW($A269)),0)</f>
        <v>18</v>
      </c>
      <c r="J269" s="93">
        <f ca="1">MATCH(OFFSET($D269,0,$C269)+1,OFFSET($D269,1,$C269,ROW($A$435)-ROW($A269)),0)</f>
        <v>3</v>
      </c>
      <c r="K269" s="94">
        <f ca="1">ROUND(INDEX(PO!U$11:U$1504,MATCH($A269,PO!$W$11:$W$1504,0)),2)+10^-12</f>
        <v>3427.5600000000009</v>
      </c>
      <c r="L269" s="270"/>
      <c r="M269" s="272"/>
      <c r="N269" s="274"/>
      <c r="O269" s="115" t="s">
        <v>7</v>
      </c>
      <c r="P269" s="108">
        <f t="shared" ref="P269:W269" ca="1" si="174">IF($B269,ROUND(P268*$N267,2),ROUND(SUMIF(OFFSET($B269,1,0,$D269),TRUE,OFFSET(P269,1,0,$D269))/SUMIF(OFFSET($B269,1,0,$D269),TRUE,OFFSET($K269,1,0,$D269))*$N267,2))</f>
        <v>0</v>
      </c>
      <c r="Q269" s="78">
        <f t="shared" ca="1" si="174"/>
        <v>0</v>
      </c>
      <c r="R269" s="78">
        <f t="shared" ca="1" si="174"/>
        <v>0</v>
      </c>
      <c r="S269" s="78">
        <f t="shared" ca="1" si="174"/>
        <v>0</v>
      </c>
      <c r="T269" s="78">
        <f t="shared" ca="1" si="174"/>
        <v>0</v>
      </c>
      <c r="U269" s="78">
        <f t="shared" ca="1" si="174"/>
        <v>0</v>
      </c>
      <c r="V269" s="78">
        <f t="shared" ca="1" si="174"/>
        <v>0</v>
      </c>
      <c r="W269" s="118">
        <f t="shared" ca="1" si="174"/>
        <v>0</v>
      </c>
      <c r="X269" s="105"/>
    </row>
    <row r="270" spans="1:24" customFormat="1" ht="14.25" customHeight="1">
      <c r="A270" s="39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269" t="str">
        <f ca="1">INDEX(PO!K$11:K$1504,MATCH($A272,PO!$W$11:$W$1504,0))</f>
        <v>11.3.</v>
      </c>
      <c r="M270" s="271" t="str">
        <f ca="1">INDEX(PO!O$11:O$1504,MATCH($A272,PO!$W$11:$W$1504,0))</f>
        <v>Ativivade 74 - Palestra: Cidadania direitos e igualdades região Jardim Ikaraí</v>
      </c>
      <c r="N270" s="273">
        <f ca="1">IF(ROUND(K272,2)=0,K272,ROUND(K272,2))</f>
        <v>9846.75</v>
      </c>
      <c r="O270" s="113" t="s">
        <v>33</v>
      </c>
      <c r="P270" s="112"/>
      <c r="Q270" s="59"/>
      <c r="R270" s="59"/>
      <c r="S270" s="59"/>
      <c r="T270" s="59"/>
      <c r="U270" s="59"/>
      <c r="V270" s="59"/>
      <c r="W270" s="59"/>
      <c r="X270" s="105"/>
    </row>
    <row r="271" spans="1:24" customFormat="1" ht="14.25">
      <c r="A271" s="93"/>
      <c r="B271" s="93"/>
      <c r="C271" s="93"/>
      <c r="D271" s="93"/>
      <c r="E271" s="93"/>
      <c r="F271" s="93"/>
      <c r="G271" s="93"/>
      <c r="H271" s="93"/>
      <c r="I271" s="93"/>
      <c r="J271" s="93"/>
      <c r="K271" s="93"/>
      <c r="L271" s="270"/>
      <c r="M271" s="272"/>
      <c r="N271" s="274"/>
      <c r="O271" s="79" t="s">
        <v>35</v>
      </c>
      <c r="P271" s="107">
        <f t="shared" ref="P271:W271" ca="1" si="175">MIN(IF($B272,P270+IF(ISNUMBER(O271),O271,0),P272/$N270),1)</f>
        <v>0</v>
      </c>
      <c r="Q271" s="77">
        <f t="shared" ca="1" si="175"/>
        <v>0</v>
      </c>
      <c r="R271" s="77">
        <f t="shared" ca="1" si="175"/>
        <v>0</v>
      </c>
      <c r="S271" s="77">
        <f t="shared" ca="1" si="175"/>
        <v>0</v>
      </c>
      <c r="T271" s="77">
        <f t="shared" ca="1" si="175"/>
        <v>0</v>
      </c>
      <c r="U271" s="77">
        <f t="shared" ca="1" si="175"/>
        <v>0</v>
      </c>
      <c r="V271" s="77">
        <f t="shared" ca="1" si="175"/>
        <v>0</v>
      </c>
      <c r="W271" s="77">
        <f t="shared" ca="1" si="175"/>
        <v>0</v>
      </c>
      <c r="X271" s="105"/>
    </row>
    <row r="272" spans="1:24" customFormat="1" ht="14.25">
      <c r="A272" s="93">
        <f ca="1">OFFSET(A272,-CFF.NumLinha,0)+1</f>
        <v>85</v>
      </c>
      <c r="B272" s="93" t="b">
        <f ca="1">$C272&gt;=OFFSET($C272,CFF.NumLinha,0)</f>
        <v>1</v>
      </c>
      <c r="C272" s="93">
        <f ca="1">INDEX(PO!A$11:A$1504,MATCH($A272,PO!$W$11:$W$1504,0))</f>
        <v>2</v>
      </c>
      <c r="D272" s="93">
        <f ca="1">IF(ISERROR(J272),I272,SMALL(I272:J272,1))-1</f>
        <v>2</v>
      </c>
      <c r="E272" s="93">
        <f ca="1">IF($C272=1,OFFSET(E272,-CFF.NumLinha,0)+1,OFFSET(E272,-CFF.NumLinha,0))</f>
        <v>11</v>
      </c>
      <c r="F272" s="93">
        <f ca="1">IF($C272=1,0,IF($C272=2,OFFSET(F272,-CFF.NumLinha,0)+1,OFFSET(F272,-CFF.NumLinha,0)))</f>
        <v>3</v>
      </c>
      <c r="G272" s="93">
        <f ca="1">IF(AND($C272&lt;=2,$C272&lt;&gt;0),0,IF($C272=3,OFFSET(G272,-CFF.NumLinha,0)+1,OFFSET(G272,-CFF.NumLinha,0)))</f>
        <v>0</v>
      </c>
      <c r="H272" s="93">
        <f ca="1">IF(AND($C272&lt;=3,$C272&lt;&gt;0),0,IF($C272=4,OFFSET(H272,-CFF.NumLinha,0)+1,OFFSET(H272,-CFF.NumLinha,0)))</f>
        <v>0</v>
      </c>
      <c r="I272" s="93">
        <f ca="1">MATCH(0,OFFSET($D272,1,$C272,ROW($A$435)-ROW($A272)),0)</f>
        <v>15</v>
      </c>
      <c r="J272" s="93">
        <f ca="1">MATCH(OFFSET($D272,0,$C272)+1,OFFSET($D272,1,$C272,ROW($A$435)-ROW($A272)),0)</f>
        <v>3</v>
      </c>
      <c r="K272" s="94">
        <f ca="1">ROUND(INDEX(PO!U$11:U$1504,MATCH($A272,PO!$W$11:$W$1504,0)),2)+10^-12</f>
        <v>9846.7500000000018</v>
      </c>
      <c r="L272" s="270"/>
      <c r="M272" s="272"/>
      <c r="N272" s="274"/>
      <c r="O272" s="115" t="s">
        <v>7</v>
      </c>
      <c r="P272" s="108">
        <f t="shared" ref="P272:W272" ca="1" si="176">IF($B272,ROUND(P271*$N270,2),ROUND(SUMIF(OFFSET($B272,1,0,$D272),TRUE,OFFSET(P272,1,0,$D272))/SUMIF(OFFSET($B272,1,0,$D272),TRUE,OFFSET($K272,1,0,$D272))*$N270,2))</f>
        <v>0</v>
      </c>
      <c r="Q272" s="78">
        <f t="shared" ca="1" si="176"/>
        <v>0</v>
      </c>
      <c r="R272" s="78">
        <f t="shared" ca="1" si="176"/>
        <v>0</v>
      </c>
      <c r="S272" s="78">
        <f t="shared" ca="1" si="176"/>
        <v>0</v>
      </c>
      <c r="T272" s="78">
        <f t="shared" ca="1" si="176"/>
        <v>0</v>
      </c>
      <c r="U272" s="78">
        <f t="shared" ca="1" si="176"/>
        <v>0</v>
      </c>
      <c r="V272" s="78">
        <f t="shared" ca="1" si="176"/>
        <v>0</v>
      </c>
      <c r="W272" s="118">
        <f t="shared" ca="1" si="176"/>
        <v>0</v>
      </c>
      <c r="X272" s="105"/>
    </row>
    <row r="273" spans="1:24" customFormat="1" ht="14.25" customHeight="1">
      <c r="A273" s="39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269" t="str">
        <f ca="1">INDEX(PO!K$11:K$1504,MATCH($A275,PO!$W$11:$W$1504,0))</f>
        <v>11.4.</v>
      </c>
      <c r="M273" s="271" t="str">
        <f ca="1">INDEX(PO!O$11:O$1504,MATCH($A275,PO!$W$11:$W$1504,0))</f>
        <v>Atividade 75 - Plantão Social região Jardim Ikaraí</v>
      </c>
      <c r="N273" s="273">
        <f ca="1">IF(ROUND(K275,2)=0,K275,ROUND(K275,2))</f>
        <v>3427.56</v>
      </c>
      <c r="O273" s="113" t="s">
        <v>33</v>
      </c>
      <c r="P273" s="112"/>
      <c r="Q273" s="59"/>
      <c r="R273" s="59"/>
      <c r="S273" s="59"/>
      <c r="T273" s="59"/>
      <c r="U273" s="59"/>
      <c r="V273" s="59"/>
      <c r="W273" s="59"/>
      <c r="X273" s="105"/>
    </row>
    <row r="274" spans="1:24" customFormat="1" ht="14.25">
      <c r="A274" s="93"/>
      <c r="B274" s="93"/>
      <c r="C274" s="93"/>
      <c r="D274" s="93"/>
      <c r="E274" s="93"/>
      <c r="F274" s="93"/>
      <c r="G274" s="93"/>
      <c r="H274" s="93"/>
      <c r="I274" s="93"/>
      <c r="J274" s="93"/>
      <c r="K274" s="93"/>
      <c r="L274" s="270"/>
      <c r="M274" s="272"/>
      <c r="N274" s="274"/>
      <c r="O274" s="79" t="s">
        <v>35</v>
      </c>
      <c r="P274" s="107">
        <f t="shared" ref="P274:W274" ca="1" si="177">MIN(IF($B275,P273+IF(ISNUMBER(O274),O274,0),P275/$N273),1)</f>
        <v>0</v>
      </c>
      <c r="Q274" s="77">
        <f t="shared" ca="1" si="177"/>
        <v>0</v>
      </c>
      <c r="R274" s="77">
        <f t="shared" ca="1" si="177"/>
        <v>0</v>
      </c>
      <c r="S274" s="77">
        <f t="shared" ca="1" si="177"/>
        <v>0</v>
      </c>
      <c r="T274" s="77">
        <f t="shared" ca="1" si="177"/>
        <v>0</v>
      </c>
      <c r="U274" s="77">
        <f t="shared" ca="1" si="177"/>
        <v>0</v>
      </c>
      <c r="V274" s="77">
        <f t="shared" ca="1" si="177"/>
        <v>0</v>
      </c>
      <c r="W274" s="77">
        <f t="shared" ca="1" si="177"/>
        <v>0</v>
      </c>
      <c r="X274" s="105"/>
    </row>
    <row r="275" spans="1:24" customFormat="1" ht="14.25">
      <c r="A275" s="93">
        <f ca="1">OFFSET(A275,-CFF.NumLinha,0)+1</f>
        <v>86</v>
      </c>
      <c r="B275" s="93" t="b">
        <f ca="1">$C275&gt;=OFFSET($C275,CFF.NumLinha,0)</f>
        <v>1</v>
      </c>
      <c r="C275" s="93">
        <f ca="1">INDEX(PO!A$11:A$1504,MATCH($A275,PO!$W$11:$W$1504,0))</f>
        <v>2</v>
      </c>
      <c r="D275" s="93">
        <f ca="1">IF(ISERROR(J275),I275,SMALL(I275:J275,1))-1</f>
        <v>2</v>
      </c>
      <c r="E275" s="93">
        <f ca="1">IF($C275=1,OFFSET(E275,-CFF.NumLinha,0)+1,OFFSET(E275,-CFF.NumLinha,0))</f>
        <v>11</v>
      </c>
      <c r="F275" s="93">
        <f ca="1">IF($C275=1,0,IF($C275=2,OFFSET(F275,-CFF.NumLinha,0)+1,OFFSET(F275,-CFF.NumLinha,0)))</f>
        <v>4</v>
      </c>
      <c r="G275" s="93">
        <f ca="1">IF(AND($C275&lt;=2,$C275&lt;&gt;0),0,IF($C275=3,OFFSET(G275,-CFF.NumLinha,0)+1,OFFSET(G275,-CFF.NumLinha,0)))</f>
        <v>0</v>
      </c>
      <c r="H275" s="93">
        <f ca="1">IF(AND($C275&lt;=3,$C275&lt;&gt;0),0,IF($C275=4,OFFSET(H275,-CFF.NumLinha,0)+1,OFFSET(H275,-CFF.NumLinha,0)))</f>
        <v>0</v>
      </c>
      <c r="I275" s="93">
        <f ca="1">MATCH(0,OFFSET($D275,1,$C275,ROW($A$435)-ROW($A275)),0)</f>
        <v>12</v>
      </c>
      <c r="J275" s="93">
        <f ca="1">MATCH(OFFSET($D275,0,$C275)+1,OFFSET($D275,1,$C275,ROW($A$435)-ROW($A275)),0)</f>
        <v>3</v>
      </c>
      <c r="K275" s="94">
        <f ca="1">ROUND(INDEX(PO!U$11:U$1504,MATCH($A275,PO!$W$11:$W$1504,0)),2)+10^-12</f>
        <v>3427.5600000000009</v>
      </c>
      <c r="L275" s="270"/>
      <c r="M275" s="272"/>
      <c r="N275" s="274"/>
      <c r="O275" s="115" t="s">
        <v>7</v>
      </c>
      <c r="P275" s="108">
        <f t="shared" ref="P275:W275" ca="1" si="178">IF($B275,ROUND(P274*$N273,2),ROUND(SUMIF(OFFSET($B275,1,0,$D275),TRUE,OFFSET(P275,1,0,$D275))/SUMIF(OFFSET($B275,1,0,$D275),TRUE,OFFSET($K275,1,0,$D275))*$N273,2))</f>
        <v>0</v>
      </c>
      <c r="Q275" s="78">
        <f t="shared" ca="1" si="178"/>
        <v>0</v>
      </c>
      <c r="R275" s="78">
        <f t="shared" ca="1" si="178"/>
        <v>0</v>
      </c>
      <c r="S275" s="78">
        <f t="shared" ca="1" si="178"/>
        <v>0</v>
      </c>
      <c r="T275" s="78">
        <f t="shared" ca="1" si="178"/>
        <v>0</v>
      </c>
      <c r="U275" s="78">
        <f t="shared" ca="1" si="178"/>
        <v>0</v>
      </c>
      <c r="V275" s="78">
        <f t="shared" ca="1" si="178"/>
        <v>0</v>
      </c>
      <c r="W275" s="118">
        <f t="shared" ca="1" si="178"/>
        <v>0</v>
      </c>
      <c r="X275" s="105"/>
    </row>
    <row r="276" spans="1:24" customFormat="1" ht="14.25" customHeight="1">
      <c r="A276" s="39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269" t="str">
        <f ca="1">INDEX(PO!K$11:K$1504,MATCH($A278,PO!$W$11:$W$1504,0))</f>
        <v>11.5.</v>
      </c>
      <c r="M276" s="271" t="str">
        <f ca="1">INDEX(PO!O$11:O$1504,MATCH($A278,PO!$W$11:$W$1504,0))</f>
        <v>Atividade 76 - Palestra: Cidadania direitos e igualdades Bairro: Frutal de Minas e Jardim Paula II</v>
      </c>
      <c r="N276" s="273">
        <f ca="1">IF(ROUND(K278,2)=0,K278,ROUND(K278,2))</f>
        <v>8707.98</v>
      </c>
      <c r="O276" s="113" t="s">
        <v>33</v>
      </c>
      <c r="P276" s="112"/>
      <c r="Q276" s="59"/>
      <c r="R276" s="59"/>
      <c r="S276" s="59"/>
      <c r="T276" s="59"/>
      <c r="U276" s="59"/>
      <c r="V276" s="59"/>
      <c r="W276" s="59"/>
      <c r="X276" s="105"/>
    </row>
    <row r="277" spans="1:24" customFormat="1" ht="14.25">
      <c r="A277" s="93"/>
      <c r="B277" s="93"/>
      <c r="C277" s="93"/>
      <c r="D277" s="93"/>
      <c r="E277" s="93"/>
      <c r="F277" s="93"/>
      <c r="G277" s="93"/>
      <c r="H277" s="93"/>
      <c r="I277" s="93"/>
      <c r="J277" s="93"/>
      <c r="K277" s="93"/>
      <c r="L277" s="270"/>
      <c r="M277" s="272"/>
      <c r="N277" s="274"/>
      <c r="O277" s="79" t="s">
        <v>35</v>
      </c>
      <c r="P277" s="107">
        <f t="shared" ref="P277:W277" ca="1" si="179">MIN(IF($B278,P276+IF(ISNUMBER(O277),O277,0),P278/$N276),1)</f>
        <v>0</v>
      </c>
      <c r="Q277" s="77">
        <f t="shared" ca="1" si="179"/>
        <v>0</v>
      </c>
      <c r="R277" s="77">
        <f t="shared" ca="1" si="179"/>
        <v>0</v>
      </c>
      <c r="S277" s="77">
        <f t="shared" ca="1" si="179"/>
        <v>0</v>
      </c>
      <c r="T277" s="77">
        <f t="shared" ca="1" si="179"/>
        <v>0</v>
      </c>
      <c r="U277" s="77">
        <f t="shared" ca="1" si="179"/>
        <v>0</v>
      </c>
      <c r="V277" s="77">
        <f t="shared" ca="1" si="179"/>
        <v>0</v>
      </c>
      <c r="W277" s="77">
        <f t="shared" ca="1" si="179"/>
        <v>0</v>
      </c>
      <c r="X277" s="105"/>
    </row>
    <row r="278" spans="1:24" customFormat="1" ht="14.25">
      <c r="A278" s="93">
        <f ca="1">OFFSET(A278,-CFF.NumLinha,0)+1</f>
        <v>87</v>
      </c>
      <c r="B278" s="93" t="b">
        <f ca="1">$C278&gt;=OFFSET($C278,CFF.NumLinha,0)</f>
        <v>1</v>
      </c>
      <c r="C278" s="93">
        <f ca="1">INDEX(PO!A$11:A$1504,MATCH($A278,PO!$W$11:$W$1504,0))</f>
        <v>2</v>
      </c>
      <c r="D278" s="93">
        <f ca="1">IF(ISERROR(J278),I278,SMALL(I278:J278,1))-1</f>
        <v>2</v>
      </c>
      <c r="E278" s="93">
        <f ca="1">IF($C278=1,OFFSET(E278,-CFF.NumLinha,0)+1,OFFSET(E278,-CFF.NumLinha,0))</f>
        <v>11</v>
      </c>
      <c r="F278" s="93">
        <f ca="1">IF($C278=1,0,IF($C278=2,OFFSET(F278,-CFF.NumLinha,0)+1,OFFSET(F278,-CFF.NumLinha,0)))</f>
        <v>5</v>
      </c>
      <c r="G278" s="93">
        <f ca="1">IF(AND($C278&lt;=2,$C278&lt;&gt;0),0,IF($C278=3,OFFSET(G278,-CFF.NumLinha,0)+1,OFFSET(G278,-CFF.NumLinha,0)))</f>
        <v>0</v>
      </c>
      <c r="H278" s="93">
        <f ca="1">IF(AND($C278&lt;=3,$C278&lt;&gt;0),0,IF($C278=4,OFFSET(H278,-CFF.NumLinha,0)+1,OFFSET(H278,-CFF.NumLinha,0)))</f>
        <v>0</v>
      </c>
      <c r="I278" s="93">
        <f ca="1">MATCH(0,OFFSET($D278,1,$C278,ROW($A$435)-ROW($A278)),0)</f>
        <v>9</v>
      </c>
      <c r="J278" s="93">
        <f ca="1">MATCH(OFFSET($D278,0,$C278)+1,OFFSET($D278,1,$C278,ROW($A$435)-ROW($A278)),0)</f>
        <v>3</v>
      </c>
      <c r="K278" s="94">
        <f ca="1">ROUND(INDEX(PO!U$11:U$1504,MATCH($A278,PO!$W$11:$W$1504,0)),2)+10^-12</f>
        <v>8707.9800000000014</v>
      </c>
      <c r="L278" s="270"/>
      <c r="M278" s="272"/>
      <c r="N278" s="274"/>
      <c r="O278" s="115" t="s">
        <v>7</v>
      </c>
      <c r="P278" s="108">
        <f t="shared" ref="P278:W278" ca="1" si="180">IF($B278,ROUND(P277*$N276,2),ROUND(SUMIF(OFFSET($B278,1,0,$D278),TRUE,OFFSET(P278,1,0,$D278))/SUMIF(OFFSET($B278,1,0,$D278),TRUE,OFFSET($K278,1,0,$D278))*$N276,2))</f>
        <v>0</v>
      </c>
      <c r="Q278" s="78">
        <f t="shared" ca="1" si="180"/>
        <v>0</v>
      </c>
      <c r="R278" s="78">
        <f t="shared" ca="1" si="180"/>
        <v>0</v>
      </c>
      <c r="S278" s="78">
        <f t="shared" ca="1" si="180"/>
        <v>0</v>
      </c>
      <c r="T278" s="78">
        <f t="shared" ca="1" si="180"/>
        <v>0</v>
      </c>
      <c r="U278" s="78">
        <f t="shared" ca="1" si="180"/>
        <v>0</v>
      </c>
      <c r="V278" s="78">
        <f t="shared" ca="1" si="180"/>
        <v>0</v>
      </c>
      <c r="W278" s="118">
        <f t="shared" ca="1" si="180"/>
        <v>0</v>
      </c>
      <c r="X278" s="105"/>
    </row>
    <row r="279" spans="1:24" customFormat="1" ht="14.25" customHeight="1">
      <c r="A279" s="39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269" t="str">
        <f ca="1">INDEX(PO!K$11:K$1504,MATCH($A281,PO!$W$11:$W$1504,0))</f>
        <v>11.6.</v>
      </c>
      <c r="M279" s="271" t="str">
        <f ca="1">INDEX(PO!O$11:O$1504,MATCH($A281,PO!$W$11:$W$1504,0))</f>
        <v>Atividade 77 - Curso: Depilação região Parque São João</v>
      </c>
      <c r="N279" s="273">
        <f ca="1">IF(ROUND(K281,2)=0,K281,ROUND(K281,2))</f>
        <v>25193.42</v>
      </c>
      <c r="O279" s="113" t="s">
        <v>33</v>
      </c>
      <c r="P279" s="112"/>
      <c r="Q279" s="59"/>
      <c r="R279" s="59"/>
      <c r="S279" s="59"/>
      <c r="T279" s="59"/>
      <c r="U279" s="59"/>
      <c r="V279" s="59"/>
      <c r="W279" s="59"/>
      <c r="X279" s="105"/>
    </row>
    <row r="280" spans="1:24" customFormat="1" ht="14.25">
      <c r="A280" s="93"/>
      <c r="B280" s="93"/>
      <c r="C280" s="93"/>
      <c r="D280" s="93"/>
      <c r="E280" s="93"/>
      <c r="F280" s="93"/>
      <c r="G280" s="93"/>
      <c r="H280" s="93"/>
      <c r="I280" s="93"/>
      <c r="J280" s="93"/>
      <c r="K280" s="93"/>
      <c r="L280" s="270"/>
      <c r="M280" s="272"/>
      <c r="N280" s="274"/>
      <c r="O280" s="79" t="s">
        <v>35</v>
      </c>
      <c r="P280" s="107">
        <f t="shared" ref="P280:W280" ca="1" si="181">MIN(IF($B281,P279+IF(ISNUMBER(O280),O280,0),P281/$N279),1)</f>
        <v>0</v>
      </c>
      <c r="Q280" s="77">
        <f t="shared" ca="1" si="181"/>
        <v>0</v>
      </c>
      <c r="R280" s="77">
        <f t="shared" ca="1" si="181"/>
        <v>0</v>
      </c>
      <c r="S280" s="77">
        <f t="shared" ca="1" si="181"/>
        <v>0</v>
      </c>
      <c r="T280" s="77">
        <f t="shared" ca="1" si="181"/>
        <v>0</v>
      </c>
      <c r="U280" s="77">
        <f t="shared" ca="1" si="181"/>
        <v>0</v>
      </c>
      <c r="V280" s="77">
        <f t="shared" ca="1" si="181"/>
        <v>0</v>
      </c>
      <c r="W280" s="77">
        <f t="shared" ca="1" si="181"/>
        <v>0</v>
      </c>
      <c r="X280" s="105"/>
    </row>
    <row r="281" spans="1:24" customFormat="1" ht="14.25">
      <c r="A281" s="93">
        <f ca="1">OFFSET(A281,-CFF.NumLinha,0)+1</f>
        <v>88</v>
      </c>
      <c r="B281" s="93" t="b">
        <f ca="1">$C281&gt;=OFFSET($C281,CFF.NumLinha,0)</f>
        <v>1</v>
      </c>
      <c r="C281" s="93">
        <f ca="1">INDEX(PO!A$11:A$1504,MATCH($A281,PO!$W$11:$W$1504,0))</f>
        <v>2</v>
      </c>
      <c r="D281" s="93">
        <f ca="1">IF(ISERROR(J281),I281,SMALL(I281:J281,1))-1</f>
        <v>2</v>
      </c>
      <c r="E281" s="93">
        <f ca="1">IF($C281=1,OFFSET(E281,-CFF.NumLinha,0)+1,OFFSET(E281,-CFF.NumLinha,0))</f>
        <v>11</v>
      </c>
      <c r="F281" s="93">
        <f ca="1">IF($C281=1,0,IF($C281=2,OFFSET(F281,-CFF.NumLinha,0)+1,OFFSET(F281,-CFF.NumLinha,0)))</f>
        <v>6</v>
      </c>
      <c r="G281" s="93">
        <f ca="1">IF(AND($C281&lt;=2,$C281&lt;&gt;0),0,IF($C281=3,OFFSET(G281,-CFF.NumLinha,0)+1,OFFSET(G281,-CFF.NumLinha,0)))</f>
        <v>0</v>
      </c>
      <c r="H281" s="93">
        <f ca="1">IF(AND($C281&lt;=3,$C281&lt;&gt;0),0,IF($C281=4,OFFSET(H281,-CFF.NumLinha,0)+1,OFFSET(H281,-CFF.NumLinha,0)))</f>
        <v>0</v>
      </c>
      <c r="I281" s="93">
        <f ca="1">MATCH(0,OFFSET($D281,1,$C281,ROW($A$435)-ROW($A281)),0)</f>
        <v>6</v>
      </c>
      <c r="J281" s="93">
        <f ca="1">MATCH(OFFSET($D281,0,$C281)+1,OFFSET($D281,1,$C281,ROW($A$435)-ROW($A281)),0)</f>
        <v>3</v>
      </c>
      <c r="K281" s="94">
        <f ca="1">ROUND(INDEX(PO!U$11:U$1504,MATCH($A281,PO!$W$11:$W$1504,0)),2)+10^-12</f>
        <v>25193.42</v>
      </c>
      <c r="L281" s="270"/>
      <c r="M281" s="272"/>
      <c r="N281" s="274"/>
      <c r="O281" s="115" t="s">
        <v>7</v>
      </c>
      <c r="P281" s="108">
        <f t="shared" ref="P281:W281" ca="1" si="182">IF($B281,ROUND(P280*$N279,2),ROUND(SUMIF(OFFSET($B281,1,0,$D281),TRUE,OFFSET(P281,1,0,$D281))/SUMIF(OFFSET($B281,1,0,$D281),TRUE,OFFSET($K281,1,0,$D281))*$N279,2))</f>
        <v>0</v>
      </c>
      <c r="Q281" s="78">
        <f t="shared" ca="1" si="182"/>
        <v>0</v>
      </c>
      <c r="R281" s="78">
        <f t="shared" ca="1" si="182"/>
        <v>0</v>
      </c>
      <c r="S281" s="78">
        <f t="shared" ca="1" si="182"/>
        <v>0</v>
      </c>
      <c r="T281" s="78">
        <f t="shared" ca="1" si="182"/>
        <v>0</v>
      </c>
      <c r="U281" s="78">
        <f t="shared" ca="1" si="182"/>
        <v>0</v>
      </c>
      <c r="V281" s="78">
        <f t="shared" ca="1" si="182"/>
        <v>0</v>
      </c>
      <c r="W281" s="118">
        <f t="shared" ca="1" si="182"/>
        <v>0</v>
      </c>
      <c r="X281" s="105"/>
    </row>
    <row r="282" spans="1:24" customFormat="1" ht="14.25" customHeight="1">
      <c r="A282" s="39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269" t="str">
        <f ca="1">INDEX(PO!K$11:K$1504,MATCH($A284,PO!$W$11:$W$1504,0))</f>
        <v>11.7.</v>
      </c>
      <c r="M282" s="271" t="str">
        <f ca="1">INDEX(PO!O$11:O$1504,MATCH($A284,PO!$W$11:$W$1504,0))</f>
        <v>Atividade 78 - Curso de depilação região Jardim Ikaraí</v>
      </c>
      <c r="N282" s="273">
        <f ca="1">IF(ROUND(K284,2)=0,K284,ROUND(K284,2))</f>
        <v>25193.42</v>
      </c>
      <c r="O282" s="113" t="s">
        <v>33</v>
      </c>
      <c r="P282" s="112"/>
      <c r="Q282" s="59"/>
      <c r="R282" s="59"/>
      <c r="S282" s="59"/>
      <c r="T282" s="59"/>
      <c r="U282" s="59"/>
      <c r="V282" s="59"/>
      <c r="W282" s="59"/>
      <c r="X282" s="105"/>
    </row>
    <row r="283" spans="1:24" customFormat="1" ht="14.25">
      <c r="A283" s="93"/>
      <c r="B283" s="93"/>
      <c r="C283" s="93"/>
      <c r="D283" s="93"/>
      <c r="E283" s="93"/>
      <c r="F283" s="93"/>
      <c r="G283" s="93"/>
      <c r="H283" s="93"/>
      <c r="I283" s="93"/>
      <c r="J283" s="93"/>
      <c r="K283" s="93"/>
      <c r="L283" s="270"/>
      <c r="M283" s="272"/>
      <c r="N283" s="274"/>
      <c r="O283" s="79" t="s">
        <v>35</v>
      </c>
      <c r="P283" s="107">
        <f t="shared" ref="P283:W283" ca="1" si="183">MIN(IF($B284,P282+IF(ISNUMBER(O283),O283,0),P284/$N282),1)</f>
        <v>0</v>
      </c>
      <c r="Q283" s="77">
        <f t="shared" ca="1" si="183"/>
        <v>0</v>
      </c>
      <c r="R283" s="77">
        <f t="shared" ca="1" si="183"/>
        <v>0</v>
      </c>
      <c r="S283" s="77">
        <f t="shared" ca="1" si="183"/>
        <v>0</v>
      </c>
      <c r="T283" s="77">
        <f t="shared" ca="1" si="183"/>
        <v>0</v>
      </c>
      <c r="U283" s="77">
        <f t="shared" ca="1" si="183"/>
        <v>0</v>
      </c>
      <c r="V283" s="77">
        <f t="shared" ca="1" si="183"/>
        <v>0</v>
      </c>
      <c r="W283" s="77">
        <f t="shared" ca="1" si="183"/>
        <v>0</v>
      </c>
      <c r="X283" s="105"/>
    </row>
    <row r="284" spans="1:24" customFormat="1" ht="14.25">
      <c r="A284" s="93">
        <f ca="1">OFFSET(A284,-CFF.NumLinha,0)+1</f>
        <v>89</v>
      </c>
      <c r="B284" s="93" t="b">
        <f ca="1">$C284&gt;=OFFSET($C284,CFF.NumLinha,0)</f>
        <v>1</v>
      </c>
      <c r="C284" s="93">
        <f ca="1">INDEX(PO!A$11:A$1504,MATCH($A284,PO!$W$11:$W$1504,0))</f>
        <v>2</v>
      </c>
      <c r="D284" s="93">
        <f ca="1">IF(ISERROR(J284),I284,SMALL(I284:J284,1))-1</f>
        <v>2</v>
      </c>
      <c r="E284" s="93">
        <f ca="1">IF($C284=1,OFFSET(E284,-CFF.NumLinha,0)+1,OFFSET(E284,-CFF.NumLinha,0))</f>
        <v>11</v>
      </c>
      <c r="F284" s="93">
        <f ca="1">IF($C284=1,0,IF($C284=2,OFFSET(F284,-CFF.NumLinha,0)+1,OFFSET(F284,-CFF.NumLinha,0)))</f>
        <v>7</v>
      </c>
      <c r="G284" s="93">
        <f ca="1">IF(AND($C284&lt;=2,$C284&lt;&gt;0),0,IF($C284=3,OFFSET(G284,-CFF.NumLinha,0)+1,OFFSET(G284,-CFF.NumLinha,0)))</f>
        <v>0</v>
      </c>
      <c r="H284" s="93">
        <f ca="1">IF(AND($C284&lt;=3,$C284&lt;&gt;0),0,IF($C284=4,OFFSET(H284,-CFF.NumLinha,0)+1,OFFSET(H284,-CFF.NumLinha,0)))</f>
        <v>0</v>
      </c>
      <c r="I284" s="93">
        <f ca="1">MATCH(0,OFFSET($D284,1,$C284,ROW($A$435)-ROW($A284)),0)</f>
        <v>3</v>
      </c>
      <c r="J284" s="93">
        <f ca="1">MATCH(OFFSET($D284,0,$C284)+1,OFFSET($D284,1,$C284,ROW($A$435)-ROW($A284)),0)</f>
        <v>27</v>
      </c>
      <c r="K284" s="94">
        <f ca="1">ROUND(INDEX(PO!U$11:U$1504,MATCH($A284,PO!$W$11:$W$1504,0)),2)+10^-12</f>
        <v>25193.42</v>
      </c>
      <c r="L284" s="270"/>
      <c r="M284" s="272"/>
      <c r="N284" s="274"/>
      <c r="O284" s="115" t="s">
        <v>7</v>
      </c>
      <c r="P284" s="108">
        <f t="shared" ref="P284:W284" ca="1" si="184">IF($B284,ROUND(P283*$N282,2),ROUND(SUMIF(OFFSET($B284,1,0,$D284),TRUE,OFFSET(P284,1,0,$D284))/SUMIF(OFFSET($B284,1,0,$D284),TRUE,OFFSET($K284,1,0,$D284))*$N282,2))</f>
        <v>0</v>
      </c>
      <c r="Q284" s="78">
        <f t="shared" ca="1" si="184"/>
        <v>0</v>
      </c>
      <c r="R284" s="78">
        <f t="shared" ca="1" si="184"/>
        <v>0</v>
      </c>
      <c r="S284" s="78">
        <f t="shared" ca="1" si="184"/>
        <v>0</v>
      </c>
      <c r="T284" s="78">
        <f t="shared" ca="1" si="184"/>
        <v>0</v>
      </c>
      <c r="U284" s="78">
        <f t="shared" ca="1" si="184"/>
        <v>0</v>
      </c>
      <c r="V284" s="78">
        <f t="shared" ca="1" si="184"/>
        <v>0</v>
      </c>
      <c r="W284" s="118">
        <f t="shared" ca="1" si="184"/>
        <v>0</v>
      </c>
      <c r="X284" s="105"/>
    </row>
    <row r="285" spans="1:24" customFormat="1" ht="14.25" customHeight="1">
      <c r="A285" s="39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269" t="str">
        <f ca="1">INDEX(PO!K$11:K$1504,MATCH($A287,PO!$W$11:$W$1504,0))</f>
        <v>12.</v>
      </c>
      <c r="M285" s="271" t="str">
        <f ca="1">INDEX(PO!O$11:O$1504,MATCH($A287,PO!$W$11:$W$1504,0))</f>
        <v>MÊS 12 AÇÃO COMUNITÁRIA/SAÚDE E INFORMAÇÕES</v>
      </c>
      <c r="N285" s="273">
        <f ca="1">IF(ROUND(K287,2)=0,K287,ROUND(K287,2))</f>
        <v>65124.22</v>
      </c>
      <c r="O285" s="113" t="s">
        <v>33</v>
      </c>
      <c r="P285" s="112"/>
      <c r="Q285" s="59"/>
      <c r="R285" s="59"/>
      <c r="S285" s="59"/>
      <c r="T285" s="59"/>
      <c r="U285" s="59"/>
      <c r="V285" s="59"/>
      <c r="W285" s="59"/>
      <c r="X285" s="105"/>
    </row>
    <row r="286" spans="1:24" customFormat="1" ht="14.25">
      <c r="A286" s="93"/>
      <c r="B286" s="93"/>
      <c r="C286" s="93"/>
      <c r="D286" s="93"/>
      <c r="E286" s="93"/>
      <c r="F286" s="93"/>
      <c r="G286" s="93"/>
      <c r="H286" s="93"/>
      <c r="I286" s="93"/>
      <c r="J286" s="93"/>
      <c r="K286" s="93"/>
      <c r="L286" s="270"/>
      <c r="M286" s="272"/>
      <c r="N286" s="274"/>
      <c r="O286" s="79" t="s">
        <v>35</v>
      </c>
      <c r="P286" s="107">
        <f t="shared" ref="P286:W286" ca="1" si="185">MIN(IF($B287,P285+IF(ISNUMBER(O286),O286,0),P287/$N285),1)</f>
        <v>0</v>
      </c>
      <c r="Q286" s="77">
        <f t="shared" ca="1" si="185"/>
        <v>0</v>
      </c>
      <c r="R286" s="77">
        <f t="shared" ca="1" si="185"/>
        <v>0</v>
      </c>
      <c r="S286" s="77">
        <f t="shared" ca="1" si="185"/>
        <v>0</v>
      </c>
      <c r="T286" s="77">
        <f t="shared" ca="1" si="185"/>
        <v>0</v>
      </c>
      <c r="U286" s="77">
        <f t="shared" ca="1" si="185"/>
        <v>0</v>
      </c>
      <c r="V286" s="77">
        <f t="shared" ca="1" si="185"/>
        <v>0</v>
      </c>
      <c r="W286" s="77">
        <f t="shared" ca="1" si="185"/>
        <v>0</v>
      </c>
      <c r="X286" s="105"/>
    </row>
    <row r="287" spans="1:24" customFormat="1" ht="14.25">
      <c r="A287" s="93">
        <f ca="1">OFFSET(A287,-CFF.NumLinha,0)+1</f>
        <v>90</v>
      </c>
      <c r="B287" s="93" t="b">
        <f ca="1">$C287&gt;=OFFSET($C287,CFF.NumLinha,0)</f>
        <v>0</v>
      </c>
      <c r="C287" s="93">
        <f ca="1">INDEX(PO!A$11:A$1504,MATCH($A287,PO!$W$11:$W$1504,0))</f>
        <v>1</v>
      </c>
      <c r="D287" s="93">
        <f ca="1">IF(ISERROR(J287),I287,SMALL(I287:J287,1))-1</f>
        <v>26</v>
      </c>
      <c r="E287" s="93">
        <f ca="1">IF($C287=1,OFFSET(E287,-CFF.NumLinha,0)+1,OFFSET(E287,-CFF.NumLinha,0))</f>
        <v>12</v>
      </c>
      <c r="F287" s="93">
        <f ca="1">IF($C287=1,0,IF($C287=2,OFFSET(F287,-CFF.NumLinha,0)+1,OFFSET(F287,-CFF.NumLinha,0)))</f>
        <v>0</v>
      </c>
      <c r="G287" s="93">
        <f ca="1">IF(AND($C287&lt;=2,$C287&lt;&gt;0),0,IF($C287=3,OFFSET(G287,-CFF.NumLinha,0)+1,OFFSET(G287,-CFF.NumLinha,0)))</f>
        <v>0</v>
      </c>
      <c r="H287" s="93">
        <f ca="1">IF(AND($C287&lt;=3,$C287&lt;&gt;0),0,IF($C287=4,OFFSET(H287,-CFF.NumLinha,0)+1,OFFSET(H287,-CFF.NumLinha,0)))</f>
        <v>0</v>
      </c>
      <c r="I287" s="93">
        <f ca="1">MATCH(0,OFFSET($D287,1,$C287,ROW($A$435)-ROW($A287)),0)</f>
        <v>148</v>
      </c>
      <c r="J287" s="93">
        <f ca="1">MATCH(OFFSET($D287,0,$C287)+1,OFFSET($D287,1,$C287,ROW($A$435)-ROW($A287)),0)</f>
        <v>27</v>
      </c>
      <c r="K287" s="94">
        <f ca="1">ROUND(INDEX(PO!U$11:U$1504,MATCH($A287,PO!$W$11:$W$1504,0)),2)+10^-12</f>
        <v>65124.22</v>
      </c>
      <c r="L287" s="270"/>
      <c r="M287" s="272"/>
      <c r="N287" s="274"/>
      <c r="O287" s="115" t="s">
        <v>7</v>
      </c>
      <c r="P287" s="108">
        <f t="shared" ref="P287:W287" ca="1" si="186">IF($B287,ROUND(P286*$N285,2),ROUND(SUMIF(OFFSET($B287,1,0,$D287),TRUE,OFFSET(P287,1,0,$D287))/SUMIF(OFFSET($B287,1,0,$D287),TRUE,OFFSET($K287,1,0,$D287))*$N285,2))</f>
        <v>0</v>
      </c>
      <c r="Q287" s="78">
        <f t="shared" ca="1" si="186"/>
        <v>0</v>
      </c>
      <c r="R287" s="78">
        <f t="shared" ca="1" si="186"/>
        <v>0</v>
      </c>
      <c r="S287" s="78">
        <f t="shared" ca="1" si="186"/>
        <v>0</v>
      </c>
      <c r="T287" s="78">
        <f t="shared" ca="1" si="186"/>
        <v>0</v>
      </c>
      <c r="U287" s="78">
        <f t="shared" ca="1" si="186"/>
        <v>0</v>
      </c>
      <c r="V287" s="78">
        <f t="shared" ca="1" si="186"/>
        <v>0</v>
      </c>
      <c r="W287" s="118">
        <f t="shared" ca="1" si="186"/>
        <v>0</v>
      </c>
      <c r="X287" s="105"/>
    </row>
    <row r="288" spans="1:24" customFormat="1" ht="14.25" customHeight="1">
      <c r="A288" s="39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269" t="str">
        <f ca="1">INDEX(PO!K$11:K$1504,MATCH($A290,PO!$W$11:$W$1504,0))</f>
        <v>12.1.</v>
      </c>
      <c r="M288" s="271" t="str">
        <f ca="1">INDEX(PO!O$11:O$1504,MATCH($A290,PO!$W$11:$W$1504,0))</f>
        <v>Atividade 79 - Ação comunitária e multirão de limpeza região Parque São João</v>
      </c>
      <c r="N288" s="273">
        <f ca="1">IF(ROUND(K290,2)=0,K290,ROUND(K290,2))</f>
        <v>16495.03</v>
      </c>
      <c r="O288" s="113" t="s">
        <v>33</v>
      </c>
      <c r="P288" s="112"/>
      <c r="Q288" s="59"/>
      <c r="R288" s="59"/>
      <c r="S288" s="59"/>
      <c r="T288" s="59"/>
      <c r="U288" s="59"/>
      <c r="V288" s="59"/>
      <c r="W288" s="59"/>
      <c r="X288" s="105"/>
    </row>
    <row r="289" spans="1:24" customFormat="1" ht="14.25">
      <c r="A289" s="93"/>
      <c r="B289" s="93"/>
      <c r="C289" s="93"/>
      <c r="D289" s="93"/>
      <c r="E289" s="93"/>
      <c r="F289" s="93"/>
      <c r="G289" s="93"/>
      <c r="H289" s="93"/>
      <c r="I289" s="93"/>
      <c r="J289" s="93"/>
      <c r="K289" s="93"/>
      <c r="L289" s="270"/>
      <c r="M289" s="272"/>
      <c r="N289" s="274"/>
      <c r="O289" s="79" t="s">
        <v>35</v>
      </c>
      <c r="P289" s="107">
        <f t="shared" ref="P289:W289" ca="1" si="187">MIN(IF($B290,P288+IF(ISNUMBER(O289),O289,0),P290/$N288),1)</f>
        <v>0</v>
      </c>
      <c r="Q289" s="77">
        <f t="shared" ca="1" si="187"/>
        <v>0</v>
      </c>
      <c r="R289" s="77">
        <f t="shared" ca="1" si="187"/>
        <v>0</v>
      </c>
      <c r="S289" s="77">
        <f t="shared" ca="1" si="187"/>
        <v>0</v>
      </c>
      <c r="T289" s="77">
        <f t="shared" ca="1" si="187"/>
        <v>0</v>
      </c>
      <c r="U289" s="77">
        <f t="shared" ca="1" si="187"/>
        <v>0</v>
      </c>
      <c r="V289" s="77">
        <f t="shared" ca="1" si="187"/>
        <v>0</v>
      </c>
      <c r="W289" s="77">
        <f t="shared" ca="1" si="187"/>
        <v>0</v>
      </c>
      <c r="X289" s="105"/>
    </row>
    <row r="290" spans="1:24" customFormat="1" ht="14.25">
      <c r="A290" s="93">
        <f ca="1">OFFSET(A290,-CFF.NumLinha,0)+1</f>
        <v>91</v>
      </c>
      <c r="B290" s="93" t="b">
        <f ca="1">$C290&gt;=OFFSET($C290,CFF.NumLinha,0)</f>
        <v>1</v>
      </c>
      <c r="C290" s="93">
        <f ca="1">INDEX(PO!A$11:A$1504,MATCH($A290,PO!$W$11:$W$1504,0))</f>
        <v>2</v>
      </c>
      <c r="D290" s="93">
        <f ca="1">IF(ISERROR(J290),I290,SMALL(I290:J290,1))-1</f>
        <v>2</v>
      </c>
      <c r="E290" s="93">
        <f ca="1">IF($C290=1,OFFSET(E290,-CFF.NumLinha,0)+1,OFFSET(E290,-CFF.NumLinha,0))</f>
        <v>12</v>
      </c>
      <c r="F290" s="93">
        <f ca="1">IF($C290=1,0,IF($C290=2,OFFSET(F290,-CFF.NumLinha,0)+1,OFFSET(F290,-CFF.NumLinha,0)))</f>
        <v>1</v>
      </c>
      <c r="G290" s="93">
        <f ca="1">IF(AND($C290&lt;=2,$C290&lt;&gt;0),0,IF($C290=3,OFFSET(G290,-CFF.NumLinha,0)+1,OFFSET(G290,-CFF.NumLinha,0)))</f>
        <v>0</v>
      </c>
      <c r="H290" s="93">
        <f ca="1">IF(AND($C290&lt;=3,$C290&lt;&gt;0),0,IF($C290=4,OFFSET(H290,-CFF.NumLinha,0)+1,OFFSET(H290,-CFF.NumLinha,0)))</f>
        <v>0</v>
      </c>
      <c r="I290" s="93">
        <f ca="1">MATCH(0,OFFSET($D290,1,$C290,ROW($A$435)-ROW($A290)),0)</f>
        <v>24</v>
      </c>
      <c r="J290" s="93">
        <f ca="1">MATCH(OFFSET($D290,0,$C290)+1,OFFSET($D290,1,$C290,ROW($A$435)-ROW($A290)),0)</f>
        <v>3</v>
      </c>
      <c r="K290" s="94">
        <f ca="1">ROUND(INDEX(PO!U$11:U$1504,MATCH($A290,PO!$W$11:$W$1504,0)),2)+10^-12</f>
        <v>16495.03</v>
      </c>
      <c r="L290" s="270"/>
      <c r="M290" s="272"/>
      <c r="N290" s="274"/>
      <c r="O290" s="115" t="s">
        <v>7</v>
      </c>
      <c r="P290" s="108">
        <f t="shared" ref="P290:W290" ca="1" si="188">IF($B290,ROUND(P289*$N288,2),ROUND(SUMIF(OFFSET($B290,1,0,$D290),TRUE,OFFSET(P290,1,0,$D290))/SUMIF(OFFSET($B290,1,0,$D290),TRUE,OFFSET($K290,1,0,$D290))*$N288,2))</f>
        <v>0</v>
      </c>
      <c r="Q290" s="78">
        <f t="shared" ca="1" si="188"/>
        <v>0</v>
      </c>
      <c r="R290" s="78">
        <f t="shared" ca="1" si="188"/>
        <v>0</v>
      </c>
      <c r="S290" s="78">
        <f t="shared" ca="1" si="188"/>
        <v>0</v>
      </c>
      <c r="T290" s="78">
        <f t="shared" ca="1" si="188"/>
        <v>0</v>
      </c>
      <c r="U290" s="78">
        <f t="shared" ca="1" si="188"/>
        <v>0</v>
      </c>
      <c r="V290" s="78">
        <f t="shared" ca="1" si="188"/>
        <v>0</v>
      </c>
      <c r="W290" s="118">
        <f t="shared" ca="1" si="188"/>
        <v>0</v>
      </c>
      <c r="X290" s="105"/>
    </row>
    <row r="291" spans="1:24" customFormat="1" ht="14.25" customHeight="1">
      <c r="A291" s="39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269" t="str">
        <f ca="1">INDEX(PO!K$11:K$1504,MATCH($A293,PO!$W$11:$W$1504,0))</f>
        <v>12.2.</v>
      </c>
      <c r="M291" s="271" t="str">
        <f ca="1">INDEX(PO!O$11:O$1504,MATCH($A293,PO!$W$11:$W$1504,0))</f>
        <v>Atividade 80 - Plantão Social região Parque São João</v>
      </c>
      <c r="N291" s="273">
        <f ca="1">IF(ROUND(K293,2)=0,K293,ROUND(K293,2))</f>
        <v>3427.56</v>
      </c>
      <c r="O291" s="113" t="s">
        <v>33</v>
      </c>
      <c r="P291" s="112"/>
      <c r="Q291" s="59"/>
      <c r="R291" s="59"/>
      <c r="S291" s="59"/>
      <c r="T291" s="59"/>
      <c r="U291" s="59"/>
      <c r="V291" s="59"/>
      <c r="W291" s="59"/>
      <c r="X291" s="105"/>
    </row>
    <row r="292" spans="1:24" customFormat="1" ht="14.25">
      <c r="A292" s="93"/>
      <c r="B292" s="93"/>
      <c r="C292" s="93"/>
      <c r="D292" s="93"/>
      <c r="E292" s="93"/>
      <c r="F292" s="93"/>
      <c r="G292" s="93"/>
      <c r="H292" s="93"/>
      <c r="I292" s="93"/>
      <c r="J292" s="93"/>
      <c r="K292" s="93"/>
      <c r="L292" s="270"/>
      <c r="M292" s="272"/>
      <c r="N292" s="274"/>
      <c r="O292" s="79" t="s">
        <v>35</v>
      </c>
      <c r="P292" s="107">
        <f t="shared" ref="P292:W292" ca="1" si="189">MIN(IF($B293,P291+IF(ISNUMBER(O292),O292,0),P293/$N291),1)</f>
        <v>0</v>
      </c>
      <c r="Q292" s="77">
        <f t="shared" ca="1" si="189"/>
        <v>0</v>
      </c>
      <c r="R292" s="77">
        <f t="shared" ca="1" si="189"/>
        <v>0</v>
      </c>
      <c r="S292" s="77">
        <f t="shared" ca="1" si="189"/>
        <v>0</v>
      </c>
      <c r="T292" s="77">
        <f t="shared" ca="1" si="189"/>
        <v>0</v>
      </c>
      <c r="U292" s="77">
        <f t="shared" ca="1" si="189"/>
        <v>0</v>
      </c>
      <c r="V292" s="77">
        <f t="shared" ca="1" si="189"/>
        <v>0</v>
      </c>
      <c r="W292" s="77">
        <f t="shared" ca="1" si="189"/>
        <v>0</v>
      </c>
      <c r="X292" s="105"/>
    </row>
    <row r="293" spans="1:24" customFormat="1" ht="14.25">
      <c r="A293" s="93">
        <f ca="1">OFFSET(A293,-CFF.NumLinha,0)+1</f>
        <v>92</v>
      </c>
      <c r="B293" s="93" t="b">
        <f ca="1">$C293&gt;=OFFSET($C293,CFF.NumLinha,0)</f>
        <v>1</v>
      </c>
      <c r="C293" s="93">
        <f ca="1">INDEX(PO!A$11:A$1504,MATCH($A293,PO!$W$11:$W$1504,0))</f>
        <v>2</v>
      </c>
      <c r="D293" s="93">
        <f ca="1">IF(ISERROR(J293),I293,SMALL(I293:J293,1))-1</f>
        <v>2</v>
      </c>
      <c r="E293" s="93">
        <f ca="1">IF($C293=1,OFFSET(E293,-CFF.NumLinha,0)+1,OFFSET(E293,-CFF.NumLinha,0))</f>
        <v>12</v>
      </c>
      <c r="F293" s="93">
        <f ca="1">IF($C293=1,0,IF($C293=2,OFFSET(F293,-CFF.NumLinha,0)+1,OFFSET(F293,-CFF.NumLinha,0)))</f>
        <v>2</v>
      </c>
      <c r="G293" s="93">
        <f ca="1">IF(AND($C293&lt;=2,$C293&lt;&gt;0),0,IF($C293=3,OFFSET(G293,-CFF.NumLinha,0)+1,OFFSET(G293,-CFF.NumLinha,0)))</f>
        <v>0</v>
      </c>
      <c r="H293" s="93">
        <f ca="1">IF(AND($C293&lt;=3,$C293&lt;&gt;0),0,IF($C293=4,OFFSET(H293,-CFF.NumLinha,0)+1,OFFSET(H293,-CFF.NumLinha,0)))</f>
        <v>0</v>
      </c>
      <c r="I293" s="93">
        <f ca="1">MATCH(0,OFFSET($D293,1,$C293,ROW($A$435)-ROW($A293)),0)</f>
        <v>21</v>
      </c>
      <c r="J293" s="93">
        <f ca="1">MATCH(OFFSET($D293,0,$C293)+1,OFFSET($D293,1,$C293,ROW($A$435)-ROW($A293)),0)</f>
        <v>3</v>
      </c>
      <c r="K293" s="94">
        <f ca="1">ROUND(INDEX(PO!U$11:U$1504,MATCH($A293,PO!$W$11:$W$1504,0)),2)+10^-12</f>
        <v>3427.5600000000009</v>
      </c>
      <c r="L293" s="270"/>
      <c r="M293" s="272"/>
      <c r="N293" s="274"/>
      <c r="O293" s="115" t="s">
        <v>7</v>
      </c>
      <c r="P293" s="108">
        <f t="shared" ref="P293:W293" ca="1" si="190">IF($B293,ROUND(P292*$N291,2),ROUND(SUMIF(OFFSET($B293,1,0,$D293),TRUE,OFFSET(P293,1,0,$D293))/SUMIF(OFFSET($B293,1,0,$D293),TRUE,OFFSET($K293,1,0,$D293))*$N291,2))</f>
        <v>0</v>
      </c>
      <c r="Q293" s="78">
        <f t="shared" ca="1" si="190"/>
        <v>0</v>
      </c>
      <c r="R293" s="78">
        <f t="shared" ca="1" si="190"/>
        <v>0</v>
      </c>
      <c r="S293" s="78">
        <f t="shared" ca="1" si="190"/>
        <v>0</v>
      </c>
      <c r="T293" s="78">
        <f t="shared" ca="1" si="190"/>
        <v>0</v>
      </c>
      <c r="U293" s="78">
        <f t="shared" ca="1" si="190"/>
        <v>0</v>
      </c>
      <c r="V293" s="78">
        <f t="shared" ca="1" si="190"/>
        <v>0</v>
      </c>
      <c r="W293" s="118">
        <f t="shared" ca="1" si="190"/>
        <v>0</v>
      </c>
      <c r="X293" s="105"/>
    </row>
    <row r="294" spans="1:24" customFormat="1" ht="14.25" customHeight="1">
      <c r="A294" s="39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269" t="str">
        <f ca="1">INDEX(PO!K$11:K$1504,MATCH($A296,PO!$W$11:$W$1504,0))</f>
        <v>12.3.</v>
      </c>
      <c r="M294" s="271" t="str">
        <f ca="1">INDEX(PO!O$11:O$1504,MATCH($A296,PO!$W$11:$W$1504,0))</f>
        <v>Atividade 81 - Ação comunitária e multirão de limpeza região Jardim Ikaraí</v>
      </c>
      <c r="N294" s="273">
        <f ca="1">IF(ROUND(K296,2)=0,K296,ROUND(K296,2))</f>
        <v>11149.34</v>
      </c>
      <c r="O294" s="113" t="s">
        <v>33</v>
      </c>
      <c r="P294" s="112"/>
      <c r="Q294" s="59"/>
      <c r="R294" s="59"/>
      <c r="S294" s="59"/>
      <c r="T294" s="59"/>
      <c r="U294" s="59"/>
      <c r="V294" s="59"/>
      <c r="W294" s="59"/>
      <c r="X294" s="105"/>
    </row>
    <row r="295" spans="1:24" customFormat="1" ht="14.25">
      <c r="A295" s="93"/>
      <c r="B295" s="93"/>
      <c r="C295" s="93"/>
      <c r="D295" s="93"/>
      <c r="E295" s="93"/>
      <c r="F295" s="93"/>
      <c r="G295" s="93"/>
      <c r="H295" s="93"/>
      <c r="I295" s="93"/>
      <c r="J295" s="93"/>
      <c r="K295" s="93"/>
      <c r="L295" s="270"/>
      <c r="M295" s="272"/>
      <c r="N295" s="274"/>
      <c r="O295" s="79" t="s">
        <v>35</v>
      </c>
      <c r="P295" s="107">
        <f t="shared" ref="P295:W295" ca="1" si="191">MIN(IF($B296,P294+IF(ISNUMBER(O295),O295,0),P296/$N294),1)</f>
        <v>0</v>
      </c>
      <c r="Q295" s="77">
        <f t="shared" ca="1" si="191"/>
        <v>0</v>
      </c>
      <c r="R295" s="77">
        <f t="shared" ca="1" si="191"/>
        <v>0</v>
      </c>
      <c r="S295" s="77">
        <f t="shared" ca="1" si="191"/>
        <v>0</v>
      </c>
      <c r="T295" s="77">
        <f t="shared" ca="1" si="191"/>
        <v>0</v>
      </c>
      <c r="U295" s="77">
        <f t="shared" ca="1" si="191"/>
        <v>0</v>
      </c>
      <c r="V295" s="77">
        <f t="shared" ca="1" si="191"/>
        <v>0</v>
      </c>
      <c r="W295" s="77">
        <f t="shared" ca="1" si="191"/>
        <v>0</v>
      </c>
      <c r="X295" s="105"/>
    </row>
    <row r="296" spans="1:24" customFormat="1" ht="14.25">
      <c r="A296" s="93">
        <f ca="1">OFFSET(A296,-CFF.NumLinha,0)+1</f>
        <v>93</v>
      </c>
      <c r="B296" s="93" t="b">
        <f ca="1">$C296&gt;=OFFSET($C296,CFF.NumLinha,0)</f>
        <v>1</v>
      </c>
      <c r="C296" s="93">
        <f ca="1">INDEX(PO!A$11:A$1504,MATCH($A296,PO!$W$11:$W$1504,0))</f>
        <v>2</v>
      </c>
      <c r="D296" s="93">
        <f ca="1">IF(ISERROR(J296),I296,SMALL(I296:J296,1))-1</f>
        <v>2</v>
      </c>
      <c r="E296" s="93">
        <f ca="1">IF($C296=1,OFFSET(E296,-CFF.NumLinha,0)+1,OFFSET(E296,-CFF.NumLinha,0))</f>
        <v>12</v>
      </c>
      <c r="F296" s="93">
        <f ca="1">IF($C296=1,0,IF($C296=2,OFFSET(F296,-CFF.NumLinha,0)+1,OFFSET(F296,-CFF.NumLinha,0)))</f>
        <v>3</v>
      </c>
      <c r="G296" s="93">
        <f ca="1">IF(AND($C296&lt;=2,$C296&lt;&gt;0),0,IF($C296=3,OFFSET(G296,-CFF.NumLinha,0)+1,OFFSET(G296,-CFF.NumLinha,0)))</f>
        <v>0</v>
      </c>
      <c r="H296" s="93">
        <f ca="1">IF(AND($C296&lt;=3,$C296&lt;&gt;0),0,IF($C296=4,OFFSET(H296,-CFF.NumLinha,0)+1,OFFSET(H296,-CFF.NumLinha,0)))</f>
        <v>0</v>
      </c>
      <c r="I296" s="93">
        <f ca="1">MATCH(0,OFFSET($D296,1,$C296,ROW($A$435)-ROW($A296)),0)</f>
        <v>18</v>
      </c>
      <c r="J296" s="93">
        <f ca="1">MATCH(OFFSET($D296,0,$C296)+1,OFFSET($D296,1,$C296,ROW($A$435)-ROW($A296)),0)</f>
        <v>3</v>
      </c>
      <c r="K296" s="94">
        <f ca="1">ROUND(INDEX(PO!U$11:U$1504,MATCH($A296,PO!$W$11:$W$1504,0)),2)+10^-12</f>
        <v>11149.340000000002</v>
      </c>
      <c r="L296" s="270"/>
      <c r="M296" s="272"/>
      <c r="N296" s="274"/>
      <c r="O296" s="115" t="s">
        <v>7</v>
      </c>
      <c r="P296" s="108">
        <f t="shared" ref="P296:W296" ca="1" si="192">IF($B296,ROUND(P295*$N294,2),ROUND(SUMIF(OFFSET($B296,1,0,$D296),TRUE,OFFSET(P296,1,0,$D296))/SUMIF(OFFSET($B296,1,0,$D296),TRUE,OFFSET($K296,1,0,$D296))*$N294,2))</f>
        <v>0</v>
      </c>
      <c r="Q296" s="78">
        <f t="shared" ca="1" si="192"/>
        <v>0</v>
      </c>
      <c r="R296" s="78">
        <f t="shared" ca="1" si="192"/>
        <v>0</v>
      </c>
      <c r="S296" s="78">
        <f t="shared" ca="1" si="192"/>
        <v>0</v>
      </c>
      <c r="T296" s="78">
        <f t="shared" ca="1" si="192"/>
        <v>0</v>
      </c>
      <c r="U296" s="78">
        <f t="shared" ca="1" si="192"/>
        <v>0</v>
      </c>
      <c r="V296" s="78">
        <f t="shared" ca="1" si="192"/>
        <v>0</v>
      </c>
      <c r="W296" s="118">
        <f t="shared" ca="1" si="192"/>
        <v>0</v>
      </c>
      <c r="X296" s="105"/>
    </row>
    <row r="297" spans="1:24" customFormat="1" ht="14.25" customHeight="1">
      <c r="A297" s="3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269" t="str">
        <f ca="1">INDEX(PO!K$11:K$1504,MATCH($A299,PO!$W$11:$W$1504,0))</f>
        <v>12.4.</v>
      </c>
      <c r="M297" s="271" t="str">
        <f ca="1">INDEX(PO!O$11:O$1504,MATCH($A299,PO!$W$11:$W$1504,0))</f>
        <v>Atividade 82 - Plantão Social região Jardim Ikaraí</v>
      </c>
      <c r="N297" s="273">
        <f ca="1">IF(ROUND(K299,2)=0,K299,ROUND(K299,2))</f>
        <v>3427.56</v>
      </c>
      <c r="O297" s="113" t="s">
        <v>33</v>
      </c>
      <c r="P297" s="112"/>
      <c r="Q297" s="59"/>
      <c r="R297" s="59"/>
      <c r="S297" s="59"/>
      <c r="T297" s="59"/>
      <c r="U297" s="59"/>
      <c r="V297" s="59"/>
      <c r="W297" s="59"/>
      <c r="X297" s="105"/>
    </row>
    <row r="298" spans="1:24" customFormat="1" ht="14.25">
      <c r="A298" s="93"/>
      <c r="B298" s="93"/>
      <c r="C298" s="93"/>
      <c r="D298" s="93"/>
      <c r="E298" s="93"/>
      <c r="F298" s="93"/>
      <c r="G298" s="93"/>
      <c r="H298" s="93"/>
      <c r="I298" s="93"/>
      <c r="J298" s="93"/>
      <c r="K298" s="93"/>
      <c r="L298" s="270"/>
      <c r="M298" s="272"/>
      <c r="N298" s="274"/>
      <c r="O298" s="79" t="s">
        <v>35</v>
      </c>
      <c r="P298" s="107">
        <f t="shared" ref="P298:W298" ca="1" si="193">MIN(IF($B299,P297+IF(ISNUMBER(O298),O298,0),P299/$N297),1)</f>
        <v>0</v>
      </c>
      <c r="Q298" s="77">
        <f t="shared" ca="1" si="193"/>
        <v>0</v>
      </c>
      <c r="R298" s="77">
        <f t="shared" ca="1" si="193"/>
        <v>0</v>
      </c>
      <c r="S298" s="77">
        <f t="shared" ca="1" si="193"/>
        <v>0</v>
      </c>
      <c r="T298" s="77">
        <f t="shared" ca="1" si="193"/>
        <v>0</v>
      </c>
      <c r="U298" s="77">
        <f t="shared" ca="1" si="193"/>
        <v>0</v>
      </c>
      <c r="V298" s="77">
        <f t="shared" ca="1" si="193"/>
        <v>0</v>
      </c>
      <c r="W298" s="77">
        <f t="shared" ca="1" si="193"/>
        <v>0</v>
      </c>
      <c r="X298" s="105"/>
    </row>
    <row r="299" spans="1:24" customFormat="1" ht="14.25">
      <c r="A299" s="93">
        <f ca="1">OFFSET(A299,-CFF.NumLinha,0)+1</f>
        <v>94</v>
      </c>
      <c r="B299" s="93" t="b">
        <f ca="1">$C299&gt;=OFFSET($C299,CFF.NumLinha,0)</f>
        <v>1</v>
      </c>
      <c r="C299" s="93">
        <f ca="1">INDEX(PO!A$11:A$1504,MATCH($A299,PO!$W$11:$W$1504,0))</f>
        <v>2</v>
      </c>
      <c r="D299" s="93">
        <f ca="1">IF(ISERROR(J299),I299,SMALL(I299:J299,1))-1</f>
        <v>2</v>
      </c>
      <c r="E299" s="93">
        <f ca="1">IF($C299=1,OFFSET(E299,-CFF.NumLinha,0)+1,OFFSET(E299,-CFF.NumLinha,0))</f>
        <v>12</v>
      </c>
      <c r="F299" s="93">
        <f ca="1">IF($C299=1,0,IF($C299=2,OFFSET(F299,-CFF.NumLinha,0)+1,OFFSET(F299,-CFF.NumLinha,0)))</f>
        <v>4</v>
      </c>
      <c r="G299" s="93">
        <f ca="1">IF(AND($C299&lt;=2,$C299&lt;&gt;0),0,IF($C299=3,OFFSET(G299,-CFF.NumLinha,0)+1,OFFSET(G299,-CFF.NumLinha,0)))</f>
        <v>0</v>
      </c>
      <c r="H299" s="93">
        <f ca="1">IF(AND($C299&lt;=3,$C299&lt;&gt;0),0,IF($C299=4,OFFSET(H299,-CFF.NumLinha,0)+1,OFFSET(H299,-CFF.NumLinha,0)))</f>
        <v>0</v>
      </c>
      <c r="I299" s="93">
        <f ca="1">MATCH(0,OFFSET($D299,1,$C299,ROW($A$435)-ROW($A299)),0)</f>
        <v>15</v>
      </c>
      <c r="J299" s="93">
        <f ca="1">MATCH(OFFSET($D299,0,$C299)+1,OFFSET($D299,1,$C299,ROW($A$435)-ROW($A299)),0)</f>
        <v>3</v>
      </c>
      <c r="K299" s="94">
        <f ca="1">ROUND(INDEX(PO!U$11:U$1504,MATCH($A299,PO!$W$11:$W$1504,0)),2)+10^-12</f>
        <v>3427.5600000000009</v>
      </c>
      <c r="L299" s="270"/>
      <c r="M299" s="272"/>
      <c r="N299" s="274"/>
      <c r="O299" s="115" t="s">
        <v>7</v>
      </c>
      <c r="P299" s="108">
        <f t="shared" ref="P299:W299" ca="1" si="194">IF($B299,ROUND(P298*$N297,2),ROUND(SUMIF(OFFSET($B299,1,0,$D299),TRUE,OFFSET(P299,1,0,$D299))/SUMIF(OFFSET($B299,1,0,$D299),TRUE,OFFSET($K299,1,0,$D299))*$N297,2))</f>
        <v>0</v>
      </c>
      <c r="Q299" s="78">
        <f t="shared" ca="1" si="194"/>
        <v>0</v>
      </c>
      <c r="R299" s="78">
        <f t="shared" ca="1" si="194"/>
        <v>0</v>
      </c>
      <c r="S299" s="78">
        <f t="shared" ca="1" si="194"/>
        <v>0</v>
      </c>
      <c r="T299" s="78">
        <f t="shared" ca="1" si="194"/>
        <v>0</v>
      </c>
      <c r="U299" s="78">
        <f t="shared" ca="1" si="194"/>
        <v>0</v>
      </c>
      <c r="V299" s="78">
        <f t="shared" ca="1" si="194"/>
        <v>0</v>
      </c>
      <c r="W299" s="118">
        <f t="shared" ca="1" si="194"/>
        <v>0</v>
      </c>
      <c r="X299" s="105"/>
    </row>
    <row r="300" spans="1:24" customFormat="1" ht="14.25" customHeight="1">
      <c r="A300" s="39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269" t="str">
        <f ca="1">INDEX(PO!K$11:K$1504,MATCH($A302,PO!$W$11:$W$1504,0))</f>
        <v>12.5.</v>
      </c>
      <c r="M300" s="271" t="str">
        <f ca="1">INDEX(PO!O$11:O$1504,MATCH($A302,PO!$W$11:$W$1504,0))</f>
        <v>Atividade 83 - Ação comunitária e multirão de limpeza Bairro: Frutal de Minas e Jardim Paula II</v>
      </c>
      <c r="N300" s="273">
        <f ca="1">IF(ROUND(K302,2)=0,K302,ROUND(K302,2))</f>
        <v>10512.35</v>
      </c>
      <c r="O300" s="113" t="s">
        <v>33</v>
      </c>
      <c r="P300" s="112"/>
      <c r="Q300" s="59"/>
      <c r="R300" s="59"/>
      <c r="S300" s="59"/>
      <c r="T300" s="59"/>
      <c r="U300" s="59"/>
      <c r="V300" s="59"/>
      <c r="W300" s="59"/>
      <c r="X300" s="105"/>
    </row>
    <row r="301" spans="1:24" customFormat="1" ht="14.25">
      <c r="A301" s="93"/>
      <c r="B301" s="93"/>
      <c r="C301" s="93"/>
      <c r="D301" s="93"/>
      <c r="E301" s="93"/>
      <c r="F301" s="93"/>
      <c r="G301" s="93"/>
      <c r="H301" s="93"/>
      <c r="I301" s="93"/>
      <c r="J301" s="93"/>
      <c r="K301" s="93"/>
      <c r="L301" s="270"/>
      <c r="M301" s="272"/>
      <c r="N301" s="274"/>
      <c r="O301" s="79" t="s">
        <v>35</v>
      </c>
      <c r="P301" s="107">
        <f t="shared" ref="P301:W301" ca="1" si="195">MIN(IF($B302,P300+IF(ISNUMBER(O301),O301,0),P302/$N300),1)</f>
        <v>0</v>
      </c>
      <c r="Q301" s="77">
        <f t="shared" ca="1" si="195"/>
        <v>0</v>
      </c>
      <c r="R301" s="77">
        <f t="shared" ca="1" si="195"/>
        <v>0</v>
      </c>
      <c r="S301" s="77">
        <f t="shared" ca="1" si="195"/>
        <v>0</v>
      </c>
      <c r="T301" s="77">
        <f t="shared" ca="1" si="195"/>
        <v>0</v>
      </c>
      <c r="U301" s="77">
        <f t="shared" ca="1" si="195"/>
        <v>0</v>
      </c>
      <c r="V301" s="77">
        <f t="shared" ca="1" si="195"/>
        <v>0</v>
      </c>
      <c r="W301" s="77">
        <f t="shared" ca="1" si="195"/>
        <v>0</v>
      </c>
      <c r="X301" s="105"/>
    </row>
    <row r="302" spans="1:24" customFormat="1" ht="14.25">
      <c r="A302" s="93">
        <f ca="1">OFFSET(A302,-CFF.NumLinha,0)+1</f>
        <v>95</v>
      </c>
      <c r="B302" s="93" t="b">
        <f ca="1">$C302&gt;=OFFSET($C302,CFF.NumLinha,0)</f>
        <v>1</v>
      </c>
      <c r="C302" s="93">
        <f ca="1">INDEX(PO!A$11:A$1504,MATCH($A302,PO!$W$11:$W$1504,0))</f>
        <v>2</v>
      </c>
      <c r="D302" s="93">
        <f ca="1">IF(ISERROR(J302),I302,SMALL(I302:J302,1))-1</f>
        <v>2</v>
      </c>
      <c r="E302" s="93">
        <f ca="1">IF($C302=1,OFFSET(E302,-CFF.NumLinha,0)+1,OFFSET(E302,-CFF.NumLinha,0))</f>
        <v>12</v>
      </c>
      <c r="F302" s="93">
        <f ca="1">IF($C302=1,0,IF($C302=2,OFFSET(F302,-CFF.NumLinha,0)+1,OFFSET(F302,-CFF.NumLinha,0)))</f>
        <v>5</v>
      </c>
      <c r="G302" s="93">
        <f ca="1">IF(AND($C302&lt;=2,$C302&lt;&gt;0),0,IF($C302=3,OFFSET(G302,-CFF.NumLinha,0)+1,OFFSET(G302,-CFF.NumLinha,0)))</f>
        <v>0</v>
      </c>
      <c r="H302" s="93">
        <f ca="1">IF(AND($C302&lt;=3,$C302&lt;&gt;0),0,IF($C302=4,OFFSET(H302,-CFF.NumLinha,0)+1,OFFSET(H302,-CFF.NumLinha,0)))</f>
        <v>0</v>
      </c>
      <c r="I302" s="93">
        <f ca="1">MATCH(0,OFFSET($D302,1,$C302,ROW($A$435)-ROW($A302)),0)</f>
        <v>12</v>
      </c>
      <c r="J302" s="93">
        <f ca="1">MATCH(OFFSET($D302,0,$C302)+1,OFFSET($D302,1,$C302,ROW($A$435)-ROW($A302)),0)</f>
        <v>3</v>
      </c>
      <c r="K302" s="94">
        <f ca="1">ROUND(INDEX(PO!U$11:U$1504,MATCH($A302,PO!$W$11:$W$1504,0)),2)+10^-12</f>
        <v>10512.350000000002</v>
      </c>
      <c r="L302" s="270"/>
      <c r="M302" s="272"/>
      <c r="N302" s="274"/>
      <c r="O302" s="115" t="s">
        <v>7</v>
      </c>
      <c r="P302" s="108">
        <f t="shared" ref="P302:W302" ca="1" si="196">IF($B302,ROUND(P301*$N300,2),ROUND(SUMIF(OFFSET($B302,1,0,$D302),TRUE,OFFSET(P302,1,0,$D302))/SUMIF(OFFSET($B302,1,0,$D302),TRUE,OFFSET($K302,1,0,$D302))*$N300,2))</f>
        <v>0</v>
      </c>
      <c r="Q302" s="78">
        <f t="shared" ca="1" si="196"/>
        <v>0</v>
      </c>
      <c r="R302" s="78">
        <f t="shared" ca="1" si="196"/>
        <v>0</v>
      </c>
      <c r="S302" s="78">
        <f t="shared" ca="1" si="196"/>
        <v>0</v>
      </c>
      <c r="T302" s="78">
        <f t="shared" ca="1" si="196"/>
        <v>0</v>
      </c>
      <c r="U302" s="78">
        <f t="shared" ca="1" si="196"/>
        <v>0</v>
      </c>
      <c r="V302" s="78">
        <f t="shared" ca="1" si="196"/>
        <v>0</v>
      </c>
      <c r="W302" s="118">
        <f t="shared" ca="1" si="196"/>
        <v>0</v>
      </c>
      <c r="X302" s="105"/>
    </row>
    <row r="303" spans="1:24" customFormat="1" ht="14.25" customHeight="1">
      <c r="A303" s="39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269" t="str">
        <f ca="1">INDEX(PO!K$11:K$1504,MATCH($A305,PO!$W$11:$W$1504,0))</f>
        <v>12.6.</v>
      </c>
      <c r="M303" s="271" t="str">
        <f ca="1">INDEX(PO!O$11:O$1504,MATCH($A305,PO!$W$11:$W$1504,0))</f>
        <v>Atividade 84 - Oficina: Primeiros Socorros região Parque São joão</v>
      </c>
      <c r="N303" s="273">
        <f ca="1">IF(ROUND(K305,2)=0,K305,ROUND(K305,2))</f>
        <v>17941.72</v>
      </c>
      <c r="O303" s="113" t="s">
        <v>33</v>
      </c>
      <c r="P303" s="112"/>
      <c r="Q303" s="59"/>
      <c r="R303" s="59"/>
      <c r="S303" s="59"/>
      <c r="T303" s="59"/>
      <c r="U303" s="59"/>
      <c r="V303" s="59"/>
      <c r="W303" s="59"/>
      <c r="X303" s="105"/>
    </row>
    <row r="304" spans="1:24" customFormat="1" ht="14.25">
      <c r="A304" s="93"/>
      <c r="B304" s="93"/>
      <c r="C304" s="93"/>
      <c r="D304" s="93"/>
      <c r="E304" s="93"/>
      <c r="F304" s="93"/>
      <c r="G304" s="93"/>
      <c r="H304" s="93"/>
      <c r="I304" s="93"/>
      <c r="J304" s="93"/>
      <c r="K304" s="93"/>
      <c r="L304" s="270"/>
      <c r="M304" s="272"/>
      <c r="N304" s="274"/>
      <c r="O304" s="79" t="s">
        <v>35</v>
      </c>
      <c r="P304" s="107">
        <f t="shared" ref="P304:W304" ca="1" si="197">MIN(IF($B305,P303+IF(ISNUMBER(O304),O304,0),P305/$N303),1)</f>
        <v>0</v>
      </c>
      <c r="Q304" s="77">
        <f t="shared" ca="1" si="197"/>
        <v>0</v>
      </c>
      <c r="R304" s="77">
        <f t="shared" ca="1" si="197"/>
        <v>0</v>
      </c>
      <c r="S304" s="77">
        <f t="shared" ca="1" si="197"/>
        <v>0</v>
      </c>
      <c r="T304" s="77">
        <f t="shared" ca="1" si="197"/>
        <v>0</v>
      </c>
      <c r="U304" s="77">
        <f t="shared" ca="1" si="197"/>
        <v>0</v>
      </c>
      <c r="V304" s="77">
        <f t="shared" ca="1" si="197"/>
        <v>0</v>
      </c>
      <c r="W304" s="77">
        <f t="shared" ca="1" si="197"/>
        <v>0</v>
      </c>
      <c r="X304" s="105"/>
    </row>
    <row r="305" spans="1:24" customFormat="1" ht="14.25">
      <c r="A305" s="93">
        <f ca="1">OFFSET(A305,-CFF.NumLinha,0)+1</f>
        <v>96</v>
      </c>
      <c r="B305" s="93" t="b">
        <f ca="1">$C305&gt;=OFFSET($C305,CFF.NumLinha,0)</f>
        <v>1</v>
      </c>
      <c r="C305" s="93">
        <f ca="1">INDEX(PO!A$11:A$1504,MATCH($A305,PO!$W$11:$W$1504,0))</f>
        <v>2</v>
      </c>
      <c r="D305" s="93">
        <f ca="1">IF(ISERROR(J305),I305,SMALL(I305:J305,1))-1</f>
        <v>2</v>
      </c>
      <c r="E305" s="93">
        <f ca="1">IF($C305=1,OFFSET(E305,-CFF.NumLinha,0)+1,OFFSET(E305,-CFF.NumLinha,0))</f>
        <v>12</v>
      </c>
      <c r="F305" s="93">
        <f ca="1">IF($C305=1,0,IF($C305=2,OFFSET(F305,-CFF.NumLinha,0)+1,OFFSET(F305,-CFF.NumLinha,0)))</f>
        <v>6</v>
      </c>
      <c r="G305" s="93">
        <f ca="1">IF(AND($C305&lt;=2,$C305&lt;&gt;0),0,IF($C305=3,OFFSET(G305,-CFF.NumLinha,0)+1,OFFSET(G305,-CFF.NumLinha,0)))</f>
        <v>0</v>
      </c>
      <c r="H305" s="93">
        <f ca="1">IF(AND($C305&lt;=3,$C305&lt;&gt;0),0,IF($C305=4,OFFSET(H305,-CFF.NumLinha,0)+1,OFFSET(H305,-CFF.NumLinha,0)))</f>
        <v>0</v>
      </c>
      <c r="I305" s="93">
        <f ca="1">MATCH(0,OFFSET($D305,1,$C305,ROW($A$435)-ROW($A305)),0)</f>
        <v>9</v>
      </c>
      <c r="J305" s="93">
        <f ca="1">MATCH(OFFSET($D305,0,$C305)+1,OFFSET($D305,1,$C305,ROW($A$435)-ROW($A305)),0)</f>
        <v>3</v>
      </c>
      <c r="K305" s="94">
        <f ca="1">ROUND(INDEX(PO!U$11:U$1504,MATCH($A305,PO!$W$11:$W$1504,0)),2)+10^-12</f>
        <v>17941.72</v>
      </c>
      <c r="L305" s="270"/>
      <c r="M305" s="272"/>
      <c r="N305" s="274"/>
      <c r="O305" s="115" t="s">
        <v>7</v>
      </c>
      <c r="P305" s="108">
        <f t="shared" ref="P305:W305" ca="1" si="198">IF($B305,ROUND(P304*$N303,2),ROUND(SUMIF(OFFSET($B305,1,0,$D305),TRUE,OFFSET(P305,1,0,$D305))/SUMIF(OFFSET($B305,1,0,$D305),TRUE,OFFSET($K305,1,0,$D305))*$N303,2))</f>
        <v>0</v>
      </c>
      <c r="Q305" s="78">
        <f t="shared" ca="1" si="198"/>
        <v>0</v>
      </c>
      <c r="R305" s="78">
        <f t="shared" ca="1" si="198"/>
        <v>0</v>
      </c>
      <c r="S305" s="78">
        <f t="shared" ca="1" si="198"/>
        <v>0</v>
      </c>
      <c r="T305" s="78">
        <f t="shared" ca="1" si="198"/>
        <v>0</v>
      </c>
      <c r="U305" s="78">
        <f t="shared" ca="1" si="198"/>
        <v>0</v>
      </c>
      <c r="V305" s="78">
        <f t="shared" ca="1" si="198"/>
        <v>0</v>
      </c>
      <c r="W305" s="118">
        <f t="shared" ca="1" si="198"/>
        <v>0</v>
      </c>
      <c r="X305" s="105"/>
    </row>
    <row r="306" spans="1:24" customFormat="1" ht="14.25" customHeight="1">
      <c r="A306" s="39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269" t="str">
        <f ca="1">INDEX(PO!K$11:K$1504,MATCH($A308,PO!$W$11:$W$1504,0))</f>
        <v>12.7.</v>
      </c>
      <c r="M306" s="271" t="str">
        <f ca="1">INDEX(PO!O$11:O$1504,MATCH($A308,PO!$W$11:$W$1504,0))</f>
        <v>Atividade 85 - Reunião para o sorteio, entrega das chaves emanual do beneficiário região Parque São João</v>
      </c>
      <c r="N306" s="273">
        <f ca="1">IF(ROUND(K308,2)=0,K308,ROUND(K308,2))</f>
        <v>1085.33</v>
      </c>
      <c r="O306" s="113" t="s">
        <v>33</v>
      </c>
      <c r="P306" s="112"/>
      <c r="Q306" s="59"/>
      <c r="R306" s="59"/>
      <c r="S306" s="59"/>
      <c r="T306" s="59"/>
      <c r="U306" s="59"/>
      <c r="V306" s="59"/>
      <c r="W306" s="59"/>
      <c r="X306" s="105"/>
    </row>
    <row r="307" spans="1:24" customFormat="1" ht="14.25">
      <c r="A307" s="93"/>
      <c r="B307" s="93"/>
      <c r="C307" s="93"/>
      <c r="D307" s="93"/>
      <c r="E307" s="93"/>
      <c r="F307" s="93"/>
      <c r="G307" s="93"/>
      <c r="H307" s="93"/>
      <c r="I307" s="93"/>
      <c r="J307" s="93"/>
      <c r="K307" s="93"/>
      <c r="L307" s="270"/>
      <c r="M307" s="272"/>
      <c r="N307" s="274"/>
      <c r="O307" s="79" t="s">
        <v>35</v>
      </c>
      <c r="P307" s="107">
        <f t="shared" ref="P307:W307" ca="1" si="199">MIN(IF($B308,P306+IF(ISNUMBER(O307),O307,0),P308/$N306),1)</f>
        <v>0</v>
      </c>
      <c r="Q307" s="77">
        <f t="shared" ca="1" si="199"/>
        <v>0</v>
      </c>
      <c r="R307" s="77">
        <f t="shared" ca="1" si="199"/>
        <v>0</v>
      </c>
      <c r="S307" s="77">
        <f t="shared" ca="1" si="199"/>
        <v>0</v>
      </c>
      <c r="T307" s="77">
        <f t="shared" ca="1" si="199"/>
        <v>0</v>
      </c>
      <c r="U307" s="77">
        <f t="shared" ca="1" si="199"/>
        <v>0</v>
      </c>
      <c r="V307" s="77">
        <f t="shared" ca="1" si="199"/>
        <v>0</v>
      </c>
      <c r="W307" s="77">
        <f t="shared" ca="1" si="199"/>
        <v>0</v>
      </c>
      <c r="X307" s="105"/>
    </row>
    <row r="308" spans="1:24" customFormat="1" ht="14.25">
      <c r="A308" s="93">
        <f ca="1">OFFSET(A308,-CFF.NumLinha,0)+1</f>
        <v>97</v>
      </c>
      <c r="B308" s="93" t="b">
        <f ca="1">$C308&gt;=OFFSET($C308,CFF.NumLinha,0)</f>
        <v>1</v>
      </c>
      <c r="C308" s="93">
        <f ca="1">INDEX(PO!A$11:A$1504,MATCH($A308,PO!$W$11:$W$1504,0))</f>
        <v>2</v>
      </c>
      <c r="D308" s="93">
        <f ca="1">IF(ISERROR(J308),I308,SMALL(I308:J308,1))-1</f>
        <v>2</v>
      </c>
      <c r="E308" s="93">
        <f ca="1">IF($C308=1,OFFSET(E308,-CFF.NumLinha,0)+1,OFFSET(E308,-CFF.NumLinha,0))</f>
        <v>12</v>
      </c>
      <c r="F308" s="93">
        <f ca="1">IF($C308=1,0,IF($C308=2,OFFSET(F308,-CFF.NumLinha,0)+1,OFFSET(F308,-CFF.NumLinha,0)))</f>
        <v>7</v>
      </c>
      <c r="G308" s="93">
        <f ca="1">IF(AND($C308&lt;=2,$C308&lt;&gt;0),0,IF($C308=3,OFFSET(G308,-CFF.NumLinha,0)+1,OFFSET(G308,-CFF.NumLinha,0)))</f>
        <v>0</v>
      </c>
      <c r="H308" s="93">
        <f ca="1">IF(AND($C308&lt;=3,$C308&lt;&gt;0),0,IF($C308=4,OFFSET(H308,-CFF.NumLinha,0)+1,OFFSET(H308,-CFF.NumLinha,0)))</f>
        <v>0</v>
      </c>
      <c r="I308" s="93">
        <f ca="1">MATCH(0,OFFSET($D308,1,$C308,ROW($A$435)-ROW($A308)),0)</f>
        <v>6</v>
      </c>
      <c r="J308" s="93">
        <f ca="1">MATCH(OFFSET($D308,0,$C308)+1,OFFSET($D308,1,$C308,ROW($A$435)-ROW($A308)),0)</f>
        <v>3</v>
      </c>
      <c r="K308" s="94">
        <f ca="1">ROUND(INDEX(PO!U$11:U$1504,MATCH($A308,PO!$W$11:$W$1504,0)),2)+10^-12</f>
        <v>1085.3300000000008</v>
      </c>
      <c r="L308" s="270"/>
      <c r="M308" s="272"/>
      <c r="N308" s="274"/>
      <c r="O308" s="115" t="s">
        <v>7</v>
      </c>
      <c r="P308" s="108">
        <f t="shared" ref="P308:W308" ca="1" si="200">IF($B308,ROUND(P307*$N306,2),ROUND(SUMIF(OFFSET($B308,1,0,$D308),TRUE,OFFSET(P308,1,0,$D308))/SUMIF(OFFSET($B308,1,0,$D308),TRUE,OFFSET($K308,1,0,$D308))*$N306,2))</f>
        <v>0</v>
      </c>
      <c r="Q308" s="78">
        <f t="shared" ca="1" si="200"/>
        <v>0</v>
      </c>
      <c r="R308" s="78">
        <f t="shared" ca="1" si="200"/>
        <v>0</v>
      </c>
      <c r="S308" s="78">
        <f t="shared" ca="1" si="200"/>
        <v>0</v>
      </c>
      <c r="T308" s="78">
        <f t="shared" ca="1" si="200"/>
        <v>0</v>
      </c>
      <c r="U308" s="78">
        <f t="shared" ca="1" si="200"/>
        <v>0</v>
      </c>
      <c r="V308" s="78">
        <f t="shared" ca="1" si="200"/>
        <v>0</v>
      </c>
      <c r="W308" s="118">
        <f t="shared" ca="1" si="200"/>
        <v>0</v>
      </c>
      <c r="X308" s="105"/>
    </row>
    <row r="309" spans="1:24" customFormat="1" ht="14.25" customHeight="1">
      <c r="A309" s="39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269" t="str">
        <f ca="1">INDEX(PO!K$11:K$1504,MATCH($A311,PO!$W$11:$W$1504,0))</f>
        <v>12.8.</v>
      </c>
      <c r="M309" s="271" t="str">
        <f ca="1">INDEX(PO!O$11:O$1504,MATCH($A311,PO!$W$11:$W$1504,0))</f>
        <v>Atividade 86 -Reunião para o sorteio, entrega das chaves e manual dos beneficiários região Jardim Ikaraí</v>
      </c>
      <c r="N309" s="273">
        <f ca="1">IF(ROUND(K311,2)=0,K311,ROUND(K311,2))</f>
        <v>1085.33</v>
      </c>
      <c r="O309" s="113" t="s">
        <v>33</v>
      </c>
      <c r="P309" s="112"/>
      <c r="Q309" s="59"/>
      <c r="R309" s="59"/>
      <c r="S309" s="59"/>
      <c r="T309" s="59"/>
      <c r="U309" s="59"/>
      <c r="V309" s="59"/>
      <c r="W309" s="59"/>
      <c r="X309" s="105"/>
    </row>
    <row r="310" spans="1:24" customFormat="1" ht="14.25">
      <c r="A310" s="93"/>
      <c r="B310" s="93"/>
      <c r="C310" s="93"/>
      <c r="D310" s="93"/>
      <c r="E310" s="93"/>
      <c r="F310" s="93"/>
      <c r="G310" s="93"/>
      <c r="H310" s="93"/>
      <c r="I310" s="93"/>
      <c r="J310" s="93"/>
      <c r="K310" s="93"/>
      <c r="L310" s="270"/>
      <c r="M310" s="272"/>
      <c r="N310" s="274"/>
      <c r="O310" s="79" t="s">
        <v>35</v>
      </c>
      <c r="P310" s="107">
        <f t="shared" ref="P310:W310" ca="1" si="201">MIN(IF($B311,P309+IF(ISNUMBER(O310),O310,0),P311/$N309),1)</f>
        <v>0</v>
      </c>
      <c r="Q310" s="77">
        <f t="shared" ca="1" si="201"/>
        <v>0</v>
      </c>
      <c r="R310" s="77">
        <f t="shared" ca="1" si="201"/>
        <v>0</v>
      </c>
      <c r="S310" s="77">
        <f t="shared" ca="1" si="201"/>
        <v>0</v>
      </c>
      <c r="T310" s="77">
        <f t="shared" ca="1" si="201"/>
        <v>0</v>
      </c>
      <c r="U310" s="77">
        <f t="shared" ca="1" si="201"/>
        <v>0</v>
      </c>
      <c r="V310" s="77">
        <f t="shared" ca="1" si="201"/>
        <v>0</v>
      </c>
      <c r="W310" s="77">
        <f t="shared" ca="1" si="201"/>
        <v>0</v>
      </c>
      <c r="X310" s="105"/>
    </row>
    <row r="311" spans="1:24" customFormat="1" ht="14.25">
      <c r="A311" s="93">
        <f ca="1">OFFSET(A311,-CFF.NumLinha,0)+1</f>
        <v>98</v>
      </c>
      <c r="B311" s="93" t="b">
        <f ca="1">$C311&gt;=OFFSET($C311,CFF.NumLinha,0)</f>
        <v>1</v>
      </c>
      <c r="C311" s="93">
        <f ca="1">INDEX(PO!A$11:A$1504,MATCH($A311,PO!$W$11:$W$1504,0))</f>
        <v>2</v>
      </c>
      <c r="D311" s="93">
        <f ca="1">IF(ISERROR(J311),I311,SMALL(I311:J311,1))-1</f>
        <v>2</v>
      </c>
      <c r="E311" s="93">
        <f ca="1">IF($C311=1,OFFSET(E311,-CFF.NumLinha,0)+1,OFFSET(E311,-CFF.NumLinha,0))</f>
        <v>12</v>
      </c>
      <c r="F311" s="93">
        <f ca="1">IF($C311=1,0,IF($C311=2,OFFSET(F311,-CFF.NumLinha,0)+1,OFFSET(F311,-CFF.NumLinha,0)))</f>
        <v>8</v>
      </c>
      <c r="G311" s="93">
        <f ca="1">IF(AND($C311&lt;=2,$C311&lt;&gt;0),0,IF($C311=3,OFFSET(G311,-CFF.NumLinha,0)+1,OFFSET(G311,-CFF.NumLinha,0)))</f>
        <v>0</v>
      </c>
      <c r="H311" s="93">
        <f ca="1">IF(AND($C311&lt;=3,$C311&lt;&gt;0),0,IF($C311=4,OFFSET(H311,-CFF.NumLinha,0)+1,OFFSET(H311,-CFF.NumLinha,0)))</f>
        <v>0</v>
      </c>
      <c r="I311" s="93">
        <f ca="1">MATCH(0,OFFSET($D311,1,$C311,ROW($A$435)-ROW($A311)),0)</f>
        <v>3</v>
      </c>
      <c r="J311" s="93" t="e">
        <f ca="1">MATCH(OFFSET($D311,0,$C311)+1,OFFSET($D311,1,$C311,ROW($A$435)-ROW($A311)),0)</f>
        <v>#N/A</v>
      </c>
      <c r="K311" s="94">
        <f ca="1">ROUND(INDEX(PO!U$11:U$1504,MATCH($A311,PO!$W$11:$W$1504,0)),2)+10^-12</f>
        <v>1085.3300000000008</v>
      </c>
      <c r="L311" s="270"/>
      <c r="M311" s="272"/>
      <c r="N311" s="274"/>
      <c r="O311" s="115" t="s">
        <v>7</v>
      </c>
      <c r="P311" s="108">
        <f t="shared" ref="P311:W311" ca="1" si="202">IF($B311,ROUND(P310*$N309,2),ROUND(SUMIF(OFFSET($B311,1,0,$D311),TRUE,OFFSET(P311,1,0,$D311))/SUMIF(OFFSET($B311,1,0,$D311),TRUE,OFFSET($K311,1,0,$D311))*$N309,2))</f>
        <v>0</v>
      </c>
      <c r="Q311" s="78">
        <f t="shared" ca="1" si="202"/>
        <v>0</v>
      </c>
      <c r="R311" s="78">
        <f t="shared" ca="1" si="202"/>
        <v>0</v>
      </c>
      <c r="S311" s="78">
        <f t="shared" ca="1" si="202"/>
        <v>0</v>
      </c>
      <c r="T311" s="78">
        <f t="shared" ca="1" si="202"/>
        <v>0</v>
      </c>
      <c r="U311" s="78">
        <f t="shared" ca="1" si="202"/>
        <v>0</v>
      </c>
      <c r="V311" s="78">
        <f t="shared" ca="1" si="202"/>
        <v>0</v>
      </c>
      <c r="W311" s="118">
        <f t="shared" ca="1" si="202"/>
        <v>0</v>
      </c>
      <c r="X311" s="105"/>
    </row>
    <row r="312" spans="1:24" customFormat="1" ht="14.25" customHeight="1">
      <c r="A312" s="39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269" t="str">
        <f ca="1">INDEX(PO!K$11:K$1504,MATCH($A314,PO!$W$11:$W$1504,0))</f>
        <v>13.</v>
      </c>
      <c r="M312" s="271" t="str">
        <f ca="1">INDEX(PO!O$11:O$1504,MATCH($A314,PO!$W$11:$W$1504,0))</f>
        <v>MÊS 13 - GERAÇÃO DE RENDA/SAÚDE E INFORMAÇÕES</v>
      </c>
      <c r="N312" s="273">
        <f ca="1">IF(ROUND(K314,2)=0,K314,ROUND(K314,2))</f>
        <v>101707.25</v>
      </c>
      <c r="O312" s="113" t="s">
        <v>33</v>
      </c>
      <c r="P312" s="112"/>
      <c r="Q312" s="59"/>
      <c r="R312" s="59"/>
      <c r="S312" s="59"/>
      <c r="T312" s="59"/>
      <c r="U312" s="59"/>
      <c r="V312" s="59"/>
      <c r="W312" s="59"/>
      <c r="X312" s="105"/>
    </row>
    <row r="313" spans="1:24" customFormat="1" ht="14.25">
      <c r="A313" s="93"/>
      <c r="B313" s="93"/>
      <c r="C313" s="93"/>
      <c r="D313" s="93"/>
      <c r="E313" s="93"/>
      <c r="F313" s="93"/>
      <c r="G313" s="93"/>
      <c r="H313" s="93"/>
      <c r="I313" s="93"/>
      <c r="J313" s="93"/>
      <c r="K313" s="93"/>
      <c r="L313" s="270"/>
      <c r="M313" s="272"/>
      <c r="N313" s="274"/>
      <c r="O313" s="79" t="s">
        <v>35</v>
      </c>
      <c r="P313" s="107">
        <f t="shared" ref="P313:W313" ca="1" si="203">MIN(IF($B314,P312+IF(ISNUMBER(O313),O313,0),P314/$N312),1)</f>
        <v>0</v>
      </c>
      <c r="Q313" s="77">
        <f t="shared" ca="1" si="203"/>
        <v>0</v>
      </c>
      <c r="R313" s="77">
        <f t="shared" ca="1" si="203"/>
        <v>0</v>
      </c>
      <c r="S313" s="77">
        <f t="shared" ca="1" si="203"/>
        <v>0</v>
      </c>
      <c r="T313" s="77">
        <f t="shared" ca="1" si="203"/>
        <v>0</v>
      </c>
      <c r="U313" s="77">
        <f t="shared" ca="1" si="203"/>
        <v>0</v>
      </c>
      <c r="V313" s="77">
        <f t="shared" ca="1" si="203"/>
        <v>0</v>
      </c>
      <c r="W313" s="77">
        <f t="shared" ca="1" si="203"/>
        <v>0</v>
      </c>
      <c r="X313" s="105"/>
    </row>
    <row r="314" spans="1:24" customFormat="1" ht="14.25">
      <c r="A314" s="93">
        <f ca="1">OFFSET(A314,-CFF.NumLinha,0)+1</f>
        <v>99</v>
      </c>
      <c r="B314" s="93" t="b">
        <f ca="1">$C314&gt;=OFFSET($C314,CFF.NumLinha,0)</f>
        <v>0</v>
      </c>
      <c r="C314" s="93">
        <f ca="1">INDEX(PO!A$11:A$1504,MATCH($A314,PO!$W$11:$W$1504,0))</f>
        <v>1</v>
      </c>
      <c r="D314" s="93">
        <f ca="1">IF(ISERROR(J314),I314,SMALL(I314:J314,1))-1</f>
        <v>26</v>
      </c>
      <c r="E314" s="93">
        <f ca="1">IF($C314=1,OFFSET(E314,-CFF.NumLinha,0)+1,OFFSET(E314,-CFF.NumLinha,0))</f>
        <v>13</v>
      </c>
      <c r="F314" s="93">
        <f ca="1">IF($C314=1,0,IF($C314=2,OFFSET(F314,-CFF.NumLinha,0)+1,OFFSET(F314,-CFF.NumLinha,0)))</f>
        <v>0</v>
      </c>
      <c r="G314" s="93">
        <f ca="1">IF(AND($C314&lt;=2,$C314&lt;&gt;0),0,IF($C314=3,OFFSET(G314,-CFF.NumLinha,0)+1,OFFSET(G314,-CFF.NumLinha,0)))</f>
        <v>0</v>
      </c>
      <c r="H314" s="93">
        <f ca="1">IF(AND($C314&lt;=3,$C314&lt;&gt;0),0,IF($C314=4,OFFSET(H314,-CFF.NumLinha,0)+1,OFFSET(H314,-CFF.NumLinha,0)))</f>
        <v>0</v>
      </c>
      <c r="I314" s="93">
        <f ca="1">MATCH(0,OFFSET($D314,1,$C314,ROW($A$435)-ROW($A314)),0)</f>
        <v>121</v>
      </c>
      <c r="J314" s="93">
        <f ca="1">MATCH(OFFSET($D314,0,$C314)+1,OFFSET($D314,1,$C314,ROW($A$435)-ROW($A314)),0)</f>
        <v>27</v>
      </c>
      <c r="K314" s="94">
        <f ca="1">ROUND(INDEX(PO!U$11:U$1504,MATCH($A314,PO!$W$11:$W$1504,0)),2)+10^-12</f>
        <v>101707.25</v>
      </c>
      <c r="L314" s="270"/>
      <c r="M314" s="272"/>
      <c r="N314" s="274"/>
      <c r="O314" s="115" t="s">
        <v>7</v>
      </c>
      <c r="P314" s="108">
        <f t="shared" ref="P314:W314" ca="1" si="204">IF($B314,ROUND(P313*$N312,2),ROUND(SUMIF(OFFSET($B314,1,0,$D314),TRUE,OFFSET(P314,1,0,$D314))/SUMIF(OFFSET($B314,1,0,$D314),TRUE,OFFSET($K314,1,0,$D314))*$N312,2))</f>
        <v>0</v>
      </c>
      <c r="Q314" s="78">
        <f t="shared" ca="1" si="204"/>
        <v>0</v>
      </c>
      <c r="R314" s="78">
        <f t="shared" ca="1" si="204"/>
        <v>0</v>
      </c>
      <c r="S314" s="78">
        <f t="shared" ca="1" si="204"/>
        <v>0</v>
      </c>
      <c r="T314" s="78">
        <f t="shared" ca="1" si="204"/>
        <v>0</v>
      </c>
      <c r="U314" s="78">
        <f t="shared" ca="1" si="204"/>
        <v>0</v>
      </c>
      <c r="V314" s="78">
        <f t="shared" ca="1" si="204"/>
        <v>0</v>
      </c>
      <c r="W314" s="118">
        <f t="shared" ca="1" si="204"/>
        <v>0</v>
      </c>
      <c r="X314" s="105"/>
    </row>
    <row r="315" spans="1:24" customFormat="1" ht="14.25" customHeight="1">
      <c r="A315" s="39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269" t="str">
        <f ca="1">INDEX(PO!K$11:K$1504,MATCH($A317,PO!$W$11:$W$1504,0))</f>
        <v>13.1.</v>
      </c>
      <c r="M315" s="271" t="str">
        <f ca="1">INDEX(PO!O$11:O$1504,MATCH($A317,PO!$W$11:$W$1504,0))</f>
        <v>Atividade 87 - Curso: Bordado em Chinelo região Parque São João</v>
      </c>
      <c r="N315" s="273">
        <f ca="1">IF(ROUND(K317,2)=0,K317,ROUND(K317,2))</f>
        <v>11126.94</v>
      </c>
      <c r="O315" s="113" t="s">
        <v>33</v>
      </c>
      <c r="P315" s="112"/>
      <c r="Q315" s="59"/>
      <c r="R315" s="59"/>
      <c r="S315" s="59"/>
      <c r="T315" s="59"/>
      <c r="U315" s="59"/>
      <c r="V315" s="59"/>
      <c r="W315" s="59"/>
      <c r="X315" s="105"/>
    </row>
    <row r="316" spans="1:24" customFormat="1" ht="14.25">
      <c r="A316" s="93"/>
      <c r="B316" s="93"/>
      <c r="C316" s="93"/>
      <c r="D316" s="93"/>
      <c r="E316" s="93"/>
      <c r="F316" s="93"/>
      <c r="G316" s="93"/>
      <c r="H316" s="93"/>
      <c r="I316" s="93"/>
      <c r="J316" s="93"/>
      <c r="K316" s="93"/>
      <c r="L316" s="270"/>
      <c r="M316" s="272"/>
      <c r="N316" s="274"/>
      <c r="O316" s="79" t="s">
        <v>35</v>
      </c>
      <c r="P316" s="107">
        <f t="shared" ref="P316:W316" ca="1" si="205">MIN(IF($B317,P315+IF(ISNUMBER(O316),O316,0),P317/$N315),1)</f>
        <v>0</v>
      </c>
      <c r="Q316" s="77">
        <f t="shared" ca="1" si="205"/>
        <v>0</v>
      </c>
      <c r="R316" s="77">
        <f t="shared" ca="1" si="205"/>
        <v>0</v>
      </c>
      <c r="S316" s="77">
        <f t="shared" ca="1" si="205"/>
        <v>0</v>
      </c>
      <c r="T316" s="77">
        <f t="shared" ca="1" si="205"/>
        <v>0</v>
      </c>
      <c r="U316" s="77">
        <f t="shared" ca="1" si="205"/>
        <v>0</v>
      </c>
      <c r="V316" s="77">
        <f t="shared" ca="1" si="205"/>
        <v>0</v>
      </c>
      <c r="W316" s="77">
        <f t="shared" ca="1" si="205"/>
        <v>0</v>
      </c>
      <c r="X316" s="105"/>
    </row>
    <row r="317" spans="1:24" customFormat="1" ht="14.25">
      <c r="A317" s="93">
        <f ca="1">OFFSET(A317,-CFF.NumLinha,0)+1</f>
        <v>100</v>
      </c>
      <c r="B317" s="93" t="b">
        <f ca="1">$C317&gt;=OFFSET($C317,CFF.NumLinha,0)</f>
        <v>1</v>
      </c>
      <c r="C317" s="93">
        <f ca="1">INDEX(PO!A$11:A$1504,MATCH($A317,PO!$W$11:$W$1504,0))</f>
        <v>2</v>
      </c>
      <c r="D317" s="93">
        <f ca="1">IF(ISERROR(J317),I317,SMALL(I317:J317,1))-1</f>
        <v>2</v>
      </c>
      <c r="E317" s="93">
        <f ca="1">IF($C317=1,OFFSET(E317,-CFF.NumLinha,0)+1,OFFSET(E317,-CFF.NumLinha,0))</f>
        <v>13</v>
      </c>
      <c r="F317" s="93">
        <f ca="1">IF($C317=1,0,IF($C317=2,OFFSET(F317,-CFF.NumLinha,0)+1,OFFSET(F317,-CFF.NumLinha,0)))</f>
        <v>1</v>
      </c>
      <c r="G317" s="93">
        <f ca="1">IF(AND($C317&lt;=2,$C317&lt;&gt;0),0,IF($C317=3,OFFSET(G317,-CFF.NumLinha,0)+1,OFFSET(G317,-CFF.NumLinha,0)))</f>
        <v>0</v>
      </c>
      <c r="H317" s="93">
        <f ca="1">IF(AND($C317&lt;=3,$C317&lt;&gt;0),0,IF($C317=4,OFFSET(H317,-CFF.NumLinha,0)+1,OFFSET(H317,-CFF.NumLinha,0)))</f>
        <v>0</v>
      </c>
      <c r="I317" s="93">
        <f ca="1">MATCH(0,OFFSET($D317,1,$C317,ROW($A$435)-ROW($A317)),0)</f>
        <v>24</v>
      </c>
      <c r="J317" s="93">
        <f ca="1">MATCH(OFFSET($D317,0,$C317)+1,OFFSET($D317,1,$C317,ROW($A$435)-ROW($A317)),0)</f>
        <v>3</v>
      </c>
      <c r="K317" s="94">
        <f ca="1">ROUND(INDEX(PO!U$11:U$1504,MATCH($A317,PO!$W$11:$W$1504,0)),2)+10^-12</f>
        <v>11126.940000000002</v>
      </c>
      <c r="L317" s="270"/>
      <c r="M317" s="272"/>
      <c r="N317" s="274"/>
      <c r="O317" s="115" t="s">
        <v>7</v>
      </c>
      <c r="P317" s="108">
        <f t="shared" ref="P317:W317" ca="1" si="206">IF($B317,ROUND(P316*$N315,2),ROUND(SUMIF(OFFSET($B317,1,0,$D317),TRUE,OFFSET(P317,1,0,$D317))/SUMIF(OFFSET($B317,1,0,$D317),TRUE,OFFSET($K317,1,0,$D317))*$N315,2))</f>
        <v>0</v>
      </c>
      <c r="Q317" s="78">
        <f t="shared" ca="1" si="206"/>
        <v>0</v>
      </c>
      <c r="R317" s="78">
        <f t="shared" ca="1" si="206"/>
        <v>0</v>
      </c>
      <c r="S317" s="78">
        <f t="shared" ca="1" si="206"/>
        <v>0</v>
      </c>
      <c r="T317" s="78">
        <f t="shared" ca="1" si="206"/>
        <v>0</v>
      </c>
      <c r="U317" s="78">
        <f t="shared" ca="1" si="206"/>
        <v>0</v>
      </c>
      <c r="V317" s="78">
        <f t="shared" ca="1" si="206"/>
        <v>0</v>
      </c>
      <c r="W317" s="118">
        <f t="shared" ca="1" si="206"/>
        <v>0</v>
      </c>
      <c r="X317" s="105"/>
    </row>
    <row r="318" spans="1:24" customFormat="1" ht="14.25" customHeight="1">
      <c r="A318" s="39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269" t="str">
        <f ca="1">INDEX(PO!K$11:K$1504,MATCH($A320,PO!$W$11:$W$1504,0))</f>
        <v>13.2.</v>
      </c>
      <c r="M318" s="271" t="str">
        <f ca="1">INDEX(PO!O$11:O$1504,MATCH($A320,PO!$W$11:$W$1504,0))</f>
        <v>Atividade 88 - Plantão Social região Parque São João</v>
      </c>
      <c r="N318" s="273">
        <f ca="1">IF(ROUND(K320,2)=0,K320,ROUND(K320,2))</f>
        <v>3468.74</v>
      </c>
      <c r="O318" s="113" t="s">
        <v>33</v>
      </c>
      <c r="P318" s="112"/>
      <c r="Q318" s="59"/>
      <c r="R318" s="59"/>
      <c r="S318" s="59"/>
      <c r="T318" s="59"/>
      <c r="U318" s="59"/>
      <c r="V318" s="59"/>
      <c r="W318" s="59"/>
      <c r="X318" s="105"/>
    </row>
    <row r="319" spans="1:24" customFormat="1" ht="14.25">
      <c r="A319" s="93"/>
      <c r="B319" s="93"/>
      <c r="C319" s="93"/>
      <c r="D319" s="93"/>
      <c r="E319" s="93"/>
      <c r="F319" s="93"/>
      <c r="G319" s="93"/>
      <c r="H319" s="93"/>
      <c r="I319" s="93"/>
      <c r="J319" s="93"/>
      <c r="K319" s="93"/>
      <c r="L319" s="270"/>
      <c r="M319" s="272"/>
      <c r="N319" s="274"/>
      <c r="O319" s="79" t="s">
        <v>35</v>
      </c>
      <c r="P319" s="107">
        <f t="shared" ref="P319:W319" ca="1" si="207">MIN(IF($B320,P318+IF(ISNUMBER(O319),O319,0),P320/$N318),1)</f>
        <v>0</v>
      </c>
      <c r="Q319" s="77">
        <f t="shared" ca="1" si="207"/>
        <v>0</v>
      </c>
      <c r="R319" s="77">
        <f t="shared" ca="1" si="207"/>
        <v>0</v>
      </c>
      <c r="S319" s="77">
        <f t="shared" ca="1" si="207"/>
        <v>0</v>
      </c>
      <c r="T319" s="77">
        <f t="shared" ca="1" si="207"/>
        <v>0</v>
      </c>
      <c r="U319" s="77">
        <f t="shared" ca="1" si="207"/>
        <v>0</v>
      </c>
      <c r="V319" s="77">
        <f t="shared" ca="1" si="207"/>
        <v>0</v>
      </c>
      <c r="W319" s="77">
        <f t="shared" ca="1" si="207"/>
        <v>0</v>
      </c>
      <c r="X319" s="105"/>
    </row>
    <row r="320" spans="1:24" customFormat="1" ht="14.25">
      <c r="A320" s="93">
        <f ca="1">OFFSET(A320,-CFF.NumLinha,0)+1</f>
        <v>101</v>
      </c>
      <c r="B320" s="93" t="b">
        <f ca="1">$C320&gt;=OFFSET($C320,CFF.NumLinha,0)</f>
        <v>1</v>
      </c>
      <c r="C320" s="93">
        <f ca="1">INDEX(PO!A$11:A$1504,MATCH($A320,PO!$W$11:$W$1504,0))</f>
        <v>2</v>
      </c>
      <c r="D320" s="93">
        <f ca="1">IF(ISERROR(J320),I320,SMALL(I320:J320,1))-1</f>
        <v>2</v>
      </c>
      <c r="E320" s="93">
        <f ca="1">IF($C320=1,OFFSET(E320,-CFF.NumLinha,0)+1,OFFSET(E320,-CFF.NumLinha,0))</f>
        <v>13</v>
      </c>
      <c r="F320" s="93">
        <f ca="1">IF($C320=1,0,IF($C320=2,OFFSET(F320,-CFF.NumLinha,0)+1,OFFSET(F320,-CFF.NumLinha,0)))</f>
        <v>2</v>
      </c>
      <c r="G320" s="93">
        <f ca="1">IF(AND($C320&lt;=2,$C320&lt;&gt;0),0,IF($C320=3,OFFSET(G320,-CFF.NumLinha,0)+1,OFFSET(G320,-CFF.NumLinha,0)))</f>
        <v>0</v>
      </c>
      <c r="H320" s="93">
        <f ca="1">IF(AND($C320&lt;=3,$C320&lt;&gt;0),0,IF($C320=4,OFFSET(H320,-CFF.NumLinha,0)+1,OFFSET(H320,-CFF.NumLinha,0)))</f>
        <v>0</v>
      </c>
      <c r="I320" s="93">
        <f ca="1">MATCH(0,OFFSET($D320,1,$C320,ROW($A$435)-ROW($A320)),0)</f>
        <v>21</v>
      </c>
      <c r="J320" s="93">
        <f ca="1">MATCH(OFFSET($D320,0,$C320)+1,OFFSET($D320,1,$C320,ROW($A$435)-ROW($A320)),0)</f>
        <v>3</v>
      </c>
      <c r="K320" s="94">
        <f ca="1">ROUND(INDEX(PO!U$11:U$1504,MATCH($A320,PO!$W$11:$W$1504,0)),2)+10^-12</f>
        <v>3468.7400000000007</v>
      </c>
      <c r="L320" s="270"/>
      <c r="M320" s="272"/>
      <c r="N320" s="274"/>
      <c r="O320" s="115" t="s">
        <v>7</v>
      </c>
      <c r="P320" s="108">
        <f t="shared" ref="P320:W320" ca="1" si="208">IF($B320,ROUND(P319*$N318,2),ROUND(SUMIF(OFFSET($B320,1,0,$D320),TRUE,OFFSET(P320,1,0,$D320))/SUMIF(OFFSET($B320,1,0,$D320),TRUE,OFFSET($K320,1,0,$D320))*$N318,2))</f>
        <v>0</v>
      </c>
      <c r="Q320" s="78">
        <f t="shared" ca="1" si="208"/>
        <v>0</v>
      </c>
      <c r="R320" s="78">
        <f t="shared" ca="1" si="208"/>
        <v>0</v>
      </c>
      <c r="S320" s="78">
        <f t="shared" ca="1" si="208"/>
        <v>0</v>
      </c>
      <c r="T320" s="78">
        <f t="shared" ca="1" si="208"/>
        <v>0</v>
      </c>
      <c r="U320" s="78">
        <f t="shared" ca="1" si="208"/>
        <v>0</v>
      </c>
      <c r="V320" s="78">
        <f t="shared" ca="1" si="208"/>
        <v>0</v>
      </c>
      <c r="W320" s="118">
        <f t="shared" ca="1" si="208"/>
        <v>0</v>
      </c>
      <c r="X320" s="105"/>
    </row>
    <row r="321" spans="1:24" customFormat="1" ht="14.25" customHeight="1">
      <c r="A321" s="39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269" t="str">
        <f ca="1">INDEX(PO!K$11:K$1504,MATCH($A323,PO!$W$11:$W$1504,0))</f>
        <v>13.3.</v>
      </c>
      <c r="M321" s="271" t="str">
        <f ca="1">INDEX(PO!O$11:O$1504,MATCH($A323,PO!$W$11:$W$1504,0))</f>
        <v>Atividade 89 - Oficina: Primeiros Socorros região Jardim Ikaraí</v>
      </c>
      <c r="N321" s="273">
        <f ca="1">IF(ROUND(K323,2)=0,K323,ROUND(K323,2))</f>
        <v>10813.77</v>
      </c>
      <c r="O321" s="113" t="s">
        <v>33</v>
      </c>
      <c r="P321" s="112"/>
      <c r="Q321" s="59"/>
      <c r="R321" s="59"/>
      <c r="S321" s="59"/>
      <c r="T321" s="59"/>
      <c r="U321" s="59"/>
      <c r="V321" s="59"/>
      <c r="W321" s="59"/>
      <c r="X321" s="105"/>
    </row>
    <row r="322" spans="1:24" customFormat="1" ht="14.25">
      <c r="A322" s="93"/>
      <c r="B322" s="93"/>
      <c r="C322" s="93"/>
      <c r="D322" s="93"/>
      <c r="E322" s="93"/>
      <c r="F322" s="93"/>
      <c r="G322" s="93"/>
      <c r="H322" s="93"/>
      <c r="I322" s="93"/>
      <c r="J322" s="93"/>
      <c r="K322" s="93"/>
      <c r="L322" s="270"/>
      <c r="M322" s="272"/>
      <c r="N322" s="274"/>
      <c r="O322" s="79" t="s">
        <v>35</v>
      </c>
      <c r="P322" s="107">
        <f t="shared" ref="P322:W322" ca="1" si="209">MIN(IF($B323,P321+IF(ISNUMBER(O322),O322,0),P323/$N321),1)</f>
        <v>0</v>
      </c>
      <c r="Q322" s="77">
        <f t="shared" ca="1" si="209"/>
        <v>0</v>
      </c>
      <c r="R322" s="77">
        <f t="shared" ca="1" si="209"/>
        <v>0</v>
      </c>
      <c r="S322" s="77">
        <f t="shared" ca="1" si="209"/>
        <v>0</v>
      </c>
      <c r="T322" s="77">
        <f t="shared" ca="1" si="209"/>
        <v>0</v>
      </c>
      <c r="U322" s="77">
        <f t="shared" ca="1" si="209"/>
        <v>0</v>
      </c>
      <c r="V322" s="77">
        <f t="shared" ca="1" si="209"/>
        <v>0</v>
      </c>
      <c r="W322" s="77">
        <f t="shared" ca="1" si="209"/>
        <v>0</v>
      </c>
      <c r="X322" s="105"/>
    </row>
    <row r="323" spans="1:24" customFormat="1" ht="14.25">
      <c r="A323" s="93">
        <f ca="1">OFFSET(A323,-CFF.NumLinha,0)+1</f>
        <v>102</v>
      </c>
      <c r="B323" s="93" t="b">
        <f ca="1">$C323&gt;=OFFSET($C323,CFF.NumLinha,0)</f>
        <v>1</v>
      </c>
      <c r="C323" s="93">
        <f ca="1">INDEX(PO!A$11:A$1504,MATCH($A323,PO!$W$11:$W$1504,0))</f>
        <v>2</v>
      </c>
      <c r="D323" s="93">
        <f ca="1">IF(ISERROR(J323),I323,SMALL(I323:J323,1))-1</f>
        <v>2</v>
      </c>
      <c r="E323" s="93">
        <f ca="1">IF($C323=1,OFFSET(E323,-CFF.NumLinha,0)+1,OFFSET(E323,-CFF.NumLinha,0))</f>
        <v>13</v>
      </c>
      <c r="F323" s="93">
        <f ca="1">IF($C323=1,0,IF($C323=2,OFFSET(F323,-CFF.NumLinha,0)+1,OFFSET(F323,-CFF.NumLinha,0)))</f>
        <v>3</v>
      </c>
      <c r="G323" s="93">
        <f ca="1">IF(AND($C323&lt;=2,$C323&lt;&gt;0),0,IF($C323=3,OFFSET(G323,-CFF.NumLinha,0)+1,OFFSET(G323,-CFF.NumLinha,0)))</f>
        <v>0</v>
      </c>
      <c r="H323" s="93">
        <f ca="1">IF(AND($C323&lt;=3,$C323&lt;&gt;0),0,IF($C323=4,OFFSET(H323,-CFF.NumLinha,0)+1,OFFSET(H323,-CFF.NumLinha,0)))</f>
        <v>0</v>
      </c>
      <c r="I323" s="93">
        <f ca="1">MATCH(0,OFFSET($D323,1,$C323,ROW($A$435)-ROW($A323)),0)</f>
        <v>18</v>
      </c>
      <c r="J323" s="93">
        <f ca="1">MATCH(OFFSET($D323,0,$C323)+1,OFFSET($D323,1,$C323,ROW($A$435)-ROW($A323)),0)</f>
        <v>3</v>
      </c>
      <c r="K323" s="94">
        <f ca="1">ROUND(INDEX(PO!U$11:U$1504,MATCH($A323,PO!$W$11:$W$1504,0)),2)+10^-12</f>
        <v>10813.770000000002</v>
      </c>
      <c r="L323" s="270"/>
      <c r="M323" s="272"/>
      <c r="N323" s="274"/>
      <c r="O323" s="115" t="s">
        <v>7</v>
      </c>
      <c r="P323" s="108">
        <f t="shared" ref="P323:W323" ca="1" si="210">IF($B323,ROUND(P322*$N321,2),ROUND(SUMIF(OFFSET($B323,1,0,$D323),TRUE,OFFSET(P323,1,0,$D323))/SUMIF(OFFSET($B323,1,0,$D323),TRUE,OFFSET($K323,1,0,$D323))*$N321,2))</f>
        <v>0</v>
      </c>
      <c r="Q323" s="78">
        <f t="shared" ca="1" si="210"/>
        <v>0</v>
      </c>
      <c r="R323" s="78">
        <f t="shared" ca="1" si="210"/>
        <v>0</v>
      </c>
      <c r="S323" s="78">
        <f t="shared" ca="1" si="210"/>
        <v>0</v>
      </c>
      <c r="T323" s="78">
        <f t="shared" ca="1" si="210"/>
        <v>0</v>
      </c>
      <c r="U323" s="78">
        <f t="shared" ca="1" si="210"/>
        <v>0</v>
      </c>
      <c r="V323" s="78">
        <f t="shared" ca="1" si="210"/>
        <v>0</v>
      </c>
      <c r="W323" s="118">
        <f t="shared" ca="1" si="210"/>
        <v>0</v>
      </c>
      <c r="X323" s="105"/>
    </row>
    <row r="324" spans="1:24" customFormat="1" ht="14.25" customHeight="1">
      <c r="A324" s="39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269" t="str">
        <f ca="1">INDEX(PO!K$11:K$1504,MATCH($A326,PO!$W$11:$W$1504,0))</f>
        <v>13.4.</v>
      </c>
      <c r="M324" s="271" t="str">
        <f ca="1">INDEX(PO!O$11:O$1504,MATCH($A326,PO!$W$11:$W$1504,0))</f>
        <v>Atividade 90 - Oficina: Primeiros Socorros Bairro: Frutal de Minas e Jardim Paula II</v>
      </c>
      <c r="N324" s="273">
        <f ca="1">IF(ROUND(K326,2)=0,K326,ROUND(K326,2))</f>
        <v>10131.27</v>
      </c>
      <c r="O324" s="113" t="s">
        <v>33</v>
      </c>
      <c r="P324" s="112"/>
      <c r="Q324" s="59"/>
      <c r="R324" s="59"/>
      <c r="S324" s="59"/>
      <c r="T324" s="59"/>
      <c r="U324" s="59"/>
      <c r="V324" s="59"/>
      <c r="W324" s="59"/>
      <c r="X324" s="105"/>
    </row>
    <row r="325" spans="1:24" customFormat="1" ht="14.25">
      <c r="A325" s="93"/>
      <c r="B325" s="93"/>
      <c r="C325" s="93"/>
      <c r="D325" s="93"/>
      <c r="E325" s="93"/>
      <c r="F325" s="93"/>
      <c r="G325" s="93"/>
      <c r="H325" s="93"/>
      <c r="I325" s="93"/>
      <c r="J325" s="93"/>
      <c r="K325" s="93"/>
      <c r="L325" s="270"/>
      <c r="M325" s="272"/>
      <c r="N325" s="274"/>
      <c r="O325" s="79" t="s">
        <v>35</v>
      </c>
      <c r="P325" s="107">
        <f t="shared" ref="P325:W325" ca="1" si="211">MIN(IF($B326,P324+IF(ISNUMBER(O325),O325,0),P326/$N324),1)</f>
        <v>0</v>
      </c>
      <c r="Q325" s="77">
        <f t="shared" ca="1" si="211"/>
        <v>0</v>
      </c>
      <c r="R325" s="77">
        <f t="shared" ca="1" si="211"/>
        <v>0</v>
      </c>
      <c r="S325" s="77">
        <f t="shared" ca="1" si="211"/>
        <v>0</v>
      </c>
      <c r="T325" s="77">
        <f t="shared" ca="1" si="211"/>
        <v>0</v>
      </c>
      <c r="U325" s="77">
        <f t="shared" ca="1" si="211"/>
        <v>0</v>
      </c>
      <c r="V325" s="77">
        <f t="shared" ca="1" si="211"/>
        <v>0</v>
      </c>
      <c r="W325" s="77">
        <f t="shared" ca="1" si="211"/>
        <v>0</v>
      </c>
      <c r="X325" s="105"/>
    </row>
    <row r="326" spans="1:24" customFormat="1" ht="14.25">
      <c r="A326" s="93">
        <f ca="1">OFFSET(A326,-CFF.NumLinha,0)+1</f>
        <v>103</v>
      </c>
      <c r="B326" s="93" t="b">
        <f ca="1">$C326&gt;=OFFSET($C326,CFF.NumLinha,0)</f>
        <v>1</v>
      </c>
      <c r="C326" s="93">
        <f ca="1">INDEX(PO!A$11:A$1504,MATCH($A326,PO!$W$11:$W$1504,0))</f>
        <v>2</v>
      </c>
      <c r="D326" s="93">
        <f ca="1">IF(ISERROR(J326),I326,SMALL(I326:J326,1))-1</f>
        <v>2</v>
      </c>
      <c r="E326" s="93">
        <f ca="1">IF($C326=1,OFFSET(E326,-CFF.NumLinha,0)+1,OFFSET(E326,-CFF.NumLinha,0))</f>
        <v>13</v>
      </c>
      <c r="F326" s="93">
        <f ca="1">IF($C326=1,0,IF($C326=2,OFFSET(F326,-CFF.NumLinha,0)+1,OFFSET(F326,-CFF.NumLinha,0)))</f>
        <v>4</v>
      </c>
      <c r="G326" s="93">
        <f ca="1">IF(AND($C326&lt;=2,$C326&lt;&gt;0),0,IF($C326=3,OFFSET(G326,-CFF.NumLinha,0)+1,OFFSET(G326,-CFF.NumLinha,0)))</f>
        <v>0</v>
      </c>
      <c r="H326" s="93">
        <f ca="1">IF(AND($C326&lt;=3,$C326&lt;&gt;0),0,IF($C326=4,OFFSET(H326,-CFF.NumLinha,0)+1,OFFSET(H326,-CFF.NumLinha,0)))</f>
        <v>0</v>
      </c>
      <c r="I326" s="93">
        <f ca="1">MATCH(0,OFFSET($D326,1,$C326,ROW($A$435)-ROW($A326)),0)</f>
        <v>15</v>
      </c>
      <c r="J326" s="93">
        <f ca="1">MATCH(OFFSET($D326,0,$C326)+1,OFFSET($D326,1,$C326,ROW($A$435)-ROW($A326)),0)</f>
        <v>3</v>
      </c>
      <c r="K326" s="94">
        <f ca="1">ROUND(INDEX(PO!U$11:U$1504,MATCH($A326,PO!$W$11:$W$1504,0)),2)+10^-12</f>
        <v>10131.270000000002</v>
      </c>
      <c r="L326" s="270"/>
      <c r="M326" s="272"/>
      <c r="N326" s="274"/>
      <c r="O326" s="115" t="s">
        <v>7</v>
      </c>
      <c r="P326" s="108">
        <f t="shared" ref="P326:W326" ca="1" si="212">IF($B326,ROUND(P325*$N324,2),ROUND(SUMIF(OFFSET($B326,1,0,$D326),TRUE,OFFSET(P326,1,0,$D326))/SUMIF(OFFSET($B326,1,0,$D326),TRUE,OFFSET($K326,1,0,$D326))*$N324,2))</f>
        <v>0</v>
      </c>
      <c r="Q326" s="78">
        <f t="shared" ca="1" si="212"/>
        <v>0</v>
      </c>
      <c r="R326" s="78">
        <f t="shared" ca="1" si="212"/>
        <v>0</v>
      </c>
      <c r="S326" s="78">
        <f t="shared" ca="1" si="212"/>
        <v>0</v>
      </c>
      <c r="T326" s="78">
        <f t="shared" ca="1" si="212"/>
        <v>0</v>
      </c>
      <c r="U326" s="78">
        <f t="shared" ca="1" si="212"/>
        <v>0</v>
      </c>
      <c r="V326" s="78">
        <f t="shared" ca="1" si="212"/>
        <v>0</v>
      </c>
      <c r="W326" s="118">
        <f t="shared" ca="1" si="212"/>
        <v>0</v>
      </c>
      <c r="X326" s="105"/>
    </row>
    <row r="327" spans="1:24" customFormat="1" ht="14.25" customHeight="1">
      <c r="A327" s="3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269" t="str">
        <f ca="1">INDEX(PO!K$11:K$1504,MATCH($A329,PO!$W$11:$W$1504,0))</f>
        <v>13.5.</v>
      </c>
      <c r="M327" s="271" t="str">
        <f ca="1">INDEX(PO!O$11:O$1504,MATCH($A329,PO!$W$11:$W$1504,0))</f>
        <v>Atividade 91 - Curso: Bordado em Chinelos região Jardim Ikaraí</v>
      </c>
      <c r="N327" s="273">
        <f ca="1">IF(ROUND(K329,2)=0,K329,ROUND(K329,2))</f>
        <v>10095.19</v>
      </c>
      <c r="O327" s="113" t="s">
        <v>33</v>
      </c>
      <c r="P327" s="112"/>
      <c r="Q327" s="59"/>
      <c r="R327" s="59"/>
      <c r="S327" s="59"/>
      <c r="T327" s="59"/>
      <c r="U327" s="59"/>
      <c r="V327" s="59"/>
      <c r="W327" s="59"/>
      <c r="X327" s="105"/>
    </row>
    <row r="328" spans="1:24" customFormat="1" ht="14.25">
      <c r="A328" s="93"/>
      <c r="B328" s="93"/>
      <c r="C328" s="93"/>
      <c r="D328" s="93"/>
      <c r="E328" s="93"/>
      <c r="F328" s="93"/>
      <c r="G328" s="93"/>
      <c r="H328" s="93"/>
      <c r="I328" s="93"/>
      <c r="J328" s="93"/>
      <c r="K328" s="93"/>
      <c r="L328" s="270"/>
      <c r="M328" s="272"/>
      <c r="N328" s="274"/>
      <c r="O328" s="79" t="s">
        <v>35</v>
      </c>
      <c r="P328" s="107">
        <f t="shared" ref="P328:W328" ca="1" si="213">MIN(IF($B329,P327+IF(ISNUMBER(O328),O328,0),P329/$N327),1)</f>
        <v>0</v>
      </c>
      <c r="Q328" s="77">
        <f t="shared" ca="1" si="213"/>
        <v>0</v>
      </c>
      <c r="R328" s="77">
        <f t="shared" ca="1" si="213"/>
        <v>0</v>
      </c>
      <c r="S328" s="77">
        <f t="shared" ca="1" si="213"/>
        <v>0</v>
      </c>
      <c r="T328" s="77">
        <f t="shared" ca="1" si="213"/>
        <v>0</v>
      </c>
      <c r="U328" s="77">
        <f t="shared" ca="1" si="213"/>
        <v>0</v>
      </c>
      <c r="V328" s="77">
        <f t="shared" ca="1" si="213"/>
        <v>0</v>
      </c>
      <c r="W328" s="77">
        <f t="shared" ca="1" si="213"/>
        <v>0</v>
      </c>
      <c r="X328" s="105"/>
    </row>
    <row r="329" spans="1:24" customFormat="1" ht="14.25">
      <c r="A329" s="93">
        <f ca="1">OFFSET(A329,-CFF.NumLinha,0)+1</f>
        <v>104</v>
      </c>
      <c r="B329" s="93" t="b">
        <f ca="1">$C329&gt;=OFFSET($C329,CFF.NumLinha,0)</f>
        <v>1</v>
      </c>
      <c r="C329" s="93">
        <f ca="1">INDEX(PO!A$11:A$1504,MATCH($A329,PO!$W$11:$W$1504,0))</f>
        <v>2</v>
      </c>
      <c r="D329" s="93">
        <f ca="1">IF(ISERROR(J329),I329,SMALL(I329:J329,1))-1</f>
        <v>2</v>
      </c>
      <c r="E329" s="93">
        <f ca="1">IF($C329=1,OFFSET(E329,-CFF.NumLinha,0)+1,OFFSET(E329,-CFF.NumLinha,0))</f>
        <v>13</v>
      </c>
      <c r="F329" s="93">
        <f ca="1">IF($C329=1,0,IF($C329=2,OFFSET(F329,-CFF.NumLinha,0)+1,OFFSET(F329,-CFF.NumLinha,0)))</f>
        <v>5</v>
      </c>
      <c r="G329" s="93">
        <f ca="1">IF(AND($C329&lt;=2,$C329&lt;&gt;0),0,IF($C329=3,OFFSET(G329,-CFF.NumLinha,0)+1,OFFSET(G329,-CFF.NumLinha,0)))</f>
        <v>0</v>
      </c>
      <c r="H329" s="93">
        <f ca="1">IF(AND($C329&lt;=3,$C329&lt;&gt;0),0,IF($C329=4,OFFSET(H329,-CFF.NumLinha,0)+1,OFFSET(H329,-CFF.NumLinha,0)))</f>
        <v>0</v>
      </c>
      <c r="I329" s="93">
        <f ca="1">MATCH(0,OFFSET($D329,1,$C329,ROW($A$435)-ROW($A329)),0)</f>
        <v>12</v>
      </c>
      <c r="J329" s="93">
        <f ca="1">MATCH(OFFSET($D329,0,$C329)+1,OFFSET($D329,1,$C329,ROW($A$435)-ROW($A329)),0)</f>
        <v>3</v>
      </c>
      <c r="K329" s="94">
        <f ca="1">ROUND(INDEX(PO!U$11:U$1504,MATCH($A329,PO!$W$11:$W$1504,0)),2)+10^-12</f>
        <v>10095.190000000002</v>
      </c>
      <c r="L329" s="270"/>
      <c r="M329" s="272"/>
      <c r="N329" s="274"/>
      <c r="O329" s="115" t="s">
        <v>7</v>
      </c>
      <c r="P329" s="108">
        <f t="shared" ref="P329:W329" ca="1" si="214">IF($B329,ROUND(P328*$N327,2),ROUND(SUMIF(OFFSET($B329,1,0,$D329),TRUE,OFFSET(P329,1,0,$D329))/SUMIF(OFFSET($B329,1,0,$D329),TRUE,OFFSET($K329,1,0,$D329))*$N327,2))</f>
        <v>0</v>
      </c>
      <c r="Q329" s="78">
        <f t="shared" ca="1" si="214"/>
        <v>0</v>
      </c>
      <c r="R329" s="78">
        <f t="shared" ca="1" si="214"/>
        <v>0</v>
      </c>
      <c r="S329" s="78">
        <f t="shared" ca="1" si="214"/>
        <v>0</v>
      </c>
      <c r="T329" s="78">
        <f t="shared" ca="1" si="214"/>
        <v>0</v>
      </c>
      <c r="U329" s="78">
        <f t="shared" ca="1" si="214"/>
        <v>0</v>
      </c>
      <c r="V329" s="78">
        <f t="shared" ca="1" si="214"/>
        <v>0</v>
      </c>
      <c r="W329" s="118">
        <f t="shared" ca="1" si="214"/>
        <v>0</v>
      </c>
      <c r="X329" s="105"/>
    </row>
    <row r="330" spans="1:24" customFormat="1" ht="14.25" customHeight="1">
      <c r="A330" s="39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269" t="str">
        <f ca="1">INDEX(PO!K$11:K$1504,MATCH($A332,PO!$W$11:$W$1504,0))</f>
        <v>13.6.</v>
      </c>
      <c r="M330" s="271" t="str">
        <f ca="1">INDEX(PO!O$11:O$1504,MATCH($A332,PO!$W$11:$W$1504,0))</f>
        <v>Atividade 92 - Plantão Social região Jardim Ikaraí</v>
      </c>
      <c r="N330" s="273">
        <f ca="1">IF(ROUND(K332,2)=0,K332,ROUND(K332,2))</f>
        <v>3427.56</v>
      </c>
      <c r="O330" s="113" t="s">
        <v>33</v>
      </c>
      <c r="P330" s="112"/>
      <c r="Q330" s="59"/>
      <c r="R330" s="59"/>
      <c r="S330" s="59"/>
      <c r="T330" s="59"/>
      <c r="U330" s="59"/>
      <c r="V330" s="59"/>
      <c r="W330" s="59"/>
      <c r="X330" s="105"/>
    </row>
    <row r="331" spans="1:24" customFormat="1" ht="14.25">
      <c r="A331" s="93"/>
      <c r="B331" s="93"/>
      <c r="C331" s="93"/>
      <c r="D331" s="93"/>
      <c r="E331" s="93"/>
      <c r="F331" s="93"/>
      <c r="G331" s="93"/>
      <c r="H331" s="93"/>
      <c r="I331" s="93"/>
      <c r="J331" s="93"/>
      <c r="K331" s="93"/>
      <c r="L331" s="270"/>
      <c r="M331" s="272"/>
      <c r="N331" s="274"/>
      <c r="O331" s="79" t="s">
        <v>35</v>
      </c>
      <c r="P331" s="107">
        <f t="shared" ref="P331:W331" ca="1" si="215">MIN(IF($B332,P330+IF(ISNUMBER(O331),O331,0),P332/$N330),1)</f>
        <v>0</v>
      </c>
      <c r="Q331" s="77">
        <f t="shared" ca="1" si="215"/>
        <v>0</v>
      </c>
      <c r="R331" s="77">
        <f t="shared" ca="1" si="215"/>
        <v>0</v>
      </c>
      <c r="S331" s="77">
        <f t="shared" ca="1" si="215"/>
        <v>0</v>
      </c>
      <c r="T331" s="77">
        <f t="shared" ca="1" si="215"/>
        <v>0</v>
      </c>
      <c r="U331" s="77">
        <f t="shared" ca="1" si="215"/>
        <v>0</v>
      </c>
      <c r="V331" s="77">
        <f t="shared" ca="1" si="215"/>
        <v>0</v>
      </c>
      <c r="W331" s="77">
        <f t="shared" ca="1" si="215"/>
        <v>0</v>
      </c>
      <c r="X331" s="105"/>
    </row>
    <row r="332" spans="1:24" customFormat="1" ht="14.25">
      <c r="A332" s="93">
        <f ca="1">OFFSET(A332,-CFF.NumLinha,0)+1</f>
        <v>105</v>
      </c>
      <c r="B332" s="93" t="b">
        <f ca="1">$C332&gt;=OFFSET($C332,CFF.NumLinha,0)</f>
        <v>1</v>
      </c>
      <c r="C332" s="93">
        <f ca="1">INDEX(PO!A$11:A$1504,MATCH($A332,PO!$W$11:$W$1504,0))</f>
        <v>2</v>
      </c>
      <c r="D332" s="93">
        <f ca="1">IF(ISERROR(J332),I332,SMALL(I332:J332,1))-1</f>
        <v>2</v>
      </c>
      <c r="E332" s="93">
        <f ca="1">IF($C332=1,OFFSET(E332,-CFF.NumLinha,0)+1,OFFSET(E332,-CFF.NumLinha,0))</f>
        <v>13</v>
      </c>
      <c r="F332" s="93">
        <f ca="1">IF($C332=1,0,IF($C332=2,OFFSET(F332,-CFF.NumLinha,0)+1,OFFSET(F332,-CFF.NumLinha,0)))</f>
        <v>6</v>
      </c>
      <c r="G332" s="93">
        <f ca="1">IF(AND($C332&lt;=2,$C332&lt;&gt;0),0,IF($C332=3,OFFSET(G332,-CFF.NumLinha,0)+1,OFFSET(G332,-CFF.NumLinha,0)))</f>
        <v>0</v>
      </c>
      <c r="H332" s="93">
        <f ca="1">IF(AND($C332&lt;=3,$C332&lt;&gt;0),0,IF($C332=4,OFFSET(H332,-CFF.NumLinha,0)+1,OFFSET(H332,-CFF.NumLinha,0)))</f>
        <v>0</v>
      </c>
      <c r="I332" s="93">
        <f ca="1">MATCH(0,OFFSET($D332,1,$C332,ROW($A$435)-ROW($A332)),0)</f>
        <v>9</v>
      </c>
      <c r="J332" s="93">
        <f ca="1">MATCH(OFFSET($D332,0,$C332)+1,OFFSET($D332,1,$C332,ROW($A$435)-ROW($A332)),0)</f>
        <v>3</v>
      </c>
      <c r="K332" s="94">
        <f ca="1">ROUND(INDEX(PO!U$11:U$1504,MATCH($A332,PO!$W$11:$W$1504,0)),2)+10^-12</f>
        <v>3427.5600000000009</v>
      </c>
      <c r="L332" s="270"/>
      <c r="M332" s="272"/>
      <c r="N332" s="274"/>
      <c r="O332" s="115" t="s">
        <v>7</v>
      </c>
      <c r="P332" s="108">
        <f t="shared" ref="P332:W332" ca="1" si="216">IF($B332,ROUND(P331*$N330,2),ROUND(SUMIF(OFFSET($B332,1,0,$D332),TRUE,OFFSET(P332,1,0,$D332))/SUMIF(OFFSET($B332,1,0,$D332),TRUE,OFFSET($K332,1,0,$D332))*$N330,2))</f>
        <v>0</v>
      </c>
      <c r="Q332" s="78">
        <f t="shared" ca="1" si="216"/>
        <v>0</v>
      </c>
      <c r="R332" s="78">
        <f t="shared" ca="1" si="216"/>
        <v>0</v>
      </c>
      <c r="S332" s="78">
        <f t="shared" ca="1" si="216"/>
        <v>0</v>
      </c>
      <c r="T332" s="78">
        <f t="shared" ca="1" si="216"/>
        <v>0</v>
      </c>
      <c r="U332" s="78">
        <f t="shared" ca="1" si="216"/>
        <v>0</v>
      </c>
      <c r="V332" s="78">
        <f t="shared" ca="1" si="216"/>
        <v>0</v>
      </c>
      <c r="W332" s="118">
        <f t="shared" ca="1" si="216"/>
        <v>0</v>
      </c>
      <c r="X332" s="105"/>
    </row>
    <row r="333" spans="1:24" customFormat="1" ht="14.25" customHeight="1">
      <c r="A333" s="39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269" t="str">
        <f ca="1">INDEX(PO!K$11:K$1504,MATCH($A335,PO!$W$11:$W$1504,0))</f>
        <v>13.7.</v>
      </c>
      <c r="M333" s="271" t="str">
        <f ca="1">INDEX(PO!O$11:O$1504,MATCH($A335,PO!$W$11:$W$1504,0))</f>
        <v>Atividade 93 - Curso: Panificação região Parque São João</v>
      </c>
      <c r="N333" s="273">
        <f ca="1">IF(ROUND(K335,2)=0,K335,ROUND(K335,2))</f>
        <v>24551.46</v>
      </c>
      <c r="O333" s="113" t="s">
        <v>33</v>
      </c>
      <c r="P333" s="112"/>
      <c r="Q333" s="59"/>
      <c r="R333" s="59"/>
      <c r="S333" s="59"/>
      <c r="T333" s="59"/>
      <c r="U333" s="59"/>
      <c r="V333" s="59"/>
      <c r="W333" s="59"/>
      <c r="X333" s="105"/>
    </row>
    <row r="334" spans="1:24" customFormat="1" ht="14.25">
      <c r="A334" s="93"/>
      <c r="B334" s="93"/>
      <c r="C334" s="93"/>
      <c r="D334" s="93"/>
      <c r="E334" s="93"/>
      <c r="F334" s="93"/>
      <c r="G334" s="93"/>
      <c r="H334" s="93"/>
      <c r="I334" s="93"/>
      <c r="J334" s="93"/>
      <c r="K334" s="93"/>
      <c r="L334" s="270"/>
      <c r="M334" s="272"/>
      <c r="N334" s="274"/>
      <c r="O334" s="79" t="s">
        <v>35</v>
      </c>
      <c r="P334" s="107">
        <f t="shared" ref="P334:W334" ca="1" si="217">MIN(IF($B335,P333+IF(ISNUMBER(O334),O334,0),P335/$N333),1)</f>
        <v>0</v>
      </c>
      <c r="Q334" s="77">
        <f t="shared" ca="1" si="217"/>
        <v>0</v>
      </c>
      <c r="R334" s="77">
        <f t="shared" ca="1" si="217"/>
        <v>0</v>
      </c>
      <c r="S334" s="77">
        <f t="shared" ca="1" si="217"/>
        <v>0</v>
      </c>
      <c r="T334" s="77">
        <f t="shared" ca="1" si="217"/>
        <v>0</v>
      </c>
      <c r="U334" s="77">
        <f t="shared" ca="1" si="217"/>
        <v>0</v>
      </c>
      <c r="V334" s="77">
        <f t="shared" ca="1" si="217"/>
        <v>0</v>
      </c>
      <c r="W334" s="77">
        <f t="shared" ca="1" si="217"/>
        <v>0</v>
      </c>
      <c r="X334" s="105"/>
    </row>
    <row r="335" spans="1:24" customFormat="1" ht="14.25">
      <c r="A335" s="93">
        <f ca="1">OFFSET(A335,-CFF.NumLinha,0)+1</f>
        <v>106</v>
      </c>
      <c r="B335" s="93" t="b">
        <f ca="1">$C335&gt;=OFFSET($C335,CFF.NumLinha,0)</f>
        <v>1</v>
      </c>
      <c r="C335" s="93">
        <f ca="1">INDEX(PO!A$11:A$1504,MATCH($A335,PO!$W$11:$W$1504,0))</f>
        <v>2</v>
      </c>
      <c r="D335" s="93">
        <f ca="1">IF(ISERROR(J335),I335,SMALL(I335:J335,1))-1</f>
        <v>2</v>
      </c>
      <c r="E335" s="93">
        <f ca="1">IF($C335=1,OFFSET(E335,-CFF.NumLinha,0)+1,OFFSET(E335,-CFF.NumLinha,0))</f>
        <v>13</v>
      </c>
      <c r="F335" s="93">
        <f ca="1">IF($C335=1,0,IF($C335=2,OFFSET(F335,-CFF.NumLinha,0)+1,OFFSET(F335,-CFF.NumLinha,0)))</f>
        <v>7</v>
      </c>
      <c r="G335" s="93">
        <f ca="1">IF(AND($C335&lt;=2,$C335&lt;&gt;0),0,IF($C335=3,OFFSET(G335,-CFF.NumLinha,0)+1,OFFSET(G335,-CFF.NumLinha,0)))</f>
        <v>0</v>
      </c>
      <c r="H335" s="93">
        <f ca="1">IF(AND($C335&lt;=3,$C335&lt;&gt;0),0,IF($C335=4,OFFSET(H335,-CFF.NumLinha,0)+1,OFFSET(H335,-CFF.NumLinha,0)))</f>
        <v>0</v>
      </c>
      <c r="I335" s="93">
        <f ca="1">MATCH(0,OFFSET($D335,1,$C335,ROW($A$435)-ROW($A335)),0)</f>
        <v>6</v>
      </c>
      <c r="J335" s="93">
        <f ca="1">MATCH(OFFSET($D335,0,$C335)+1,OFFSET($D335,1,$C335,ROW($A$435)-ROW($A335)),0)</f>
        <v>3</v>
      </c>
      <c r="K335" s="94">
        <f ca="1">ROUND(INDEX(PO!U$11:U$1504,MATCH($A335,PO!$W$11:$W$1504,0)),2)+10^-12</f>
        <v>24551.46</v>
      </c>
      <c r="L335" s="270"/>
      <c r="M335" s="272"/>
      <c r="N335" s="274"/>
      <c r="O335" s="115" t="s">
        <v>7</v>
      </c>
      <c r="P335" s="108">
        <f t="shared" ref="P335:W335" ca="1" si="218">IF($B335,ROUND(P334*$N333,2),ROUND(SUMIF(OFFSET($B335,1,0,$D335),TRUE,OFFSET(P335,1,0,$D335))/SUMIF(OFFSET($B335,1,0,$D335),TRUE,OFFSET($K335,1,0,$D335))*$N333,2))</f>
        <v>0</v>
      </c>
      <c r="Q335" s="78">
        <f t="shared" ca="1" si="218"/>
        <v>0</v>
      </c>
      <c r="R335" s="78">
        <f t="shared" ca="1" si="218"/>
        <v>0</v>
      </c>
      <c r="S335" s="78">
        <f t="shared" ca="1" si="218"/>
        <v>0</v>
      </c>
      <c r="T335" s="78">
        <f t="shared" ca="1" si="218"/>
        <v>0</v>
      </c>
      <c r="U335" s="78">
        <f t="shared" ca="1" si="218"/>
        <v>0</v>
      </c>
      <c r="V335" s="78">
        <f t="shared" ca="1" si="218"/>
        <v>0</v>
      </c>
      <c r="W335" s="118">
        <f t="shared" ca="1" si="218"/>
        <v>0</v>
      </c>
      <c r="X335" s="105"/>
    </row>
    <row r="336" spans="1:24" customFormat="1" ht="14.25" customHeight="1">
      <c r="A336" s="39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269" t="str">
        <f ca="1">INDEX(PO!K$11:K$1504,MATCH($A338,PO!$W$11:$W$1504,0))</f>
        <v>13.8.</v>
      </c>
      <c r="M336" s="271" t="str">
        <f ca="1">INDEX(PO!O$11:O$1504,MATCH($A338,PO!$W$11:$W$1504,0))</f>
        <v>Atividade 94 - Curso: Panificação região Jardim Ikaraí</v>
      </c>
      <c r="N336" s="273">
        <f ca="1">IF(ROUND(K338,2)=0,K338,ROUND(K338,2))</f>
        <v>28092.32</v>
      </c>
      <c r="O336" s="113" t="s">
        <v>33</v>
      </c>
      <c r="P336" s="112"/>
      <c r="Q336" s="59"/>
      <c r="R336" s="59"/>
      <c r="S336" s="59"/>
      <c r="T336" s="59"/>
      <c r="U336" s="59"/>
      <c r="V336" s="59"/>
      <c r="W336" s="59"/>
      <c r="X336" s="105"/>
    </row>
    <row r="337" spans="1:24" customFormat="1" ht="14.25">
      <c r="A337" s="93"/>
      <c r="B337" s="93"/>
      <c r="C337" s="93"/>
      <c r="D337" s="93"/>
      <c r="E337" s="93"/>
      <c r="F337" s="93"/>
      <c r="G337" s="93"/>
      <c r="H337" s="93"/>
      <c r="I337" s="93"/>
      <c r="J337" s="93"/>
      <c r="K337" s="93"/>
      <c r="L337" s="270"/>
      <c r="M337" s="272"/>
      <c r="N337" s="274"/>
      <c r="O337" s="79" t="s">
        <v>35</v>
      </c>
      <c r="P337" s="107">
        <f t="shared" ref="P337:W337" ca="1" si="219">MIN(IF($B338,P336+IF(ISNUMBER(O337),O337,0),P338/$N336),1)</f>
        <v>0</v>
      </c>
      <c r="Q337" s="77">
        <f t="shared" ca="1" si="219"/>
        <v>0</v>
      </c>
      <c r="R337" s="77">
        <f t="shared" ca="1" si="219"/>
        <v>0</v>
      </c>
      <c r="S337" s="77">
        <f t="shared" ca="1" si="219"/>
        <v>0</v>
      </c>
      <c r="T337" s="77">
        <f t="shared" ca="1" si="219"/>
        <v>0</v>
      </c>
      <c r="U337" s="77">
        <f t="shared" ca="1" si="219"/>
        <v>0</v>
      </c>
      <c r="V337" s="77">
        <f t="shared" ca="1" si="219"/>
        <v>0</v>
      </c>
      <c r="W337" s="77">
        <f t="shared" ca="1" si="219"/>
        <v>0</v>
      </c>
      <c r="X337" s="105"/>
    </row>
    <row r="338" spans="1:24" customFormat="1" ht="14.25">
      <c r="A338" s="93">
        <f ca="1">OFFSET(A338,-CFF.NumLinha,0)+1</f>
        <v>107</v>
      </c>
      <c r="B338" s="93" t="b">
        <f ca="1">$C338&gt;=OFFSET($C338,CFF.NumLinha,0)</f>
        <v>1</v>
      </c>
      <c r="C338" s="93">
        <f ca="1">INDEX(PO!A$11:A$1504,MATCH($A338,PO!$W$11:$W$1504,0))</f>
        <v>2</v>
      </c>
      <c r="D338" s="93">
        <f ca="1">IF(ISERROR(J338),I338,SMALL(I338:J338,1))-1</f>
        <v>2</v>
      </c>
      <c r="E338" s="93">
        <f ca="1">IF($C338=1,OFFSET(E338,-CFF.NumLinha,0)+1,OFFSET(E338,-CFF.NumLinha,0))</f>
        <v>13</v>
      </c>
      <c r="F338" s="93">
        <f ca="1">IF($C338=1,0,IF($C338=2,OFFSET(F338,-CFF.NumLinha,0)+1,OFFSET(F338,-CFF.NumLinha,0)))</f>
        <v>8</v>
      </c>
      <c r="G338" s="93">
        <f ca="1">IF(AND($C338&lt;=2,$C338&lt;&gt;0),0,IF($C338=3,OFFSET(G338,-CFF.NumLinha,0)+1,OFFSET(G338,-CFF.NumLinha,0)))</f>
        <v>0</v>
      </c>
      <c r="H338" s="93">
        <f ca="1">IF(AND($C338&lt;=3,$C338&lt;&gt;0),0,IF($C338=4,OFFSET(H338,-CFF.NumLinha,0)+1,OFFSET(H338,-CFF.NumLinha,0)))</f>
        <v>0</v>
      </c>
      <c r="I338" s="93">
        <f ca="1">MATCH(0,OFFSET($D338,1,$C338,ROW($A$435)-ROW($A338)),0)</f>
        <v>3</v>
      </c>
      <c r="J338" s="93" t="e">
        <f ca="1">MATCH(OFFSET($D338,0,$C338)+1,OFFSET($D338,1,$C338,ROW($A$435)-ROW($A338)),0)</f>
        <v>#N/A</v>
      </c>
      <c r="K338" s="94">
        <f ca="1">ROUND(INDEX(PO!U$11:U$1504,MATCH($A338,PO!$W$11:$W$1504,0)),2)+10^-12</f>
        <v>28092.32</v>
      </c>
      <c r="L338" s="270"/>
      <c r="M338" s="272"/>
      <c r="N338" s="274"/>
      <c r="O338" s="115" t="s">
        <v>7</v>
      </c>
      <c r="P338" s="108">
        <f t="shared" ref="P338:W338" ca="1" si="220">IF($B338,ROUND(P337*$N336,2),ROUND(SUMIF(OFFSET($B338,1,0,$D338),TRUE,OFFSET(P338,1,0,$D338))/SUMIF(OFFSET($B338,1,0,$D338),TRUE,OFFSET($K338,1,0,$D338))*$N336,2))</f>
        <v>0</v>
      </c>
      <c r="Q338" s="78">
        <f t="shared" ca="1" si="220"/>
        <v>0</v>
      </c>
      <c r="R338" s="78">
        <f t="shared" ca="1" si="220"/>
        <v>0</v>
      </c>
      <c r="S338" s="78">
        <f t="shared" ca="1" si="220"/>
        <v>0</v>
      </c>
      <c r="T338" s="78">
        <f t="shared" ca="1" si="220"/>
        <v>0</v>
      </c>
      <c r="U338" s="78">
        <f t="shared" ca="1" si="220"/>
        <v>0</v>
      </c>
      <c r="V338" s="78">
        <f t="shared" ca="1" si="220"/>
        <v>0</v>
      </c>
      <c r="W338" s="118">
        <f t="shared" ca="1" si="220"/>
        <v>0</v>
      </c>
      <c r="X338" s="105"/>
    </row>
    <row r="339" spans="1:24" customFormat="1" ht="14.25" customHeight="1">
      <c r="A339" s="39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269" t="str">
        <f ca="1">INDEX(PO!K$11:K$1504,MATCH($A341,PO!$W$11:$W$1504,0))</f>
        <v>14.</v>
      </c>
      <c r="M339" s="271" t="str">
        <f ca="1">INDEX(PO!O$11:O$1504,MATCH($A341,PO!$W$11:$W$1504,0))</f>
        <v>MÊS 14 - INFORMAÇÕES/SAÚDE E PALESTRA</v>
      </c>
      <c r="N339" s="273">
        <f ca="1">IF(ROUND(K341,2)=0,K341,ROUND(K341,2))</f>
        <v>105730.16</v>
      </c>
      <c r="O339" s="113" t="s">
        <v>33</v>
      </c>
      <c r="P339" s="112"/>
      <c r="Q339" s="59"/>
      <c r="R339" s="59"/>
      <c r="S339" s="59"/>
      <c r="T339" s="59"/>
      <c r="U339" s="59"/>
      <c r="V339" s="59"/>
      <c r="W339" s="59"/>
      <c r="X339" s="105"/>
    </row>
    <row r="340" spans="1:24" customFormat="1" ht="14.25">
      <c r="A340" s="93"/>
      <c r="B340" s="93"/>
      <c r="C340" s="93"/>
      <c r="D340" s="93"/>
      <c r="E340" s="93"/>
      <c r="F340" s="93"/>
      <c r="G340" s="93"/>
      <c r="H340" s="93"/>
      <c r="I340" s="93"/>
      <c r="J340" s="93"/>
      <c r="K340" s="93"/>
      <c r="L340" s="270"/>
      <c r="M340" s="272"/>
      <c r="N340" s="274"/>
      <c r="O340" s="79" t="s">
        <v>35</v>
      </c>
      <c r="P340" s="107">
        <f t="shared" ref="P340:W340" ca="1" si="221">MIN(IF($B341,P339+IF(ISNUMBER(O340),O340,0),P341/$N339),1)</f>
        <v>0</v>
      </c>
      <c r="Q340" s="77">
        <f t="shared" ca="1" si="221"/>
        <v>0</v>
      </c>
      <c r="R340" s="77">
        <f t="shared" ca="1" si="221"/>
        <v>0</v>
      </c>
      <c r="S340" s="77">
        <f t="shared" ca="1" si="221"/>
        <v>0</v>
      </c>
      <c r="T340" s="77">
        <f t="shared" ca="1" si="221"/>
        <v>0</v>
      </c>
      <c r="U340" s="77">
        <f t="shared" ca="1" si="221"/>
        <v>0</v>
      </c>
      <c r="V340" s="77">
        <f t="shared" ca="1" si="221"/>
        <v>0</v>
      </c>
      <c r="W340" s="77">
        <f t="shared" ca="1" si="221"/>
        <v>0</v>
      </c>
      <c r="X340" s="105"/>
    </row>
    <row r="341" spans="1:24" customFormat="1" ht="14.25">
      <c r="A341" s="93">
        <f ca="1">OFFSET(A341,-CFF.NumLinha,0)+1</f>
        <v>108</v>
      </c>
      <c r="B341" s="93" t="b">
        <f ca="1">$C341&gt;=OFFSET($C341,CFF.NumLinha,0)</f>
        <v>0</v>
      </c>
      <c r="C341" s="93">
        <f ca="1">INDEX(PO!A$11:A$1504,MATCH($A341,PO!$W$11:$W$1504,0))</f>
        <v>1</v>
      </c>
      <c r="D341" s="93">
        <f ca="1">IF(ISERROR(J341),I341,SMALL(I341:J341,1))-1</f>
        <v>26</v>
      </c>
      <c r="E341" s="93">
        <f ca="1">IF($C341=1,OFFSET(E341,-CFF.NumLinha,0)+1,OFFSET(E341,-CFF.NumLinha,0))</f>
        <v>14</v>
      </c>
      <c r="F341" s="93">
        <f ca="1">IF($C341=1,0,IF($C341=2,OFFSET(F341,-CFF.NumLinha,0)+1,OFFSET(F341,-CFF.NumLinha,0)))</f>
        <v>0</v>
      </c>
      <c r="G341" s="93">
        <f ca="1">IF(AND($C341&lt;=2,$C341&lt;&gt;0),0,IF($C341=3,OFFSET(G341,-CFF.NumLinha,0)+1,OFFSET(G341,-CFF.NumLinha,0)))</f>
        <v>0</v>
      </c>
      <c r="H341" s="93">
        <f ca="1">IF(AND($C341&lt;=3,$C341&lt;&gt;0),0,IF($C341=4,OFFSET(H341,-CFF.NumLinha,0)+1,OFFSET(H341,-CFF.NumLinha,0)))</f>
        <v>0</v>
      </c>
      <c r="I341" s="93">
        <f ca="1">MATCH(0,OFFSET($D341,1,$C341,ROW($A$435)-ROW($A341)),0)</f>
        <v>94</v>
      </c>
      <c r="J341" s="93">
        <f ca="1">MATCH(OFFSET($D341,0,$C341)+1,OFFSET($D341,1,$C341,ROW($A$435)-ROW($A341)),0)</f>
        <v>27</v>
      </c>
      <c r="K341" s="94">
        <f ca="1">ROUND(INDEX(PO!U$11:U$1504,MATCH($A341,PO!$W$11:$W$1504,0)),2)+10^-12</f>
        <v>105730.16</v>
      </c>
      <c r="L341" s="270"/>
      <c r="M341" s="272"/>
      <c r="N341" s="274"/>
      <c r="O341" s="115" t="s">
        <v>7</v>
      </c>
      <c r="P341" s="108">
        <f t="shared" ref="P341:W341" ca="1" si="222">IF($B341,ROUND(P340*$N339,2),ROUND(SUMIF(OFFSET($B341,1,0,$D341),TRUE,OFFSET(P341,1,0,$D341))/SUMIF(OFFSET($B341,1,0,$D341),TRUE,OFFSET($K341,1,0,$D341))*$N339,2))</f>
        <v>0</v>
      </c>
      <c r="Q341" s="78">
        <f t="shared" ca="1" si="222"/>
        <v>0</v>
      </c>
      <c r="R341" s="78">
        <f t="shared" ca="1" si="222"/>
        <v>0</v>
      </c>
      <c r="S341" s="78">
        <f t="shared" ca="1" si="222"/>
        <v>0</v>
      </c>
      <c r="T341" s="78">
        <f t="shared" ca="1" si="222"/>
        <v>0</v>
      </c>
      <c r="U341" s="78">
        <f t="shared" ca="1" si="222"/>
        <v>0</v>
      </c>
      <c r="V341" s="78">
        <f t="shared" ca="1" si="222"/>
        <v>0</v>
      </c>
      <c r="W341" s="118">
        <f t="shared" ca="1" si="222"/>
        <v>0</v>
      </c>
      <c r="X341" s="105"/>
    </row>
    <row r="342" spans="1:24" customFormat="1" ht="14.25" customHeight="1">
      <c r="A342" s="39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269" t="str">
        <f ca="1">INDEX(PO!K$11:K$1504,MATCH($A344,PO!$W$11:$W$1504,0))</f>
        <v>14.1.</v>
      </c>
      <c r="M342" s="271" t="str">
        <f ca="1">INDEX(PO!O$11:O$1504,MATCH($A344,PO!$W$11:$W$1504,0))</f>
        <v>Atividade 95 - Oficina de higiêne bucal região Parque São João</v>
      </c>
      <c r="N342" s="273">
        <f ca="1">IF(ROUND(K344,2)=0,K344,ROUND(K344,2))</f>
        <v>25934.21</v>
      </c>
      <c r="O342" s="113" t="s">
        <v>33</v>
      </c>
      <c r="P342" s="112"/>
      <c r="Q342" s="59"/>
      <c r="R342" s="59"/>
      <c r="S342" s="59"/>
      <c r="T342" s="59"/>
      <c r="U342" s="59"/>
      <c r="V342" s="59"/>
      <c r="W342" s="59"/>
      <c r="X342" s="105"/>
    </row>
    <row r="343" spans="1:24" customFormat="1" ht="14.25">
      <c r="A343" s="93"/>
      <c r="B343" s="93"/>
      <c r="C343" s="93"/>
      <c r="D343" s="93"/>
      <c r="E343" s="93"/>
      <c r="F343" s="93"/>
      <c r="G343" s="93"/>
      <c r="H343" s="93"/>
      <c r="I343" s="93"/>
      <c r="J343" s="93"/>
      <c r="K343" s="93"/>
      <c r="L343" s="270"/>
      <c r="M343" s="272"/>
      <c r="N343" s="274"/>
      <c r="O343" s="79" t="s">
        <v>35</v>
      </c>
      <c r="P343" s="107">
        <f t="shared" ref="P343:W343" ca="1" si="223">MIN(IF($B344,P342+IF(ISNUMBER(O343),O343,0),P344/$N342),1)</f>
        <v>0</v>
      </c>
      <c r="Q343" s="77">
        <f t="shared" ca="1" si="223"/>
        <v>0</v>
      </c>
      <c r="R343" s="77">
        <f t="shared" ca="1" si="223"/>
        <v>0</v>
      </c>
      <c r="S343" s="77">
        <f t="shared" ca="1" si="223"/>
        <v>0</v>
      </c>
      <c r="T343" s="77">
        <f t="shared" ca="1" si="223"/>
        <v>0</v>
      </c>
      <c r="U343" s="77">
        <f t="shared" ca="1" si="223"/>
        <v>0</v>
      </c>
      <c r="V343" s="77">
        <f t="shared" ca="1" si="223"/>
        <v>0</v>
      </c>
      <c r="W343" s="77">
        <f t="shared" ca="1" si="223"/>
        <v>0</v>
      </c>
      <c r="X343" s="105"/>
    </row>
    <row r="344" spans="1:24" customFormat="1" ht="14.25">
      <c r="A344" s="93">
        <f ca="1">OFFSET(A344,-CFF.NumLinha,0)+1</f>
        <v>109</v>
      </c>
      <c r="B344" s="93" t="b">
        <f ca="1">$C344&gt;=OFFSET($C344,CFF.NumLinha,0)</f>
        <v>1</v>
      </c>
      <c r="C344" s="93">
        <f ca="1">INDEX(PO!A$11:A$1504,MATCH($A344,PO!$W$11:$W$1504,0))</f>
        <v>2</v>
      </c>
      <c r="D344" s="93">
        <f ca="1">IF(ISERROR(J344),I344,SMALL(I344:J344,1))-1</f>
        <v>2</v>
      </c>
      <c r="E344" s="93">
        <f ca="1">IF($C344=1,OFFSET(E344,-CFF.NumLinha,0)+1,OFFSET(E344,-CFF.NumLinha,0))</f>
        <v>14</v>
      </c>
      <c r="F344" s="93">
        <f ca="1">IF($C344=1,0,IF($C344=2,OFFSET(F344,-CFF.NumLinha,0)+1,OFFSET(F344,-CFF.NumLinha,0)))</f>
        <v>1</v>
      </c>
      <c r="G344" s="93">
        <f ca="1">IF(AND($C344&lt;=2,$C344&lt;&gt;0),0,IF($C344=3,OFFSET(G344,-CFF.NumLinha,0)+1,OFFSET(G344,-CFF.NumLinha,0)))</f>
        <v>0</v>
      </c>
      <c r="H344" s="93">
        <f ca="1">IF(AND($C344&lt;=3,$C344&lt;&gt;0),0,IF($C344=4,OFFSET(H344,-CFF.NumLinha,0)+1,OFFSET(H344,-CFF.NumLinha,0)))</f>
        <v>0</v>
      </c>
      <c r="I344" s="93">
        <f ca="1">MATCH(0,OFFSET($D344,1,$C344,ROW($A$435)-ROW($A344)),0)</f>
        <v>24</v>
      </c>
      <c r="J344" s="93">
        <f ca="1">MATCH(OFFSET($D344,0,$C344)+1,OFFSET($D344,1,$C344,ROW($A$435)-ROW($A344)),0)</f>
        <v>3</v>
      </c>
      <c r="K344" s="94">
        <f ca="1">ROUND(INDEX(PO!U$11:U$1504,MATCH($A344,PO!$W$11:$W$1504,0)),2)+10^-12</f>
        <v>25934.21</v>
      </c>
      <c r="L344" s="270"/>
      <c r="M344" s="272"/>
      <c r="N344" s="274"/>
      <c r="O344" s="115" t="s">
        <v>7</v>
      </c>
      <c r="P344" s="108">
        <f t="shared" ref="P344:W344" ca="1" si="224">IF($B344,ROUND(P343*$N342,2),ROUND(SUMIF(OFFSET($B344,1,0,$D344),TRUE,OFFSET(P344,1,0,$D344))/SUMIF(OFFSET($B344,1,0,$D344),TRUE,OFFSET($K344,1,0,$D344))*$N342,2))</f>
        <v>0</v>
      </c>
      <c r="Q344" s="78">
        <f t="shared" ca="1" si="224"/>
        <v>0</v>
      </c>
      <c r="R344" s="78">
        <f t="shared" ca="1" si="224"/>
        <v>0</v>
      </c>
      <c r="S344" s="78">
        <f t="shared" ca="1" si="224"/>
        <v>0</v>
      </c>
      <c r="T344" s="78">
        <f t="shared" ca="1" si="224"/>
        <v>0</v>
      </c>
      <c r="U344" s="78">
        <f t="shared" ca="1" si="224"/>
        <v>0</v>
      </c>
      <c r="V344" s="78">
        <f t="shared" ca="1" si="224"/>
        <v>0</v>
      </c>
      <c r="W344" s="118">
        <f t="shared" ca="1" si="224"/>
        <v>0</v>
      </c>
      <c r="X344" s="105"/>
    </row>
    <row r="345" spans="1:24" customFormat="1" ht="14.25" customHeight="1">
      <c r="A345" s="39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269" t="str">
        <f ca="1">INDEX(PO!K$11:K$1504,MATCH($A347,PO!$W$11:$W$1504,0))</f>
        <v>14.2.</v>
      </c>
      <c r="M345" s="271" t="str">
        <f ca="1">INDEX(PO!O$11:O$1504,MATCH($A347,PO!$W$11:$W$1504,0))</f>
        <v>Atividade 96 - Plantão Social região Parque São João</v>
      </c>
      <c r="N345" s="273">
        <f ca="1">IF(ROUND(K347,2)=0,K347,ROUND(K347,2))</f>
        <v>3427.56</v>
      </c>
      <c r="O345" s="113" t="s">
        <v>33</v>
      </c>
      <c r="P345" s="112"/>
      <c r="Q345" s="59"/>
      <c r="R345" s="59"/>
      <c r="S345" s="59"/>
      <c r="T345" s="59"/>
      <c r="U345" s="59"/>
      <c r="V345" s="59"/>
      <c r="W345" s="59"/>
      <c r="X345" s="105"/>
    </row>
    <row r="346" spans="1:24" customFormat="1" ht="14.25">
      <c r="A346" s="93"/>
      <c r="B346" s="93"/>
      <c r="C346" s="93"/>
      <c r="D346" s="93"/>
      <c r="E346" s="93"/>
      <c r="F346" s="93"/>
      <c r="G346" s="93"/>
      <c r="H346" s="93"/>
      <c r="I346" s="93"/>
      <c r="J346" s="93"/>
      <c r="K346" s="93"/>
      <c r="L346" s="270"/>
      <c r="M346" s="272"/>
      <c r="N346" s="274"/>
      <c r="O346" s="79" t="s">
        <v>35</v>
      </c>
      <c r="P346" s="107">
        <f t="shared" ref="P346:W346" ca="1" si="225">MIN(IF($B347,P345+IF(ISNUMBER(O346),O346,0),P347/$N345),1)</f>
        <v>0</v>
      </c>
      <c r="Q346" s="77">
        <f t="shared" ca="1" si="225"/>
        <v>0</v>
      </c>
      <c r="R346" s="77">
        <f t="shared" ca="1" si="225"/>
        <v>0</v>
      </c>
      <c r="S346" s="77">
        <f t="shared" ca="1" si="225"/>
        <v>0</v>
      </c>
      <c r="T346" s="77">
        <f t="shared" ca="1" si="225"/>
        <v>0</v>
      </c>
      <c r="U346" s="77">
        <f t="shared" ca="1" si="225"/>
        <v>0</v>
      </c>
      <c r="V346" s="77">
        <f t="shared" ca="1" si="225"/>
        <v>0</v>
      </c>
      <c r="W346" s="77">
        <f t="shared" ca="1" si="225"/>
        <v>0</v>
      </c>
      <c r="X346" s="105"/>
    </row>
    <row r="347" spans="1:24" customFormat="1" ht="14.25">
      <c r="A347" s="93">
        <f ca="1">OFFSET(A347,-CFF.NumLinha,0)+1</f>
        <v>110</v>
      </c>
      <c r="B347" s="93" t="b">
        <f ca="1">$C347&gt;=OFFSET($C347,CFF.NumLinha,0)</f>
        <v>1</v>
      </c>
      <c r="C347" s="93">
        <f ca="1">INDEX(PO!A$11:A$1504,MATCH($A347,PO!$W$11:$W$1504,0))</f>
        <v>2</v>
      </c>
      <c r="D347" s="93">
        <f ca="1">IF(ISERROR(J347),I347,SMALL(I347:J347,1))-1</f>
        <v>2</v>
      </c>
      <c r="E347" s="93">
        <f ca="1">IF($C347=1,OFFSET(E347,-CFF.NumLinha,0)+1,OFFSET(E347,-CFF.NumLinha,0))</f>
        <v>14</v>
      </c>
      <c r="F347" s="93">
        <f ca="1">IF($C347=1,0,IF($C347=2,OFFSET(F347,-CFF.NumLinha,0)+1,OFFSET(F347,-CFF.NumLinha,0)))</f>
        <v>2</v>
      </c>
      <c r="G347" s="93">
        <f ca="1">IF(AND($C347&lt;=2,$C347&lt;&gt;0),0,IF($C347=3,OFFSET(G347,-CFF.NumLinha,0)+1,OFFSET(G347,-CFF.NumLinha,0)))</f>
        <v>0</v>
      </c>
      <c r="H347" s="93">
        <f ca="1">IF(AND($C347&lt;=3,$C347&lt;&gt;0),0,IF($C347=4,OFFSET(H347,-CFF.NumLinha,0)+1,OFFSET(H347,-CFF.NumLinha,0)))</f>
        <v>0</v>
      </c>
      <c r="I347" s="93">
        <f ca="1">MATCH(0,OFFSET($D347,1,$C347,ROW($A$435)-ROW($A347)),0)</f>
        <v>21</v>
      </c>
      <c r="J347" s="93">
        <f ca="1">MATCH(OFFSET($D347,0,$C347)+1,OFFSET($D347,1,$C347,ROW($A$435)-ROW($A347)),0)</f>
        <v>3</v>
      </c>
      <c r="K347" s="94">
        <f ca="1">ROUND(INDEX(PO!U$11:U$1504,MATCH($A347,PO!$W$11:$W$1504,0)),2)+10^-12</f>
        <v>3427.5600000000009</v>
      </c>
      <c r="L347" s="270"/>
      <c r="M347" s="272"/>
      <c r="N347" s="274"/>
      <c r="O347" s="115" t="s">
        <v>7</v>
      </c>
      <c r="P347" s="108">
        <f t="shared" ref="P347:W347" ca="1" si="226">IF($B347,ROUND(P346*$N345,2),ROUND(SUMIF(OFFSET($B347,1,0,$D347),TRUE,OFFSET(P347,1,0,$D347))/SUMIF(OFFSET($B347,1,0,$D347),TRUE,OFFSET($K347,1,0,$D347))*$N345,2))</f>
        <v>0</v>
      </c>
      <c r="Q347" s="78">
        <f t="shared" ca="1" si="226"/>
        <v>0</v>
      </c>
      <c r="R347" s="78">
        <f t="shared" ca="1" si="226"/>
        <v>0</v>
      </c>
      <c r="S347" s="78">
        <f t="shared" ca="1" si="226"/>
        <v>0</v>
      </c>
      <c r="T347" s="78">
        <f t="shared" ca="1" si="226"/>
        <v>0</v>
      </c>
      <c r="U347" s="78">
        <f t="shared" ca="1" si="226"/>
        <v>0</v>
      </c>
      <c r="V347" s="78">
        <f t="shared" ca="1" si="226"/>
        <v>0</v>
      </c>
      <c r="W347" s="118">
        <f t="shared" ca="1" si="226"/>
        <v>0</v>
      </c>
      <c r="X347" s="105"/>
    </row>
    <row r="348" spans="1:24" customFormat="1" ht="14.25" customHeight="1">
      <c r="A348" s="39"/>
      <c r="B348" s="39"/>
      <c r="C348" s="39"/>
      <c r="D348" s="39"/>
      <c r="E348" s="39"/>
      <c r="F348" s="39"/>
      <c r="G348" s="39"/>
      <c r="H348" s="39"/>
      <c r="I348" s="39"/>
      <c r="J348" s="39"/>
      <c r="K348" s="39"/>
      <c r="L348" s="269" t="str">
        <f ca="1">INDEX(PO!K$11:K$1504,MATCH($A350,PO!$W$11:$W$1504,0))</f>
        <v>14.3.</v>
      </c>
      <c r="M348" s="271" t="str">
        <f ca="1">INDEX(PO!O$11:O$1504,MATCH($A350,PO!$W$11:$W$1504,0))</f>
        <v>Atividade 97 - Oficinas de higiêne bucal região Jardim Ikaraí</v>
      </c>
      <c r="N348" s="273">
        <f ca="1">IF(ROUND(K350,2)=0,K350,ROUND(K350,2))</f>
        <v>19284.21</v>
      </c>
      <c r="O348" s="113" t="s">
        <v>33</v>
      </c>
      <c r="P348" s="112"/>
      <c r="Q348" s="59"/>
      <c r="R348" s="59"/>
      <c r="S348" s="59"/>
      <c r="T348" s="59"/>
      <c r="U348" s="59"/>
      <c r="V348" s="59"/>
      <c r="W348" s="59"/>
      <c r="X348" s="105"/>
    </row>
    <row r="349" spans="1:24" customFormat="1" ht="14.25">
      <c r="A349" s="93"/>
      <c r="B349" s="93"/>
      <c r="C349" s="93"/>
      <c r="D349" s="93"/>
      <c r="E349" s="93"/>
      <c r="F349" s="93"/>
      <c r="G349" s="93"/>
      <c r="H349" s="93"/>
      <c r="I349" s="93"/>
      <c r="J349" s="93"/>
      <c r="K349" s="93"/>
      <c r="L349" s="270"/>
      <c r="M349" s="272"/>
      <c r="N349" s="274"/>
      <c r="O349" s="79" t="s">
        <v>35</v>
      </c>
      <c r="P349" s="107">
        <f t="shared" ref="P349:W349" ca="1" si="227">MIN(IF($B350,P348+IF(ISNUMBER(O349),O349,0),P350/$N348),1)</f>
        <v>0</v>
      </c>
      <c r="Q349" s="77">
        <f t="shared" ca="1" si="227"/>
        <v>0</v>
      </c>
      <c r="R349" s="77">
        <f t="shared" ca="1" si="227"/>
        <v>0</v>
      </c>
      <c r="S349" s="77">
        <f t="shared" ca="1" si="227"/>
        <v>0</v>
      </c>
      <c r="T349" s="77">
        <f t="shared" ca="1" si="227"/>
        <v>0</v>
      </c>
      <c r="U349" s="77">
        <f t="shared" ca="1" si="227"/>
        <v>0</v>
      </c>
      <c r="V349" s="77">
        <f t="shared" ca="1" si="227"/>
        <v>0</v>
      </c>
      <c r="W349" s="77">
        <f t="shared" ca="1" si="227"/>
        <v>0</v>
      </c>
      <c r="X349" s="105"/>
    </row>
    <row r="350" spans="1:24" customFormat="1" ht="14.25">
      <c r="A350" s="93">
        <f ca="1">OFFSET(A350,-CFF.NumLinha,0)+1</f>
        <v>111</v>
      </c>
      <c r="B350" s="93" t="b">
        <f ca="1">$C350&gt;=OFFSET($C350,CFF.NumLinha,0)</f>
        <v>1</v>
      </c>
      <c r="C350" s="93">
        <f ca="1">INDEX(PO!A$11:A$1504,MATCH($A350,PO!$W$11:$W$1504,0))</f>
        <v>2</v>
      </c>
      <c r="D350" s="93">
        <f ca="1">IF(ISERROR(J350),I350,SMALL(I350:J350,1))-1</f>
        <v>2</v>
      </c>
      <c r="E350" s="93">
        <f ca="1">IF($C350=1,OFFSET(E350,-CFF.NumLinha,0)+1,OFFSET(E350,-CFF.NumLinha,0))</f>
        <v>14</v>
      </c>
      <c r="F350" s="93">
        <f ca="1">IF($C350=1,0,IF($C350=2,OFFSET(F350,-CFF.NumLinha,0)+1,OFFSET(F350,-CFF.NumLinha,0)))</f>
        <v>3</v>
      </c>
      <c r="G350" s="93">
        <f ca="1">IF(AND($C350&lt;=2,$C350&lt;&gt;0),0,IF($C350=3,OFFSET(G350,-CFF.NumLinha,0)+1,OFFSET(G350,-CFF.NumLinha,0)))</f>
        <v>0</v>
      </c>
      <c r="H350" s="93">
        <f ca="1">IF(AND($C350&lt;=3,$C350&lt;&gt;0),0,IF($C350=4,OFFSET(H350,-CFF.NumLinha,0)+1,OFFSET(H350,-CFF.NumLinha,0)))</f>
        <v>0</v>
      </c>
      <c r="I350" s="93">
        <f ca="1">MATCH(0,OFFSET($D350,1,$C350,ROW($A$435)-ROW($A350)),0)</f>
        <v>18</v>
      </c>
      <c r="J350" s="93">
        <f ca="1">MATCH(OFFSET($D350,0,$C350)+1,OFFSET($D350,1,$C350,ROW($A$435)-ROW($A350)),0)</f>
        <v>3</v>
      </c>
      <c r="K350" s="94">
        <f ca="1">ROUND(INDEX(PO!U$11:U$1504,MATCH($A350,PO!$W$11:$W$1504,0)),2)+10^-12</f>
        <v>19284.21</v>
      </c>
      <c r="L350" s="270"/>
      <c r="M350" s="272"/>
      <c r="N350" s="274"/>
      <c r="O350" s="115" t="s">
        <v>7</v>
      </c>
      <c r="P350" s="108">
        <f t="shared" ref="P350:W350" ca="1" si="228">IF($B350,ROUND(P349*$N348,2),ROUND(SUMIF(OFFSET($B350,1,0,$D350),TRUE,OFFSET(P350,1,0,$D350))/SUMIF(OFFSET($B350,1,0,$D350),TRUE,OFFSET($K350,1,0,$D350))*$N348,2))</f>
        <v>0</v>
      </c>
      <c r="Q350" s="78">
        <f t="shared" ca="1" si="228"/>
        <v>0</v>
      </c>
      <c r="R350" s="78">
        <f t="shared" ca="1" si="228"/>
        <v>0</v>
      </c>
      <c r="S350" s="78">
        <f t="shared" ca="1" si="228"/>
        <v>0</v>
      </c>
      <c r="T350" s="78">
        <f t="shared" ca="1" si="228"/>
        <v>0</v>
      </c>
      <c r="U350" s="78">
        <f t="shared" ca="1" si="228"/>
        <v>0</v>
      </c>
      <c r="V350" s="78">
        <f t="shared" ca="1" si="228"/>
        <v>0</v>
      </c>
      <c r="W350" s="118">
        <f t="shared" ca="1" si="228"/>
        <v>0</v>
      </c>
      <c r="X350" s="105"/>
    </row>
    <row r="351" spans="1:24" customFormat="1" ht="14.25" customHeight="1">
      <c r="A351" s="39"/>
      <c r="B351" s="39"/>
      <c r="C351" s="39"/>
      <c r="D351" s="39"/>
      <c r="E351" s="39"/>
      <c r="F351" s="39"/>
      <c r="G351" s="39"/>
      <c r="H351" s="39"/>
      <c r="I351" s="39"/>
      <c r="J351" s="39"/>
      <c r="K351" s="39"/>
      <c r="L351" s="269" t="str">
        <f ca="1">INDEX(PO!K$11:K$1504,MATCH($A353,PO!$W$11:$W$1504,0))</f>
        <v>14.4.</v>
      </c>
      <c r="M351" s="271" t="str">
        <f ca="1">INDEX(PO!O$11:O$1504,MATCH($A353,PO!$W$11:$W$1504,0))</f>
        <v>Ativiidade 98 - Plantão Social região Jrdim Ikaraí</v>
      </c>
      <c r="N351" s="273">
        <f ca="1">IF(ROUND(K353,2)=0,K353,ROUND(K353,2))</f>
        <v>3427.56</v>
      </c>
      <c r="O351" s="113" t="s">
        <v>33</v>
      </c>
      <c r="P351" s="112"/>
      <c r="Q351" s="59"/>
      <c r="R351" s="59"/>
      <c r="S351" s="59"/>
      <c r="T351" s="59"/>
      <c r="U351" s="59"/>
      <c r="V351" s="59"/>
      <c r="W351" s="59"/>
      <c r="X351" s="105"/>
    </row>
    <row r="352" spans="1:24" customFormat="1" ht="14.25">
      <c r="A352" s="93"/>
      <c r="B352" s="93"/>
      <c r="C352" s="93"/>
      <c r="D352" s="93"/>
      <c r="E352" s="93"/>
      <c r="F352" s="93"/>
      <c r="G352" s="93"/>
      <c r="H352" s="93"/>
      <c r="I352" s="93"/>
      <c r="J352" s="93"/>
      <c r="K352" s="93"/>
      <c r="L352" s="270"/>
      <c r="M352" s="272"/>
      <c r="N352" s="274"/>
      <c r="O352" s="79" t="s">
        <v>35</v>
      </c>
      <c r="P352" s="107">
        <f t="shared" ref="P352:W352" ca="1" si="229">MIN(IF($B353,P351+IF(ISNUMBER(O352),O352,0),P353/$N351),1)</f>
        <v>0</v>
      </c>
      <c r="Q352" s="77">
        <f t="shared" ca="1" si="229"/>
        <v>0</v>
      </c>
      <c r="R352" s="77">
        <f t="shared" ca="1" si="229"/>
        <v>0</v>
      </c>
      <c r="S352" s="77">
        <f t="shared" ca="1" si="229"/>
        <v>0</v>
      </c>
      <c r="T352" s="77">
        <f t="shared" ca="1" si="229"/>
        <v>0</v>
      </c>
      <c r="U352" s="77">
        <f t="shared" ca="1" si="229"/>
        <v>0</v>
      </c>
      <c r="V352" s="77">
        <f t="shared" ca="1" si="229"/>
        <v>0</v>
      </c>
      <c r="W352" s="77">
        <f t="shared" ca="1" si="229"/>
        <v>0</v>
      </c>
      <c r="X352" s="105"/>
    </row>
    <row r="353" spans="1:24" customFormat="1" ht="14.25">
      <c r="A353" s="93">
        <f ca="1">OFFSET(A353,-CFF.NumLinha,0)+1</f>
        <v>112</v>
      </c>
      <c r="B353" s="93" t="b">
        <f ca="1">$C353&gt;=OFFSET($C353,CFF.NumLinha,0)</f>
        <v>1</v>
      </c>
      <c r="C353" s="93">
        <f ca="1">INDEX(PO!A$11:A$1504,MATCH($A353,PO!$W$11:$W$1504,0))</f>
        <v>2</v>
      </c>
      <c r="D353" s="93">
        <f ca="1">IF(ISERROR(J353),I353,SMALL(I353:J353,1))-1</f>
        <v>2</v>
      </c>
      <c r="E353" s="93">
        <f ca="1">IF($C353=1,OFFSET(E353,-CFF.NumLinha,0)+1,OFFSET(E353,-CFF.NumLinha,0))</f>
        <v>14</v>
      </c>
      <c r="F353" s="93">
        <f ca="1">IF($C353=1,0,IF($C353=2,OFFSET(F353,-CFF.NumLinha,0)+1,OFFSET(F353,-CFF.NumLinha,0)))</f>
        <v>4</v>
      </c>
      <c r="G353" s="93">
        <f ca="1">IF(AND($C353&lt;=2,$C353&lt;&gt;0),0,IF($C353=3,OFFSET(G353,-CFF.NumLinha,0)+1,OFFSET(G353,-CFF.NumLinha,0)))</f>
        <v>0</v>
      </c>
      <c r="H353" s="93">
        <f ca="1">IF(AND($C353&lt;=3,$C353&lt;&gt;0),0,IF($C353=4,OFFSET(H353,-CFF.NumLinha,0)+1,OFFSET(H353,-CFF.NumLinha,0)))</f>
        <v>0</v>
      </c>
      <c r="I353" s="93">
        <f ca="1">MATCH(0,OFFSET($D353,1,$C353,ROW($A$435)-ROW($A353)),0)</f>
        <v>15</v>
      </c>
      <c r="J353" s="93">
        <f ca="1">MATCH(OFFSET($D353,0,$C353)+1,OFFSET($D353,1,$C353,ROW($A$435)-ROW($A353)),0)</f>
        <v>3</v>
      </c>
      <c r="K353" s="94">
        <f ca="1">ROUND(INDEX(PO!U$11:U$1504,MATCH($A353,PO!$W$11:$W$1504,0)),2)+10^-12</f>
        <v>3427.5600000000009</v>
      </c>
      <c r="L353" s="270"/>
      <c r="M353" s="272"/>
      <c r="N353" s="274"/>
      <c r="O353" s="115" t="s">
        <v>7</v>
      </c>
      <c r="P353" s="108">
        <f t="shared" ref="P353:W353" ca="1" si="230">IF($B353,ROUND(P352*$N351,2),ROUND(SUMIF(OFFSET($B353,1,0,$D353),TRUE,OFFSET(P353,1,0,$D353))/SUMIF(OFFSET($B353,1,0,$D353),TRUE,OFFSET($K353,1,0,$D353))*$N351,2))</f>
        <v>0</v>
      </c>
      <c r="Q353" s="78">
        <f t="shared" ca="1" si="230"/>
        <v>0</v>
      </c>
      <c r="R353" s="78">
        <f t="shared" ca="1" si="230"/>
        <v>0</v>
      </c>
      <c r="S353" s="78">
        <f t="shared" ca="1" si="230"/>
        <v>0</v>
      </c>
      <c r="T353" s="78">
        <f t="shared" ca="1" si="230"/>
        <v>0</v>
      </c>
      <c r="U353" s="78">
        <f t="shared" ca="1" si="230"/>
        <v>0</v>
      </c>
      <c r="V353" s="78">
        <f t="shared" ca="1" si="230"/>
        <v>0</v>
      </c>
      <c r="W353" s="118">
        <f t="shared" ca="1" si="230"/>
        <v>0</v>
      </c>
      <c r="X353" s="105"/>
    </row>
    <row r="354" spans="1:24" customFormat="1" ht="14.25" customHeight="1">
      <c r="A354" s="39"/>
      <c r="B354" s="39"/>
      <c r="C354" s="39"/>
      <c r="D354" s="39"/>
      <c r="E354" s="39"/>
      <c r="F354" s="39"/>
      <c r="G354" s="39"/>
      <c r="H354" s="39"/>
      <c r="I354" s="39"/>
      <c r="J354" s="39"/>
      <c r="K354" s="39"/>
      <c r="L354" s="269" t="str">
        <f ca="1">INDEX(PO!K$11:K$1504,MATCH($A356,PO!$W$11:$W$1504,0))</f>
        <v>14.5.</v>
      </c>
      <c r="M354" s="271" t="str">
        <f ca="1">INDEX(PO!O$11:O$1504,MATCH($A356,PO!$W$11:$W$1504,0))</f>
        <v>Atividade 99 - Oficina de higiêne bucal Bairro: Frutal de Minas e Jardim Paula II</v>
      </c>
      <c r="N354" s="273">
        <f ca="1">IF(ROUND(K356,2)=0,K356,ROUND(K356,2))</f>
        <v>17985.48</v>
      </c>
      <c r="O354" s="113" t="s">
        <v>33</v>
      </c>
      <c r="P354" s="112"/>
      <c r="Q354" s="59"/>
      <c r="R354" s="59"/>
      <c r="S354" s="59"/>
      <c r="T354" s="59"/>
      <c r="U354" s="59"/>
      <c r="V354" s="59"/>
      <c r="W354" s="59"/>
      <c r="X354" s="105"/>
    </row>
    <row r="355" spans="1:24" customFormat="1" ht="14.25">
      <c r="A355" s="93"/>
      <c r="B355" s="93"/>
      <c r="C355" s="93"/>
      <c r="D355" s="93"/>
      <c r="E355" s="93"/>
      <c r="F355" s="93"/>
      <c r="G355" s="93"/>
      <c r="H355" s="93"/>
      <c r="I355" s="93"/>
      <c r="J355" s="93"/>
      <c r="K355" s="93"/>
      <c r="L355" s="270"/>
      <c r="M355" s="272"/>
      <c r="N355" s="274"/>
      <c r="O355" s="79" t="s">
        <v>35</v>
      </c>
      <c r="P355" s="107">
        <f t="shared" ref="P355:W355" ca="1" si="231">MIN(IF($B356,P354+IF(ISNUMBER(O355),O355,0),P356/$N354),1)</f>
        <v>0</v>
      </c>
      <c r="Q355" s="77">
        <f t="shared" ca="1" si="231"/>
        <v>0</v>
      </c>
      <c r="R355" s="77">
        <f t="shared" ca="1" si="231"/>
        <v>0</v>
      </c>
      <c r="S355" s="77">
        <f t="shared" ca="1" si="231"/>
        <v>0</v>
      </c>
      <c r="T355" s="77">
        <f t="shared" ca="1" si="231"/>
        <v>0</v>
      </c>
      <c r="U355" s="77">
        <f t="shared" ca="1" si="231"/>
        <v>0</v>
      </c>
      <c r="V355" s="77">
        <f t="shared" ca="1" si="231"/>
        <v>0</v>
      </c>
      <c r="W355" s="77">
        <f t="shared" ca="1" si="231"/>
        <v>0</v>
      </c>
      <c r="X355" s="105"/>
    </row>
    <row r="356" spans="1:24" customFormat="1" ht="14.25">
      <c r="A356" s="93">
        <f ca="1">OFFSET(A356,-CFF.NumLinha,0)+1</f>
        <v>113</v>
      </c>
      <c r="B356" s="93" t="b">
        <f ca="1">$C356&gt;=OFFSET($C356,CFF.NumLinha,0)</f>
        <v>1</v>
      </c>
      <c r="C356" s="93">
        <f ca="1">INDEX(PO!A$11:A$1504,MATCH($A356,PO!$W$11:$W$1504,0))</f>
        <v>2</v>
      </c>
      <c r="D356" s="93">
        <f ca="1">IF(ISERROR(J356),I356,SMALL(I356:J356,1))-1</f>
        <v>2</v>
      </c>
      <c r="E356" s="93">
        <f ca="1">IF($C356=1,OFFSET(E356,-CFF.NumLinha,0)+1,OFFSET(E356,-CFF.NumLinha,0))</f>
        <v>14</v>
      </c>
      <c r="F356" s="93">
        <f ca="1">IF($C356=1,0,IF($C356=2,OFFSET(F356,-CFF.NumLinha,0)+1,OFFSET(F356,-CFF.NumLinha,0)))</f>
        <v>5</v>
      </c>
      <c r="G356" s="93">
        <f ca="1">IF(AND($C356&lt;=2,$C356&lt;&gt;0),0,IF($C356=3,OFFSET(G356,-CFF.NumLinha,0)+1,OFFSET(G356,-CFF.NumLinha,0)))</f>
        <v>0</v>
      </c>
      <c r="H356" s="93">
        <f ca="1">IF(AND($C356&lt;=3,$C356&lt;&gt;0),0,IF($C356=4,OFFSET(H356,-CFF.NumLinha,0)+1,OFFSET(H356,-CFF.NumLinha,0)))</f>
        <v>0</v>
      </c>
      <c r="I356" s="93">
        <f ca="1">MATCH(0,OFFSET($D356,1,$C356,ROW($A$435)-ROW($A356)),0)</f>
        <v>12</v>
      </c>
      <c r="J356" s="93">
        <f ca="1">MATCH(OFFSET($D356,0,$C356)+1,OFFSET($D356,1,$C356,ROW($A$435)-ROW($A356)),0)</f>
        <v>3</v>
      </c>
      <c r="K356" s="94">
        <f ca="1">ROUND(INDEX(PO!U$11:U$1504,MATCH($A356,PO!$W$11:$W$1504,0)),2)+10^-12</f>
        <v>17985.48</v>
      </c>
      <c r="L356" s="270"/>
      <c r="M356" s="272"/>
      <c r="N356" s="274"/>
      <c r="O356" s="115" t="s">
        <v>7</v>
      </c>
      <c r="P356" s="108">
        <f t="shared" ref="P356:W356" ca="1" si="232">IF($B356,ROUND(P355*$N354,2),ROUND(SUMIF(OFFSET($B356,1,0,$D356),TRUE,OFFSET(P356,1,0,$D356))/SUMIF(OFFSET($B356,1,0,$D356),TRUE,OFFSET($K356,1,0,$D356))*$N354,2))</f>
        <v>0</v>
      </c>
      <c r="Q356" s="78">
        <f t="shared" ca="1" si="232"/>
        <v>0</v>
      </c>
      <c r="R356" s="78">
        <f t="shared" ca="1" si="232"/>
        <v>0</v>
      </c>
      <c r="S356" s="78">
        <f t="shared" ca="1" si="232"/>
        <v>0</v>
      </c>
      <c r="T356" s="78">
        <f t="shared" ca="1" si="232"/>
        <v>0</v>
      </c>
      <c r="U356" s="78">
        <f t="shared" ca="1" si="232"/>
        <v>0</v>
      </c>
      <c r="V356" s="78">
        <f t="shared" ca="1" si="232"/>
        <v>0</v>
      </c>
      <c r="W356" s="118">
        <f t="shared" ca="1" si="232"/>
        <v>0</v>
      </c>
      <c r="X356" s="105"/>
    </row>
    <row r="357" spans="1:24" customFormat="1" ht="14.25" customHeight="1">
      <c r="A357" s="39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269" t="str">
        <f ca="1">INDEX(PO!K$11:K$1504,MATCH($A359,PO!$W$11:$W$1504,0))</f>
        <v>14.6.</v>
      </c>
      <c r="M357" s="271" t="str">
        <f ca="1">INDEX(PO!O$11:O$1504,MATCH($A359,PO!$W$11:$W$1504,0))</f>
        <v>Atividade 100 - Palestra: Educação financeira orçamento familiar região Parque São João</v>
      </c>
      <c r="N357" s="273">
        <f ca="1">IF(ROUND(K359,2)=0,K359,ROUND(K359,2))</f>
        <v>17064</v>
      </c>
      <c r="O357" s="113" t="s">
        <v>33</v>
      </c>
      <c r="P357" s="112"/>
      <c r="Q357" s="59"/>
      <c r="R357" s="59"/>
      <c r="S357" s="59"/>
      <c r="T357" s="59"/>
      <c r="U357" s="59"/>
      <c r="V357" s="59"/>
      <c r="W357" s="59"/>
      <c r="X357" s="105"/>
    </row>
    <row r="358" spans="1:24" customFormat="1" ht="14.25">
      <c r="A358" s="93"/>
      <c r="B358" s="93"/>
      <c r="C358" s="93"/>
      <c r="D358" s="93"/>
      <c r="E358" s="93"/>
      <c r="F358" s="93"/>
      <c r="G358" s="93"/>
      <c r="H358" s="93"/>
      <c r="I358" s="93"/>
      <c r="J358" s="93"/>
      <c r="K358" s="93"/>
      <c r="L358" s="270"/>
      <c r="M358" s="272"/>
      <c r="N358" s="274"/>
      <c r="O358" s="79" t="s">
        <v>35</v>
      </c>
      <c r="P358" s="107">
        <f t="shared" ref="P358:W358" ca="1" si="233">MIN(IF($B359,P357+IF(ISNUMBER(O358),O358,0),P359/$N357),1)</f>
        <v>0</v>
      </c>
      <c r="Q358" s="77">
        <f t="shared" ca="1" si="233"/>
        <v>0</v>
      </c>
      <c r="R358" s="77">
        <f t="shared" ca="1" si="233"/>
        <v>0</v>
      </c>
      <c r="S358" s="77">
        <f t="shared" ca="1" si="233"/>
        <v>0</v>
      </c>
      <c r="T358" s="77">
        <f t="shared" ca="1" si="233"/>
        <v>0</v>
      </c>
      <c r="U358" s="77">
        <f t="shared" ca="1" si="233"/>
        <v>0</v>
      </c>
      <c r="V358" s="77">
        <f t="shared" ca="1" si="233"/>
        <v>0</v>
      </c>
      <c r="W358" s="77">
        <f t="shared" ca="1" si="233"/>
        <v>0</v>
      </c>
      <c r="X358" s="105"/>
    </row>
    <row r="359" spans="1:24" customFormat="1" ht="14.25">
      <c r="A359" s="93">
        <f ca="1">OFFSET(A359,-CFF.NumLinha,0)+1</f>
        <v>114</v>
      </c>
      <c r="B359" s="93" t="b">
        <f ca="1">$C359&gt;=OFFSET($C359,CFF.NumLinha,0)</f>
        <v>1</v>
      </c>
      <c r="C359" s="93">
        <f ca="1">INDEX(PO!A$11:A$1504,MATCH($A359,PO!$W$11:$W$1504,0))</f>
        <v>2</v>
      </c>
      <c r="D359" s="93">
        <f ca="1">IF(ISERROR(J359),I359,SMALL(I359:J359,1))-1</f>
        <v>2</v>
      </c>
      <c r="E359" s="93">
        <f ca="1">IF($C359=1,OFFSET(E359,-CFF.NumLinha,0)+1,OFFSET(E359,-CFF.NumLinha,0))</f>
        <v>14</v>
      </c>
      <c r="F359" s="93">
        <f ca="1">IF($C359=1,0,IF($C359=2,OFFSET(F359,-CFF.NumLinha,0)+1,OFFSET(F359,-CFF.NumLinha,0)))</f>
        <v>6</v>
      </c>
      <c r="G359" s="93">
        <f ca="1">IF(AND($C359&lt;=2,$C359&lt;&gt;0),0,IF($C359=3,OFFSET(G359,-CFF.NumLinha,0)+1,OFFSET(G359,-CFF.NumLinha,0)))</f>
        <v>0</v>
      </c>
      <c r="H359" s="93">
        <f ca="1">IF(AND($C359&lt;=3,$C359&lt;&gt;0),0,IF($C359=4,OFFSET(H359,-CFF.NumLinha,0)+1,OFFSET(H359,-CFF.NumLinha,0)))</f>
        <v>0</v>
      </c>
      <c r="I359" s="93">
        <f ca="1">MATCH(0,OFFSET($D359,1,$C359,ROW($A$435)-ROW($A359)),0)</f>
        <v>9</v>
      </c>
      <c r="J359" s="93">
        <f ca="1">MATCH(OFFSET($D359,0,$C359)+1,OFFSET($D359,1,$C359,ROW($A$435)-ROW($A359)),0)</f>
        <v>3</v>
      </c>
      <c r="K359" s="94">
        <f ca="1">ROUND(INDEX(PO!U$11:U$1504,MATCH($A359,PO!$W$11:$W$1504,0)),2)+10^-12</f>
        <v>17064</v>
      </c>
      <c r="L359" s="270"/>
      <c r="M359" s="272"/>
      <c r="N359" s="274"/>
      <c r="O359" s="115" t="s">
        <v>7</v>
      </c>
      <c r="P359" s="108">
        <f t="shared" ref="P359:W359" ca="1" si="234">IF($B359,ROUND(P358*$N357,2),ROUND(SUMIF(OFFSET($B359,1,0,$D359),TRUE,OFFSET(P359,1,0,$D359))/SUMIF(OFFSET($B359,1,0,$D359),TRUE,OFFSET($K359,1,0,$D359))*$N357,2))</f>
        <v>0</v>
      </c>
      <c r="Q359" s="78">
        <f t="shared" ca="1" si="234"/>
        <v>0</v>
      </c>
      <c r="R359" s="78">
        <f t="shared" ca="1" si="234"/>
        <v>0</v>
      </c>
      <c r="S359" s="78">
        <f t="shared" ca="1" si="234"/>
        <v>0</v>
      </c>
      <c r="T359" s="78">
        <f t="shared" ca="1" si="234"/>
        <v>0</v>
      </c>
      <c r="U359" s="78">
        <f t="shared" ca="1" si="234"/>
        <v>0</v>
      </c>
      <c r="V359" s="78">
        <f t="shared" ca="1" si="234"/>
        <v>0</v>
      </c>
      <c r="W359" s="118">
        <f t="shared" ca="1" si="234"/>
        <v>0</v>
      </c>
      <c r="X359" s="105"/>
    </row>
    <row r="360" spans="1:24" customFormat="1" ht="14.25" customHeight="1">
      <c r="A360" s="39"/>
      <c r="B360" s="39"/>
      <c r="C360" s="39"/>
      <c r="D360" s="39"/>
      <c r="E360" s="39"/>
      <c r="F360" s="39"/>
      <c r="G360" s="39"/>
      <c r="H360" s="39"/>
      <c r="I360" s="39"/>
      <c r="J360" s="39"/>
      <c r="K360" s="39"/>
      <c r="L360" s="269" t="str">
        <f ca="1">INDEX(PO!K$11:K$1504,MATCH($A362,PO!$W$11:$W$1504,0))</f>
        <v>14.7.</v>
      </c>
      <c r="M360" s="271" t="str">
        <f ca="1">INDEX(PO!O$11:O$1504,MATCH($A362,PO!$W$11:$W$1504,0))</f>
        <v>Ativdade 101 - Palestra: Financeira, orçamento familiar região Jardim Ikaraí</v>
      </c>
      <c r="N360" s="273">
        <f ca="1">IF(ROUND(K362,2)=0,K362,ROUND(K362,2))</f>
        <v>9618.57</v>
      </c>
      <c r="O360" s="113" t="s">
        <v>33</v>
      </c>
      <c r="P360" s="112"/>
      <c r="Q360" s="59"/>
      <c r="R360" s="59"/>
      <c r="S360" s="59"/>
      <c r="T360" s="59"/>
      <c r="U360" s="59"/>
      <c r="V360" s="59"/>
      <c r="W360" s="59"/>
      <c r="X360" s="105"/>
    </row>
    <row r="361" spans="1:24" customFormat="1" ht="14.25">
      <c r="A361" s="93"/>
      <c r="B361" s="93"/>
      <c r="C361" s="93"/>
      <c r="D361" s="93"/>
      <c r="E361" s="93"/>
      <c r="F361" s="93"/>
      <c r="G361" s="93"/>
      <c r="H361" s="93"/>
      <c r="I361" s="93"/>
      <c r="J361" s="93"/>
      <c r="K361" s="93"/>
      <c r="L361" s="270"/>
      <c r="M361" s="272"/>
      <c r="N361" s="274"/>
      <c r="O361" s="79" t="s">
        <v>35</v>
      </c>
      <c r="P361" s="107">
        <f t="shared" ref="P361:W361" ca="1" si="235">MIN(IF($B362,P360+IF(ISNUMBER(O361),O361,0),P362/$N360),1)</f>
        <v>0</v>
      </c>
      <c r="Q361" s="77">
        <f t="shared" ca="1" si="235"/>
        <v>0</v>
      </c>
      <c r="R361" s="77">
        <f t="shared" ca="1" si="235"/>
        <v>0</v>
      </c>
      <c r="S361" s="77">
        <f t="shared" ca="1" si="235"/>
        <v>0</v>
      </c>
      <c r="T361" s="77">
        <f t="shared" ca="1" si="235"/>
        <v>0</v>
      </c>
      <c r="U361" s="77">
        <f t="shared" ca="1" si="235"/>
        <v>0</v>
      </c>
      <c r="V361" s="77">
        <f t="shared" ca="1" si="235"/>
        <v>0</v>
      </c>
      <c r="W361" s="77">
        <f t="shared" ca="1" si="235"/>
        <v>0</v>
      </c>
      <c r="X361" s="105"/>
    </row>
    <row r="362" spans="1:24" customFormat="1" ht="14.25">
      <c r="A362" s="93">
        <f ca="1">OFFSET(A362,-CFF.NumLinha,0)+1</f>
        <v>115</v>
      </c>
      <c r="B362" s="93" t="b">
        <f ca="1">$C362&gt;=OFFSET($C362,CFF.NumLinha,0)</f>
        <v>1</v>
      </c>
      <c r="C362" s="93">
        <f ca="1">INDEX(PO!A$11:A$1504,MATCH($A362,PO!$W$11:$W$1504,0))</f>
        <v>2</v>
      </c>
      <c r="D362" s="93">
        <f ca="1">IF(ISERROR(J362),I362,SMALL(I362:J362,1))-1</f>
        <v>2</v>
      </c>
      <c r="E362" s="93">
        <f ca="1">IF($C362=1,OFFSET(E362,-CFF.NumLinha,0)+1,OFFSET(E362,-CFF.NumLinha,0))</f>
        <v>14</v>
      </c>
      <c r="F362" s="93">
        <f ca="1">IF($C362=1,0,IF($C362=2,OFFSET(F362,-CFF.NumLinha,0)+1,OFFSET(F362,-CFF.NumLinha,0)))</f>
        <v>7</v>
      </c>
      <c r="G362" s="93">
        <f ca="1">IF(AND($C362&lt;=2,$C362&lt;&gt;0),0,IF($C362=3,OFFSET(G362,-CFF.NumLinha,0)+1,OFFSET(G362,-CFF.NumLinha,0)))</f>
        <v>0</v>
      </c>
      <c r="H362" s="93">
        <f ca="1">IF(AND($C362&lt;=3,$C362&lt;&gt;0),0,IF($C362=4,OFFSET(H362,-CFF.NumLinha,0)+1,OFFSET(H362,-CFF.NumLinha,0)))</f>
        <v>0</v>
      </c>
      <c r="I362" s="93">
        <f ca="1">MATCH(0,OFFSET($D362,1,$C362,ROW($A$435)-ROW($A362)),0)</f>
        <v>6</v>
      </c>
      <c r="J362" s="93">
        <f ca="1">MATCH(OFFSET($D362,0,$C362)+1,OFFSET($D362,1,$C362,ROW($A$435)-ROW($A362)),0)</f>
        <v>3</v>
      </c>
      <c r="K362" s="94">
        <f ca="1">ROUND(INDEX(PO!U$11:U$1504,MATCH($A362,PO!$W$11:$W$1504,0)),2)+10^-12</f>
        <v>9618.5700000000015</v>
      </c>
      <c r="L362" s="270"/>
      <c r="M362" s="272"/>
      <c r="N362" s="274"/>
      <c r="O362" s="115" t="s">
        <v>7</v>
      </c>
      <c r="P362" s="108">
        <f t="shared" ref="P362:W362" ca="1" si="236">IF($B362,ROUND(P361*$N360,2),ROUND(SUMIF(OFFSET($B362,1,0,$D362),TRUE,OFFSET(P362,1,0,$D362))/SUMIF(OFFSET($B362,1,0,$D362),TRUE,OFFSET($K362,1,0,$D362))*$N360,2))</f>
        <v>0</v>
      </c>
      <c r="Q362" s="78">
        <f t="shared" ca="1" si="236"/>
        <v>0</v>
      </c>
      <c r="R362" s="78">
        <f t="shared" ca="1" si="236"/>
        <v>0</v>
      </c>
      <c r="S362" s="78">
        <f t="shared" ca="1" si="236"/>
        <v>0</v>
      </c>
      <c r="T362" s="78">
        <f t="shared" ca="1" si="236"/>
        <v>0</v>
      </c>
      <c r="U362" s="78">
        <f t="shared" ca="1" si="236"/>
        <v>0</v>
      </c>
      <c r="V362" s="78">
        <f t="shared" ca="1" si="236"/>
        <v>0</v>
      </c>
      <c r="W362" s="118">
        <f t="shared" ca="1" si="236"/>
        <v>0</v>
      </c>
      <c r="X362" s="105"/>
    </row>
    <row r="363" spans="1:24" customFormat="1" ht="14.25" customHeight="1">
      <c r="A363" s="39"/>
      <c r="B363" s="39"/>
      <c r="C363" s="39"/>
      <c r="D363" s="39"/>
      <c r="E363" s="39"/>
      <c r="F363" s="39"/>
      <c r="G363" s="39"/>
      <c r="H363" s="39"/>
      <c r="I363" s="39"/>
      <c r="J363" s="39"/>
      <c r="K363" s="39"/>
      <c r="L363" s="269" t="str">
        <f ca="1">INDEX(PO!K$11:K$1504,MATCH($A365,PO!$W$11:$W$1504,0))</f>
        <v>14.8.</v>
      </c>
      <c r="M363" s="271" t="str">
        <f ca="1">INDEX(PO!O$11:O$1504,MATCH($A365,PO!$W$11:$W$1504,0))</f>
        <v>Atividade 102 - Palestra: Financeira e orçamento familiar Bairro: Frutal de Minas e Jardim Paula II</v>
      </c>
      <c r="N363" s="273">
        <f ca="1">IF(ROUND(K365,2)=0,K365,ROUND(K365,2))</f>
        <v>8988.57</v>
      </c>
      <c r="O363" s="113" t="s">
        <v>33</v>
      </c>
      <c r="P363" s="112"/>
      <c r="Q363" s="59"/>
      <c r="R363" s="59"/>
      <c r="S363" s="59"/>
      <c r="T363" s="59"/>
      <c r="U363" s="59"/>
      <c r="V363" s="59"/>
      <c r="W363" s="59"/>
      <c r="X363" s="105"/>
    </row>
    <row r="364" spans="1:24" customFormat="1" ht="14.25">
      <c r="A364" s="93"/>
      <c r="B364" s="93"/>
      <c r="C364" s="93"/>
      <c r="D364" s="93"/>
      <c r="E364" s="93"/>
      <c r="F364" s="93"/>
      <c r="G364" s="93"/>
      <c r="H364" s="93"/>
      <c r="I364" s="93"/>
      <c r="J364" s="93"/>
      <c r="K364" s="93"/>
      <c r="L364" s="270"/>
      <c r="M364" s="272"/>
      <c r="N364" s="274"/>
      <c r="O364" s="79" t="s">
        <v>35</v>
      </c>
      <c r="P364" s="107">
        <f t="shared" ref="P364:W364" ca="1" si="237">MIN(IF($B365,P363+IF(ISNUMBER(O364),O364,0),P365/$N363),1)</f>
        <v>0</v>
      </c>
      <c r="Q364" s="77">
        <f t="shared" ca="1" si="237"/>
        <v>0</v>
      </c>
      <c r="R364" s="77">
        <f t="shared" ca="1" si="237"/>
        <v>0</v>
      </c>
      <c r="S364" s="77">
        <f t="shared" ca="1" si="237"/>
        <v>0</v>
      </c>
      <c r="T364" s="77">
        <f t="shared" ca="1" si="237"/>
        <v>0</v>
      </c>
      <c r="U364" s="77">
        <f t="shared" ca="1" si="237"/>
        <v>0</v>
      </c>
      <c r="V364" s="77">
        <f t="shared" ca="1" si="237"/>
        <v>0</v>
      </c>
      <c r="W364" s="77">
        <f t="shared" ca="1" si="237"/>
        <v>0</v>
      </c>
      <c r="X364" s="105"/>
    </row>
    <row r="365" spans="1:24" customFormat="1" ht="14.25">
      <c r="A365" s="93">
        <f ca="1">OFFSET(A365,-CFF.NumLinha,0)+1</f>
        <v>116</v>
      </c>
      <c r="B365" s="93" t="b">
        <f ca="1">$C365&gt;=OFFSET($C365,CFF.NumLinha,0)</f>
        <v>1</v>
      </c>
      <c r="C365" s="93">
        <f ca="1">INDEX(PO!A$11:A$1504,MATCH($A365,PO!$W$11:$W$1504,0))</f>
        <v>2</v>
      </c>
      <c r="D365" s="93">
        <f ca="1">IF(ISERROR(J365),I365,SMALL(I365:J365,1))-1</f>
        <v>2</v>
      </c>
      <c r="E365" s="93">
        <f ca="1">IF($C365=1,OFFSET(E365,-CFF.NumLinha,0)+1,OFFSET(E365,-CFF.NumLinha,0))</f>
        <v>14</v>
      </c>
      <c r="F365" s="93">
        <f ca="1">IF($C365=1,0,IF($C365=2,OFFSET(F365,-CFF.NumLinha,0)+1,OFFSET(F365,-CFF.NumLinha,0)))</f>
        <v>8</v>
      </c>
      <c r="G365" s="93">
        <f ca="1">IF(AND($C365&lt;=2,$C365&lt;&gt;0),0,IF($C365=3,OFFSET(G365,-CFF.NumLinha,0)+1,OFFSET(G365,-CFF.NumLinha,0)))</f>
        <v>0</v>
      </c>
      <c r="H365" s="93">
        <f ca="1">IF(AND($C365&lt;=3,$C365&lt;&gt;0),0,IF($C365=4,OFFSET(H365,-CFF.NumLinha,0)+1,OFFSET(H365,-CFF.NumLinha,0)))</f>
        <v>0</v>
      </c>
      <c r="I365" s="93">
        <f ca="1">MATCH(0,OFFSET($D365,1,$C365,ROW($A$435)-ROW($A365)),0)</f>
        <v>3</v>
      </c>
      <c r="J365" s="93" t="e">
        <f ca="1">MATCH(OFFSET($D365,0,$C365)+1,OFFSET($D365,1,$C365,ROW($A$435)-ROW($A365)),0)</f>
        <v>#N/A</v>
      </c>
      <c r="K365" s="94">
        <f ca="1">ROUND(INDEX(PO!U$11:U$1504,MATCH($A365,PO!$W$11:$W$1504,0)),2)+10^-12</f>
        <v>8988.5700000000015</v>
      </c>
      <c r="L365" s="270"/>
      <c r="M365" s="272"/>
      <c r="N365" s="274"/>
      <c r="O365" s="115" t="s">
        <v>7</v>
      </c>
      <c r="P365" s="108">
        <f t="shared" ref="P365:W365" ca="1" si="238">IF($B365,ROUND(P364*$N363,2),ROUND(SUMIF(OFFSET($B365,1,0,$D365),TRUE,OFFSET(P365,1,0,$D365))/SUMIF(OFFSET($B365,1,0,$D365),TRUE,OFFSET($K365,1,0,$D365))*$N363,2))</f>
        <v>0</v>
      </c>
      <c r="Q365" s="78">
        <f t="shared" ca="1" si="238"/>
        <v>0</v>
      </c>
      <c r="R365" s="78">
        <f t="shared" ca="1" si="238"/>
        <v>0</v>
      </c>
      <c r="S365" s="78">
        <f t="shared" ca="1" si="238"/>
        <v>0</v>
      </c>
      <c r="T365" s="78">
        <f t="shared" ca="1" si="238"/>
        <v>0</v>
      </c>
      <c r="U365" s="78">
        <f t="shared" ca="1" si="238"/>
        <v>0</v>
      </c>
      <c r="V365" s="78">
        <f t="shared" ca="1" si="238"/>
        <v>0</v>
      </c>
      <c r="W365" s="118">
        <f t="shared" ca="1" si="238"/>
        <v>0</v>
      </c>
      <c r="X365" s="105"/>
    </row>
    <row r="366" spans="1:24" customFormat="1" ht="14.25" customHeight="1">
      <c r="A366" s="39"/>
      <c r="B366" s="39"/>
      <c r="C366" s="39"/>
      <c r="D366" s="39"/>
      <c r="E366" s="39"/>
      <c r="F366" s="39"/>
      <c r="G366" s="39"/>
      <c r="H366" s="39"/>
      <c r="I366" s="39"/>
      <c r="J366" s="39"/>
      <c r="K366" s="39"/>
      <c r="L366" s="269" t="str">
        <f ca="1">INDEX(PO!K$11:K$1504,MATCH($A368,PO!$W$11:$W$1504,0))</f>
        <v>15.</v>
      </c>
      <c r="M366" s="271" t="str">
        <f ca="1">INDEX(PO!O$11:O$1504,MATCH($A368,PO!$W$11:$W$1504,0))</f>
        <v>MÊS 15 - INFORMAÇÕES/PALESTRA E REUNIÃO DE ENCERRAMENTO</v>
      </c>
      <c r="N366" s="273">
        <f ca="1">IF(ROUND(K368,2)=0,K368,ROUND(K368,2))</f>
        <v>36916.47</v>
      </c>
      <c r="O366" s="113" t="s">
        <v>33</v>
      </c>
      <c r="P366" s="112"/>
      <c r="Q366" s="59"/>
      <c r="R366" s="59"/>
      <c r="S366" s="59"/>
      <c r="T366" s="59"/>
      <c r="U366" s="59"/>
      <c r="V366" s="59"/>
      <c r="W366" s="59"/>
      <c r="X366" s="105"/>
    </row>
    <row r="367" spans="1:24" customFormat="1" ht="14.25">
      <c r="A367" s="93"/>
      <c r="B367" s="93"/>
      <c r="C367" s="93"/>
      <c r="D367" s="93"/>
      <c r="E367" s="93"/>
      <c r="F367" s="93"/>
      <c r="G367" s="93"/>
      <c r="H367" s="93"/>
      <c r="I367" s="93"/>
      <c r="J367" s="93"/>
      <c r="K367" s="93"/>
      <c r="L367" s="270"/>
      <c r="M367" s="272"/>
      <c r="N367" s="274"/>
      <c r="O367" s="79" t="s">
        <v>35</v>
      </c>
      <c r="P367" s="107">
        <f t="shared" ref="P367:W367" ca="1" si="239">MIN(IF($B368,P366+IF(ISNUMBER(O367),O367,0),P368/$N366),1)</f>
        <v>0</v>
      </c>
      <c r="Q367" s="77">
        <f t="shared" ca="1" si="239"/>
        <v>0</v>
      </c>
      <c r="R367" s="77">
        <f t="shared" ca="1" si="239"/>
        <v>0</v>
      </c>
      <c r="S367" s="77">
        <f t="shared" ca="1" si="239"/>
        <v>0</v>
      </c>
      <c r="T367" s="77">
        <f t="shared" ca="1" si="239"/>
        <v>0</v>
      </c>
      <c r="U367" s="77">
        <f t="shared" ca="1" si="239"/>
        <v>0</v>
      </c>
      <c r="V367" s="77">
        <f t="shared" ca="1" si="239"/>
        <v>0</v>
      </c>
      <c r="W367" s="77">
        <f t="shared" ca="1" si="239"/>
        <v>0</v>
      </c>
      <c r="X367" s="105"/>
    </row>
    <row r="368" spans="1:24" customFormat="1" ht="14.25">
      <c r="A368" s="93">
        <f ca="1">OFFSET(A368,-CFF.NumLinha,0)+1</f>
        <v>117</v>
      </c>
      <c r="B368" s="93" t="b">
        <f ca="1">$C368&gt;=OFFSET($C368,CFF.NumLinha,0)</f>
        <v>0</v>
      </c>
      <c r="C368" s="93">
        <f ca="1">INDEX(PO!A$11:A$1504,MATCH($A368,PO!$W$11:$W$1504,0))</f>
        <v>1</v>
      </c>
      <c r="D368" s="93">
        <f ca="1">IF(ISERROR(J368),I368,SMALL(I368:J368,1))-1</f>
        <v>17</v>
      </c>
      <c r="E368" s="93">
        <f ca="1">IF($C368=1,OFFSET(E368,-CFF.NumLinha,0)+1,OFFSET(E368,-CFF.NumLinha,0))</f>
        <v>15</v>
      </c>
      <c r="F368" s="93">
        <f ca="1">IF($C368=1,0,IF($C368=2,OFFSET(F368,-CFF.NumLinha,0)+1,OFFSET(F368,-CFF.NumLinha,0)))</f>
        <v>0</v>
      </c>
      <c r="G368" s="93">
        <f ca="1">IF(AND($C368&lt;=2,$C368&lt;&gt;0),0,IF($C368=3,OFFSET(G368,-CFF.NumLinha,0)+1,OFFSET(G368,-CFF.NumLinha,0)))</f>
        <v>0</v>
      </c>
      <c r="H368" s="93">
        <f ca="1">IF(AND($C368&lt;=3,$C368&lt;&gt;0),0,IF($C368=4,OFFSET(H368,-CFF.NumLinha,0)+1,OFFSET(H368,-CFF.NumLinha,0)))</f>
        <v>0</v>
      </c>
      <c r="I368" s="93">
        <f ca="1">MATCH(0,OFFSET($D368,1,$C368,ROW($A$435)-ROW($A368)),0)</f>
        <v>67</v>
      </c>
      <c r="J368" s="93">
        <f ca="1">MATCH(OFFSET($D368,0,$C368)+1,OFFSET($D368,1,$C368,ROW($A$435)-ROW($A368)),0)</f>
        <v>18</v>
      </c>
      <c r="K368" s="94">
        <f ca="1">ROUND(INDEX(PO!U$11:U$1504,MATCH($A368,PO!$W$11:$W$1504,0)),2)+10^-12</f>
        <v>36916.47</v>
      </c>
      <c r="L368" s="270"/>
      <c r="M368" s="272"/>
      <c r="N368" s="274"/>
      <c r="O368" s="115" t="s">
        <v>7</v>
      </c>
      <c r="P368" s="108">
        <f t="shared" ref="P368:W368" ca="1" si="240">IF($B368,ROUND(P367*$N366,2),ROUND(SUMIF(OFFSET($B368,1,0,$D368),TRUE,OFFSET(P368,1,0,$D368))/SUMIF(OFFSET($B368,1,0,$D368),TRUE,OFFSET($K368,1,0,$D368))*$N366,2))</f>
        <v>0</v>
      </c>
      <c r="Q368" s="78">
        <f t="shared" ca="1" si="240"/>
        <v>0</v>
      </c>
      <c r="R368" s="78">
        <f t="shared" ca="1" si="240"/>
        <v>0</v>
      </c>
      <c r="S368" s="78">
        <f t="shared" ca="1" si="240"/>
        <v>0</v>
      </c>
      <c r="T368" s="78">
        <f t="shared" ca="1" si="240"/>
        <v>0</v>
      </c>
      <c r="U368" s="78">
        <f t="shared" ca="1" si="240"/>
        <v>0</v>
      </c>
      <c r="V368" s="78">
        <f t="shared" ca="1" si="240"/>
        <v>0</v>
      </c>
      <c r="W368" s="118">
        <f t="shared" ca="1" si="240"/>
        <v>0</v>
      </c>
      <c r="X368" s="105"/>
    </row>
    <row r="369" spans="1:24" customFormat="1" ht="14.25" customHeight="1">
      <c r="A369" s="39"/>
      <c r="B369" s="39"/>
      <c r="C369" s="39"/>
      <c r="D369" s="39"/>
      <c r="E369" s="39"/>
      <c r="F369" s="39"/>
      <c r="G369" s="39"/>
      <c r="H369" s="39"/>
      <c r="I369" s="39"/>
      <c r="J369" s="39"/>
      <c r="K369" s="39"/>
      <c r="L369" s="269" t="str">
        <f ca="1">INDEX(PO!K$11:K$1504,MATCH($A371,PO!$W$11:$W$1504,0))</f>
        <v>15.1.</v>
      </c>
      <c r="M369" s="271" t="str">
        <f ca="1">INDEX(PO!O$11:O$1504,MATCH($A371,PO!$W$11:$W$1504,0))</f>
        <v>Atividade 103 - Palestra: Cidadania direito convivência sem discriminação e as consequência do uso de drogas região Parque São João</v>
      </c>
      <c r="N369" s="273">
        <f ca="1">IF(ROUND(K371,2)=0,K371,ROUND(K371,2))</f>
        <v>14504.36</v>
      </c>
      <c r="O369" s="113" t="s">
        <v>33</v>
      </c>
      <c r="P369" s="112"/>
      <c r="Q369" s="59"/>
      <c r="R369" s="59"/>
      <c r="S369" s="59"/>
      <c r="T369" s="59"/>
      <c r="U369" s="59"/>
      <c r="V369" s="59"/>
      <c r="W369" s="59"/>
      <c r="X369" s="105"/>
    </row>
    <row r="370" spans="1:24" customFormat="1" ht="14.25">
      <c r="A370" s="93"/>
      <c r="B370" s="93"/>
      <c r="C370" s="93"/>
      <c r="D370" s="93"/>
      <c r="E370" s="93"/>
      <c r="F370" s="93"/>
      <c r="G370" s="93"/>
      <c r="H370" s="93"/>
      <c r="I370" s="93"/>
      <c r="J370" s="93"/>
      <c r="K370" s="93"/>
      <c r="L370" s="270"/>
      <c r="M370" s="272"/>
      <c r="N370" s="274"/>
      <c r="O370" s="79" t="s">
        <v>35</v>
      </c>
      <c r="P370" s="107">
        <f t="shared" ref="P370:W370" ca="1" si="241">MIN(IF($B371,P369+IF(ISNUMBER(O370),O370,0),P371/$N369),1)</f>
        <v>0</v>
      </c>
      <c r="Q370" s="77">
        <f t="shared" ca="1" si="241"/>
        <v>0</v>
      </c>
      <c r="R370" s="77">
        <f t="shared" ca="1" si="241"/>
        <v>0</v>
      </c>
      <c r="S370" s="77">
        <f t="shared" ca="1" si="241"/>
        <v>0</v>
      </c>
      <c r="T370" s="77">
        <f t="shared" ca="1" si="241"/>
        <v>0</v>
      </c>
      <c r="U370" s="77">
        <f t="shared" ca="1" si="241"/>
        <v>0</v>
      </c>
      <c r="V370" s="77">
        <f t="shared" ca="1" si="241"/>
        <v>0</v>
      </c>
      <c r="W370" s="77">
        <f t="shared" ca="1" si="241"/>
        <v>0</v>
      </c>
      <c r="X370" s="105"/>
    </row>
    <row r="371" spans="1:24" customFormat="1" ht="14.25">
      <c r="A371" s="93">
        <f ca="1">OFFSET(A371,-CFF.NumLinha,0)+1</f>
        <v>118</v>
      </c>
      <c r="B371" s="93" t="b">
        <f ca="1">$C371&gt;=OFFSET($C371,CFF.NumLinha,0)</f>
        <v>1</v>
      </c>
      <c r="C371" s="93">
        <f ca="1">INDEX(PO!A$11:A$1504,MATCH($A371,PO!$W$11:$W$1504,0))</f>
        <v>2</v>
      </c>
      <c r="D371" s="93">
        <f ca="1">IF(ISERROR(J371),I371,SMALL(I371:J371,1))-1</f>
        <v>2</v>
      </c>
      <c r="E371" s="93">
        <f ca="1">IF($C371=1,OFFSET(E371,-CFF.NumLinha,0)+1,OFFSET(E371,-CFF.NumLinha,0))</f>
        <v>15</v>
      </c>
      <c r="F371" s="93">
        <f ca="1">IF($C371=1,0,IF($C371=2,OFFSET(F371,-CFF.NumLinha,0)+1,OFFSET(F371,-CFF.NumLinha,0)))</f>
        <v>1</v>
      </c>
      <c r="G371" s="93">
        <f ca="1">IF(AND($C371&lt;=2,$C371&lt;&gt;0),0,IF($C371=3,OFFSET(G371,-CFF.NumLinha,0)+1,OFFSET(G371,-CFF.NumLinha,0)))</f>
        <v>0</v>
      </c>
      <c r="H371" s="93">
        <f ca="1">IF(AND($C371&lt;=3,$C371&lt;&gt;0),0,IF($C371=4,OFFSET(H371,-CFF.NumLinha,0)+1,OFFSET(H371,-CFF.NumLinha,0)))</f>
        <v>0</v>
      </c>
      <c r="I371" s="93">
        <f ca="1">MATCH(0,OFFSET($D371,1,$C371,ROW($A$435)-ROW($A371)),0)</f>
        <v>15</v>
      </c>
      <c r="J371" s="93">
        <f ca="1">MATCH(OFFSET($D371,0,$C371)+1,OFFSET($D371,1,$C371,ROW($A$435)-ROW($A371)),0)</f>
        <v>3</v>
      </c>
      <c r="K371" s="94">
        <f ca="1">ROUND(INDEX(PO!U$11:U$1504,MATCH($A371,PO!$W$11:$W$1504,0)),2)+10^-12</f>
        <v>14504.360000000002</v>
      </c>
      <c r="L371" s="270"/>
      <c r="M371" s="272"/>
      <c r="N371" s="274"/>
      <c r="O371" s="115" t="s">
        <v>7</v>
      </c>
      <c r="P371" s="108">
        <f t="shared" ref="P371:W371" ca="1" si="242">IF($B371,ROUND(P370*$N369,2),ROUND(SUMIF(OFFSET($B371,1,0,$D371),TRUE,OFFSET(P371,1,0,$D371))/SUMIF(OFFSET($B371,1,0,$D371),TRUE,OFFSET($K371,1,0,$D371))*$N369,2))</f>
        <v>0</v>
      </c>
      <c r="Q371" s="78">
        <f t="shared" ca="1" si="242"/>
        <v>0</v>
      </c>
      <c r="R371" s="78">
        <f t="shared" ca="1" si="242"/>
        <v>0</v>
      </c>
      <c r="S371" s="78">
        <f t="shared" ca="1" si="242"/>
        <v>0</v>
      </c>
      <c r="T371" s="78">
        <f t="shared" ca="1" si="242"/>
        <v>0</v>
      </c>
      <c r="U371" s="78">
        <f t="shared" ca="1" si="242"/>
        <v>0</v>
      </c>
      <c r="V371" s="78">
        <f t="shared" ca="1" si="242"/>
        <v>0</v>
      </c>
      <c r="W371" s="118">
        <f t="shared" ca="1" si="242"/>
        <v>0</v>
      </c>
      <c r="X371" s="105"/>
    </row>
    <row r="372" spans="1:24" customFormat="1" ht="14.25" customHeight="1">
      <c r="A372" s="39"/>
      <c r="B372" s="39"/>
      <c r="C372" s="39"/>
      <c r="D372" s="39"/>
      <c r="E372" s="39"/>
      <c r="F372" s="39"/>
      <c r="G372" s="39"/>
      <c r="H372" s="39"/>
      <c r="I372" s="39"/>
      <c r="J372" s="39"/>
      <c r="K372" s="39"/>
      <c r="L372" s="269" t="str">
        <f ca="1">INDEX(PO!K$11:K$1504,MATCH($A374,PO!$W$11:$W$1504,0))</f>
        <v>15.2.</v>
      </c>
      <c r="M372" s="271" t="str">
        <f ca="1">INDEX(PO!O$11:O$1504,MATCH($A374,PO!$W$11:$W$1504,0))</f>
        <v>Atividade 104 - Plantão Social região Parque São João</v>
      </c>
      <c r="N372" s="273">
        <f ca="1">IF(ROUND(K374,2)=0,K374,ROUND(K374,2))</f>
        <v>1754.96</v>
      </c>
      <c r="O372" s="113" t="s">
        <v>33</v>
      </c>
      <c r="P372" s="112"/>
      <c r="Q372" s="59"/>
      <c r="R372" s="59"/>
      <c r="S372" s="59"/>
      <c r="T372" s="59"/>
      <c r="U372" s="59"/>
      <c r="V372" s="59"/>
      <c r="W372" s="59"/>
      <c r="X372" s="105"/>
    </row>
    <row r="373" spans="1:24" customFormat="1" ht="14.25">
      <c r="A373" s="93"/>
      <c r="B373" s="93"/>
      <c r="C373" s="93"/>
      <c r="D373" s="93"/>
      <c r="E373" s="93"/>
      <c r="F373" s="93"/>
      <c r="G373" s="93"/>
      <c r="H373" s="93"/>
      <c r="I373" s="93"/>
      <c r="J373" s="93"/>
      <c r="K373" s="93"/>
      <c r="L373" s="270"/>
      <c r="M373" s="272"/>
      <c r="N373" s="274"/>
      <c r="O373" s="79" t="s">
        <v>35</v>
      </c>
      <c r="P373" s="107">
        <f t="shared" ref="P373:W373" ca="1" si="243">MIN(IF($B374,P372+IF(ISNUMBER(O373),O373,0),P374/$N372),1)</f>
        <v>0</v>
      </c>
      <c r="Q373" s="77">
        <f t="shared" ca="1" si="243"/>
        <v>0</v>
      </c>
      <c r="R373" s="77">
        <f t="shared" ca="1" si="243"/>
        <v>0</v>
      </c>
      <c r="S373" s="77">
        <f t="shared" ca="1" si="243"/>
        <v>0</v>
      </c>
      <c r="T373" s="77">
        <f t="shared" ca="1" si="243"/>
        <v>0</v>
      </c>
      <c r="U373" s="77">
        <f t="shared" ca="1" si="243"/>
        <v>0</v>
      </c>
      <c r="V373" s="77">
        <f t="shared" ca="1" si="243"/>
        <v>0</v>
      </c>
      <c r="W373" s="77">
        <f t="shared" ca="1" si="243"/>
        <v>0</v>
      </c>
      <c r="X373" s="105"/>
    </row>
    <row r="374" spans="1:24" customFormat="1" ht="14.25">
      <c r="A374" s="93">
        <f ca="1">OFFSET(A374,-CFF.NumLinha,0)+1</f>
        <v>119</v>
      </c>
      <c r="B374" s="93" t="b">
        <f ca="1">$C374&gt;=OFFSET($C374,CFF.NumLinha,0)</f>
        <v>1</v>
      </c>
      <c r="C374" s="93">
        <f ca="1">INDEX(PO!A$11:A$1504,MATCH($A374,PO!$W$11:$W$1504,0))</f>
        <v>2</v>
      </c>
      <c r="D374" s="93">
        <f ca="1">IF(ISERROR(J374),I374,SMALL(I374:J374,1))-1</f>
        <v>2</v>
      </c>
      <c r="E374" s="93">
        <f ca="1">IF($C374=1,OFFSET(E374,-CFF.NumLinha,0)+1,OFFSET(E374,-CFF.NumLinha,0))</f>
        <v>15</v>
      </c>
      <c r="F374" s="93">
        <f ca="1">IF($C374=1,0,IF($C374=2,OFFSET(F374,-CFF.NumLinha,0)+1,OFFSET(F374,-CFF.NumLinha,0)))</f>
        <v>2</v>
      </c>
      <c r="G374" s="93">
        <f ca="1">IF(AND($C374&lt;=2,$C374&lt;&gt;0),0,IF($C374=3,OFFSET(G374,-CFF.NumLinha,0)+1,OFFSET(G374,-CFF.NumLinha,0)))</f>
        <v>0</v>
      </c>
      <c r="H374" s="93">
        <f ca="1">IF(AND($C374&lt;=3,$C374&lt;&gt;0),0,IF($C374=4,OFFSET(H374,-CFF.NumLinha,0)+1,OFFSET(H374,-CFF.NumLinha,0)))</f>
        <v>0</v>
      </c>
      <c r="I374" s="93">
        <f ca="1">MATCH(0,OFFSET($D374,1,$C374,ROW($A$435)-ROW($A374)),0)</f>
        <v>12</v>
      </c>
      <c r="J374" s="93">
        <f ca="1">MATCH(OFFSET($D374,0,$C374)+1,OFFSET($D374,1,$C374,ROW($A$435)-ROW($A374)),0)</f>
        <v>3</v>
      </c>
      <c r="K374" s="94">
        <f ca="1">ROUND(INDEX(PO!U$11:U$1504,MATCH($A374,PO!$W$11:$W$1504,0)),2)+10^-12</f>
        <v>1754.9600000000009</v>
      </c>
      <c r="L374" s="270"/>
      <c r="M374" s="272"/>
      <c r="N374" s="274"/>
      <c r="O374" s="115" t="s">
        <v>7</v>
      </c>
      <c r="P374" s="108">
        <f t="shared" ref="P374:W374" ca="1" si="244">IF($B374,ROUND(P373*$N372,2),ROUND(SUMIF(OFFSET($B374,1,0,$D374),TRUE,OFFSET(P374,1,0,$D374))/SUMIF(OFFSET($B374,1,0,$D374),TRUE,OFFSET($K374,1,0,$D374))*$N372,2))</f>
        <v>0</v>
      </c>
      <c r="Q374" s="78">
        <f t="shared" ca="1" si="244"/>
        <v>0</v>
      </c>
      <c r="R374" s="78">
        <f t="shared" ca="1" si="244"/>
        <v>0</v>
      </c>
      <c r="S374" s="78">
        <f t="shared" ca="1" si="244"/>
        <v>0</v>
      </c>
      <c r="T374" s="78">
        <f t="shared" ca="1" si="244"/>
        <v>0</v>
      </c>
      <c r="U374" s="78">
        <f t="shared" ca="1" si="244"/>
        <v>0</v>
      </c>
      <c r="V374" s="78">
        <f t="shared" ca="1" si="244"/>
        <v>0</v>
      </c>
      <c r="W374" s="118">
        <f t="shared" ca="1" si="244"/>
        <v>0</v>
      </c>
      <c r="X374" s="105"/>
    </row>
    <row r="375" spans="1:24" customFormat="1" ht="14.25" customHeight="1">
      <c r="A375" s="39"/>
      <c r="B375" s="39"/>
      <c r="C375" s="39"/>
      <c r="D375" s="39"/>
      <c r="E375" s="39"/>
      <c r="F375" s="39"/>
      <c r="G375" s="39"/>
      <c r="H375" s="39"/>
      <c r="I375" s="39"/>
      <c r="J375" s="39"/>
      <c r="K375" s="39"/>
      <c r="L375" s="269" t="str">
        <f ca="1">INDEX(PO!K$11:K$1504,MATCH($A377,PO!$W$11:$W$1504,0))</f>
        <v>15.3.</v>
      </c>
      <c r="M375" s="271" t="str">
        <f ca="1">INDEX(PO!O$11:O$1504,MATCH($A377,PO!$W$11:$W$1504,0))</f>
        <v>Atividade 105 - Palestra: Cidadania direitos e convivência sem discriminação e as consequências do uso de drogas região Jardim Ikaraí</v>
      </c>
      <c r="N375" s="273">
        <f ca="1">IF(ROUND(K377,2)=0,K377,ROUND(K377,2))</f>
        <v>8463.56</v>
      </c>
      <c r="O375" s="113" t="s">
        <v>33</v>
      </c>
      <c r="P375" s="112"/>
      <c r="Q375" s="59"/>
      <c r="R375" s="59"/>
      <c r="S375" s="59"/>
      <c r="T375" s="59"/>
      <c r="U375" s="59"/>
      <c r="V375" s="59"/>
      <c r="W375" s="59"/>
      <c r="X375" s="105"/>
    </row>
    <row r="376" spans="1:24" customFormat="1" ht="14.25">
      <c r="A376" s="93"/>
      <c r="B376" s="93"/>
      <c r="C376" s="93"/>
      <c r="D376" s="93"/>
      <c r="E376" s="93"/>
      <c r="F376" s="93"/>
      <c r="G376" s="93"/>
      <c r="H376" s="93"/>
      <c r="I376" s="93"/>
      <c r="J376" s="93"/>
      <c r="K376" s="93"/>
      <c r="L376" s="270"/>
      <c r="M376" s="272"/>
      <c r="N376" s="274"/>
      <c r="O376" s="79" t="s">
        <v>35</v>
      </c>
      <c r="P376" s="107">
        <f t="shared" ref="P376:W376" ca="1" si="245">MIN(IF($B377,P375+IF(ISNUMBER(O376),O376,0),P377/$N375),1)</f>
        <v>0</v>
      </c>
      <c r="Q376" s="77">
        <f t="shared" ca="1" si="245"/>
        <v>0</v>
      </c>
      <c r="R376" s="77">
        <f t="shared" ca="1" si="245"/>
        <v>0</v>
      </c>
      <c r="S376" s="77">
        <f t="shared" ca="1" si="245"/>
        <v>0</v>
      </c>
      <c r="T376" s="77">
        <f t="shared" ca="1" si="245"/>
        <v>0</v>
      </c>
      <c r="U376" s="77">
        <f t="shared" ca="1" si="245"/>
        <v>0</v>
      </c>
      <c r="V376" s="77">
        <f t="shared" ca="1" si="245"/>
        <v>0</v>
      </c>
      <c r="W376" s="77">
        <f t="shared" ca="1" si="245"/>
        <v>0</v>
      </c>
      <c r="X376" s="105"/>
    </row>
    <row r="377" spans="1:24" customFormat="1" ht="14.25">
      <c r="A377" s="93">
        <f ca="1">OFFSET(A377,-CFF.NumLinha,0)+1</f>
        <v>120</v>
      </c>
      <c r="B377" s="93" t="b">
        <f ca="1">$C377&gt;=OFFSET($C377,CFF.NumLinha,0)</f>
        <v>1</v>
      </c>
      <c r="C377" s="93">
        <f ca="1">INDEX(PO!A$11:A$1504,MATCH($A377,PO!$W$11:$W$1504,0))</f>
        <v>2</v>
      </c>
      <c r="D377" s="93">
        <f ca="1">IF(ISERROR(J377),I377,SMALL(I377:J377,1))-1</f>
        <v>2</v>
      </c>
      <c r="E377" s="93">
        <f ca="1">IF($C377=1,OFFSET(E377,-CFF.NumLinha,0)+1,OFFSET(E377,-CFF.NumLinha,0))</f>
        <v>15</v>
      </c>
      <c r="F377" s="93">
        <f ca="1">IF($C377=1,0,IF($C377=2,OFFSET(F377,-CFF.NumLinha,0)+1,OFFSET(F377,-CFF.NumLinha,0)))</f>
        <v>3</v>
      </c>
      <c r="G377" s="93">
        <f ca="1">IF(AND($C377&lt;=2,$C377&lt;&gt;0),0,IF($C377=3,OFFSET(G377,-CFF.NumLinha,0)+1,OFFSET(G377,-CFF.NumLinha,0)))</f>
        <v>0</v>
      </c>
      <c r="H377" s="93">
        <f ca="1">IF(AND($C377&lt;=3,$C377&lt;&gt;0),0,IF($C377=4,OFFSET(H377,-CFF.NumLinha,0)+1,OFFSET(H377,-CFF.NumLinha,0)))</f>
        <v>0</v>
      </c>
      <c r="I377" s="93">
        <f ca="1">MATCH(0,OFFSET($D377,1,$C377,ROW($A$435)-ROW($A377)),0)</f>
        <v>9</v>
      </c>
      <c r="J377" s="93">
        <f ca="1">MATCH(OFFSET($D377,0,$C377)+1,OFFSET($D377,1,$C377,ROW($A$435)-ROW($A377)),0)</f>
        <v>3</v>
      </c>
      <c r="K377" s="94">
        <f ca="1">ROUND(INDEX(PO!U$11:U$1504,MATCH($A377,PO!$W$11:$W$1504,0)),2)+10^-12</f>
        <v>8463.5600000000013</v>
      </c>
      <c r="L377" s="270"/>
      <c r="M377" s="272"/>
      <c r="N377" s="274"/>
      <c r="O377" s="115" t="s">
        <v>7</v>
      </c>
      <c r="P377" s="108">
        <f t="shared" ref="P377:W377" ca="1" si="246">IF($B377,ROUND(P376*$N375,2),ROUND(SUMIF(OFFSET($B377,1,0,$D377),TRUE,OFFSET(P377,1,0,$D377))/SUMIF(OFFSET($B377,1,0,$D377),TRUE,OFFSET($K377,1,0,$D377))*$N375,2))</f>
        <v>0</v>
      </c>
      <c r="Q377" s="78">
        <f t="shared" ca="1" si="246"/>
        <v>0</v>
      </c>
      <c r="R377" s="78">
        <f t="shared" ca="1" si="246"/>
        <v>0</v>
      </c>
      <c r="S377" s="78">
        <f t="shared" ca="1" si="246"/>
        <v>0</v>
      </c>
      <c r="T377" s="78">
        <f t="shared" ca="1" si="246"/>
        <v>0</v>
      </c>
      <c r="U377" s="78">
        <f t="shared" ca="1" si="246"/>
        <v>0</v>
      </c>
      <c r="V377" s="78">
        <f t="shared" ca="1" si="246"/>
        <v>0</v>
      </c>
      <c r="W377" s="118">
        <f t="shared" ca="1" si="246"/>
        <v>0</v>
      </c>
      <c r="X377" s="105"/>
    </row>
    <row r="378" spans="1:24" customFormat="1" ht="14.25" customHeight="1">
      <c r="A378" s="39"/>
      <c r="B378" s="39"/>
      <c r="C378" s="39"/>
      <c r="D378" s="39"/>
      <c r="E378" s="39"/>
      <c r="F378" s="39"/>
      <c r="G378" s="39"/>
      <c r="H378" s="39"/>
      <c r="I378" s="39"/>
      <c r="J378" s="39"/>
      <c r="K378" s="39"/>
      <c r="L378" s="269" t="str">
        <f ca="1">INDEX(PO!K$11:K$1504,MATCH($A380,PO!$W$11:$W$1504,0))</f>
        <v>15.4.</v>
      </c>
      <c r="M378" s="271" t="str">
        <f ca="1">INDEX(PO!O$11:O$1504,MATCH($A380,PO!$W$11:$W$1504,0))</f>
        <v>Atividade 106 - Plantão Social região Jardim Ikaraí</v>
      </c>
      <c r="N378" s="273">
        <f ca="1">IF(ROUND(K380,2)=0,K380,ROUND(K380,2))</f>
        <v>2089.48</v>
      </c>
      <c r="O378" s="113" t="s">
        <v>33</v>
      </c>
      <c r="P378" s="112"/>
      <c r="Q378" s="59"/>
      <c r="R378" s="59"/>
      <c r="S378" s="59"/>
      <c r="T378" s="59"/>
      <c r="U378" s="59"/>
      <c r="V378" s="59"/>
      <c r="W378" s="59"/>
      <c r="X378" s="105"/>
    </row>
    <row r="379" spans="1:24" customFormat="1" ht="14.25">
      <c r="A379" s="93"/>
      <c r="B379" s="93"/>
      <c r="C379" s="93"/>
      <c r="D379" s="93"/>
      <c r="E379" s="93"/>
      <c r="F379" s="93"/>
      <c r="G379" s="93"/>
      <c r="H379" s="93"/>
      <c r="I379" s="93"/>
      <c r="J379" s="93"/>
      <c r="K379" s="93"/>
      <c r="L379" s="270"/>
      <c r="M379" s="272"/>
      <c r="N379" s="274"/>
      <c r="O379" s="79" t="s">
        <v>35</v>
      </c>
      <c r="P379" s="107">
        <f t="shared" ref="P379:W379" ca="1" si="247">MIN(IF($B380,P378+IF(ISNUMBER(O379),O379,0),P380/$N378),1)</f>
        <v>0</v>
      </c>
      <c r="Q379" s="77">
        <f t="shared" ca="1" si="247"/>
        <v>0</v>
      </c>
      <c r="R379" s="77">
        <f t="shared" ca="1" si="247"/>
        <v>0</v>
      </c>
      <c r="S379" s="77">
        <f t="shared" ca="1" si="247"/>
        <v>0</v>
      </c>
      <c r="T379" s="77">
        <f t="shared" ca="1" si="247"/>
        <v>0</v>
      </c>
      <c r="U379" s="77">
        <f t="shared" ca="1" si="247"/>
        <v>0</v>
      </c>
      <c r="V379" s="77">
        <f t="shared" ca="1" si="247"/>
        <v>0</v>
      </c>
      <c r="W379" s="77">
        <f t="shared" ca="1" si="247"/>
        <v>0</v>
      </c>
      <c r="X379" s="105"/>
    </row>
    <row r="380" spans="1:24" customFormat="1" ht="14.25">
      <c r="A380" s="93">
        <f ca="1">OFFSET(A380,-CFF.NumLinha,0)+1</f>
        <v>121</v>
      </c>
      <c r="B380" s="93" t="b">
        <f ca="1">$C380&gt;=OFFSET($C380,CFF.NumLinha,0)</f>
        <v>1</v>
      </c>
      <c r="C380" s="93">
        <f ca="1">INDEX(PO!A$11:A$1504,MATCH($A380,PO!$W$11:$W$1504,0))</f>
        <v>2</v>
      </c>
      <c r="D380" s="93">
        <f ca="1">IF(ISERROR(J380),I380,SMALL(I380:J380,1))-1</f>
        <v>2</v>
      </c>
      <c r="E380" s="93">
        <f ca="1">IF($C380=1,OFFSET(E380,-CFF.NumLinha,0)+1,OFFSET(E380,-CFF.NumLinha,0))</f>
        <v>15</v>
      </c>
      <c r="F380" s="93">
        <f ca="1">IF($C380=1,0,IF($C380=2,OFFSET(F380,-CFF.NumLinha,0)+1,OFFSET(F380,-CFF.NumLinha,0)))</f>
        <v>4</v>
      </c>
      <c r="G380" s="93">
        <f ca="1">IF(AND($C380&lt;=2,$C380&lt;&gt;0),0,IF($C380=3,OFFSET(G380,-CFF.NumLinha,0)+1,OFFSET(G380,-CFF.NumLinha,0)))</f>
        <v>0</v>
      </c>
      <c r="H380" s="93">
        <f ca="1">IF(AND($C380&lt;=3,$C380&lt;&gt;0),0,IF($C380=4,OFFSET(H380,-CFF.NumLinha,0)+1,OFFSET(H380,-CFF.NumLinha,0)))</f>
        <v>0</v>
      </c>
      <c r="I380" s="93">
        <f ca="1">MATCH(0,OFFSET($D380,1,$C380,ROW($A$435)-ROW($A380)),0)</f>
        <v>6</v>
      </c>
      <c r="J380" s="93">
        <f ca="1">MATCH(OFFSET($D380,0,$C380)+1,OFFSET($D380,1,$C380,ROW($A$435)-ROW($A380)),0)</f>
        <v>3</v>
      </c>
      <c r="K380" s="94">
        <f ca="1">ROUND(INDEX(PO!U$11:U$1504,MATCH($A380,PO!$W$11:$W$1504,0)),2)+10^-12</f>
        <v>2089.4800000000009</v>
      </c>
      <c r="L380" s="270"/>
      <c r="M380" s="272"/>
      <c r="N380" s="274"/>
      <c r="O380" s="115" t="s">
        <v>7</v>
      </c>
      <c r="P380" s="108">
        <f t="shared" ref="P380:W380" ca="1" si="248">IF($B380,ROUND(P379*$N378,2),ROUND(SUMIF(OFFSET($B380,1,0,$D380),TRUE,OFFSET(P380,1,0,$D380))/SUMIF(OFFSET($B380,1,0,$D380),TRUE,OFFSET($K380,1,0,$D380))*$N378,2))</f>
        <v>0</v>
      </c>
      <c r="Q380" s="78">
        <f t="shared" ca="1" si="248"/>
        <v>0</v>
      </c>
      <c r="R380" s="78">
        <f t="shared" ca="1" si="248"/>
        <v>0</v>
      </c>
      <c r="S380" s="78">
        <f t="shared" ca="1" si="248"/>
        <v>0</v>
      </c>
      <c r="T380" s="78">
        <f t="shared" ca="1" si="248"/>
        <v>0</v>
      </c>
      <c r="U380" s="78">
        <f t="shared" ca="1" si="248"/>
        <v>0</v>
      </c>
      <c r="V380" s="78">
        <f t="shared" ca="1" si="248"/>
        <v>0</v>
      </c>
      <c r="W380" s="118">
        <f t="shared" ca="1" si="248"/>
        <v>0</v>
      </c>
      <c r="X380" s="105"/>
    </row>
    <row r="381" spans="1:24" customFormat="1" ht="14.25" customHeight="1">
      <c r="A381" s="39"/>
      <c r="B381" s="39"/>
      <c r="C381" s="39"/>
      <c r="D381" s="39"/>
      <c r="E381" s="39"/>
      <c r="F381" s="39"/>
      <c r="G381" s="39"/>
      <c r="H381" s="39"/>
      <c r="I381" s="39"/>
      <c r="J381" s="39"/>
      <c r="K381" s="39"/>
      <c r="L381" s="269" t="str">
        <f ca="1">INDEX(PO!K$11:K$1504,MATCH($A383,PO!$W$11:$W$1504,0))</f>
        <v>15.5.</v>
      </c>
      <c r="M381" s="271" t="str">
        <f ca="1">INDEX(PO!O$11:O$1504,MATCH($A383,PO!$W$11:$W$1504,0))</f>
        <v>Atividade 107 - Plaestra: Cidadania direito e convivência sem discriminação e as consequência de uso das drogas Bairro: Frutal de Minas e Jardim Paula II</v>
      </c>
      <c r="N381" s="273">
        <f ca="1">IF(ROUND(K383,2)=0,K383,ROUND(K383,2))</f>
        <v>10104.11</v>
      </c>
      <c r="O381" s="113" t="s">
        <v>33</v>
      </c>
      <c r="P381" s="112"/>
      <c r="Q381" s="59"/>
      <c r="R381" s="59"/>
      <c r="S381" s="59"/>
      <c r="T381" s="59"/>
      <c r="U381" s="59"/>
      <c r="V381" s="59"/>
      <c r="W381" s="59"/>
      <c r="X381" s="105"/>
    </row>
    <row r="382" spans="1:24" customFormat="1" ht="14.25">
      <c r="A382" s="93"/>
      <c r="B382" s="93"/>
      <c r="C382" s="93"/>
      <c r="D382" s="93"/>
      <c r="E382" s="93"/>
      <c r="F382" s="93"/>
      <c r="G382" s="93"/>
      <c r="H382" s="93"/>
      <c r="I382" s="93"/>
      <c r="J382" s="93"/>
      <c r="K382" s="93"/>
      <c r="L382" s="270"/>
      <c r="M382" s="272"/>
      <c r="N382" s="274"/>
      <c r="O382" s="79" t="s">
        <v>35</v>
      </c>
      <c r="P382" s="107">
        <f t="shared" ref="P382:W382" ca="1" si="249">MIN(IF($B383,P381+IF(ISNUMBER(O382),O382,0),P383/$N381),1)</f>
        <v>0</v>
      </c>
      <c r="Q382" s="77">
        <f t="shared" ca="1" si="249"/>
        <v>0</v>
      </c>
      <c r="R382" s="77">
        <f t="shared" ca="1" si="249"/>
        <v>0</v>
      </c>
      <c r="S382" s="77">
        <f t="shared" ca="1" si="249"/>
        <v>0</v>
      </c>
      <c r="T382" s="77">
        <f t="shared" ca="1" si="249"/>
        <v>0</v>
      </c>
      <c r="U382" s="77">
        <f t="shared" ca="1" si="249"/>
        <v>0</v>
      </c>
      <c r="V382" s="77">
        <f t="shared" ca="1" si="249"/>
        <v>0</v>
      </c>
      <c r="W382" s="77">
        <f t="shared" ca="1" si="249"/>
        <v>0</v>
      </c>
      <c r="X382" s="105"/>
    </row>
    <row r="383" spans="1:24" customFormat="1" ht="14.25">
      <c r="A383" s="93">
        <f ca="1">OFFSET(A383,-CFF.NumLinha,0)+1</f>
        <v>122</v>
      </c>
      <c r="B383" s="93" t="b">
        <f ca="1">$C383&gt;=OFFSET($C383,CFF.NumLinha,0)</f>
        <v>1</v>
      </c>
      <c r="C383" s="93">
        <f ca="1">INDEX(PO!A$11:A$1504,MATCH($A383,PO!$W$11:$W$1504,0))</f>
        <v>2</v>
      </c>
      <c r="D383" s="93">
        <f ca="1">IF(ISERROR(J383),I383,SMALL(I383:J383,1))-1</f>
        <v>2</v>
      </c>
      <c r="E383" s="93">
        <f ca="1">IF($C383=1,OFFSET(E383,-CFF.NumLinha,0)+1,OFFSET(E383,-CFF.NumLinha,0))</f>
        <v>15</v>
      </c>
      <c r="F383" s="93">
        <f ca="1">IF($C383=1,0,IF($C383=2,OFFSET(F383,-CFF.NumLinha,0)+1,OFFSET(F383,-CFF.NumLinha,0)))</f>
        <v>5</v>
      </c>
      <c r="G383" s="93">
        <f ca="1">IF(AND($C383&lt;=2,$C383&lt;&gt;0),0,IF($C383=3,OFFSET(G383,-CFF.NumLinha,0)+1,OFFSET(G383,-CFF.NumLinha,0)))</f>
        <v>0</v>
      </c>
      <c r="H383" s="93">
        <f ca="1">IF(AND($C383&lt;=3,$C383&lt;&gt;0),0,IF($C383=4,OFFSET(H383,-CFF.NumLinha,0)+1,OFFSET(H383,-CFF.NumLinha,0)))</f>
        <v>0</v>
      </c>
      <c r="I383" s="93">
        <f ca="1">MATCH(0,OFFSET($D383,1,$C383,ROW($A$435)-ROW($A383)),0)</f>
        <v>3</v>
      </c>
      <c r="J383" s="93" t="e">
        <f ca="1">MATCH(OFFSET($D383,0,$C383)+1,OFFSET($D383,1,$C383,ROW($A$435)-ROW($A383)),0)</f>
        <v>#N/A</v>
      </c>
      <c r="K383" s="94">
        <f ca="1">ROUND(INDEX(PO!U$11:U$1504,MATCH($A383,PO!$W$11:$W$1504,0)),2)+10^-12</f>
        <v>10104.110000000002</v>
      </c>
      <c r="L383" s="270"/>
      <c r="M383" s="272"/>
      <c r="N383" s="274"/>
      <c r="O383" s="115" t="s">
        <v>7</v>
      </c>
      <c r="P383" s="108">
        <f t="shared" ref="P383:W383" ca="1" si="250">IF($B383,ROUND(P382*$N381,2),ROUND(SUMIF(OFFSET($B383,1,0,$D383),TRUE,OFFSET(P383,1,0,$D383))/SUMIF(OFFSET($B383,1,0,$D383),TRUE,OFFSET($K383,1,0,$D383))*$N381,2))</f>
        <v>0</v>
      </c>
      <c r="Q383" s="78">
        <f t="shared" ca="1" si="250"/>
        <v>0</v>
      </c>
      <c r="R383" s="78">
        <f t="shared" ca="1" si="250"/>
        <v>0</v>
      </c>
      <c r="S383" s="78">
        <f t="shared" ca="1" si="250"/>
        <v>0</v>
      </c>
      <c r="T383" s="78">
        <f t="shared" ca="1" si="250"/>
        <v>0</v>
      </c>
      <c r="U383" s="78">
        <f t="shared" ca="1" si="250"/>
        <v>0</v>
      </c>
      <c r="V383" s="78">
        <f t="shared" ca="1" si="250"/>
        <v>0</v>
      </c>
      <c r="W383" s="118">
        <f t="shared" ca="1" si="250"/>
        <v>0</v>
      </c>
      <c r="X383" s="105"/>
    </row>
    <row r="384" spans="1:24" customFormat="1" ht="14.25" customHeight="1">
      <c r="A384" s="39"/>
      <c r="B384" s="39"/>
      <c r="C384" s="39"/>
      <c r="D384" s="39"/>
      <c r="E384" s="39"/>
      <c r="F384" s="39"/>
      <c r="G384" s="39"/>
      <c r="H384" s="39"/>
      <c r="I384" s="39"/>
      <c r="J384" s="39"/>
      <c r="K384" s="39"/>
      <c r="L384" s="269" t="str">
        <f ca="1">INDEX(PO!K$11:K$1504,MATCH($A386,PO!$W$11:$W$1504,0))</f>
        <v>16.</v>
      </c>
      <c r="M384" s="271" t="str">
        <f ca="1">INDEX(PO!O$11:O$1504,MATCH($A386,PO!$W$11:$W$1504,0))</f>
        <v>MÊS 16 - INFORMAÇÕES/PESQUISA DE PÓS INTERVENÇÃO</v>
      </c>
      <c r="N384" s="273">
        <f ca="1">IF(ROUND(K386,2)=0,K386,ROUND(K386,2))</f>
        <v>35390.57</v>
      </c>
      <c r="O384" s="113" t="s">
        <v>33</v>
      </c>
      <c r="P384" s="112"/>
      <c r="Q384" s="59"/>
      <c r="R384" s="59"/>
      <c r="S384" s="59"/>
      <c r="T384" s="59"/>
      <c r="U384" s="59"/>
      <c r="V384" s="59"/>
      <c r="W384" s="59"/>
      <c r="X384" s="105"/>
    </row>
    <row r="385" spans="1:24" customFormat="1" ht="14.25">
      <c r="A385" s="93"/>
      <c r="B385" s="93"/>
      <c r="C385" s="93"/>
      <c r="D385" s="93"/>
      <c r="E385" s="93"/>
      <c r="F385" s="93"/>
      <c r="G385" s="93"/>
      <c r="H385" s="93"/>
      <c r="I385" s="93"/>
      <c r="J385" s="93"/>
      <c r="K385" s="93"/>
      <c r="L385" s="270"/>
      <c r="M385" s="272"/>
      <c r="N385" s="274"/>
      <c r="O385" s="79" t="s">
        <v>35</v>
      </c>
      <c r="P385" s="107">
        <f t="shared" ref="P385:W385" ca="1" si="251">MIN(IF($B386,P384+IF(ISNUMBER(O385),O385,0),P386/$N384),1)</f>
        <v>0</v>
      </c>
      <c r="Q385" s="77">
        <f t="shared" ca="1" si="251"/>
        <v>0</v>
      </c>
      <c r="R385" s="77">
        <f t="shared" ca="1" si="251"/>
        <v>0</v>
      </c>
      <c r="S385" s="77">
        <f t="shared" ca="1" si="251"/>
        <v>0</v>
      </c>
      <c r="T385" s="77">
        <f t="shared" ca="1" si="251"/>
        <v>0</v>
      </c>
      <c r="U385" s="77">
        <f t="shared" ca="1" si="251"/>
        <v>0</v>
      </c>
      <c r="V385" s="77">
        <f t="shared" ca="1" si="251"/>
        <v>0</v>
      </c>
      <c r="W385" s="77">
        <f t="shared" ca="1" si="251"/>
        <v>0</v>
      </c>
      <c r="X385" s="105"/>
    </row>
    <row r="386" spans="1:24" customFormat="1" ht="14.25">
      <c r="A386" s="93">
        <f ca="1">OFFSET(A386,-CFF.NumLinha,0)+1</f>
        <v>123</v>
      </c>
      <c r="B386" s="93" t="b">
        <f ca="1">$C386&gt;=OFFSET($C386,CFF.NumLinha,0)</f>
        <v>0</v>
      </c>
      <c r="C386" s="93">
        <f ca="1">INDEX(PO!A$11:A$1504,MATCH($A386,PO!$W$11:$W$1504,0))</f>
        <v>1</v>
      </c>
      <c r="D386" s="93">
        <f ca="1">IF(ISERROR(J386),I386,SMALL(I386:J386,1))-1</f>
        <v>11</v>
      </c>
      <c r="E386" s="93">
        <f ca="1">IF($C386=1,OFFSET(E386,-CFF.NumLinha,0)+1,OFFSET(E386,-CFF.NumLinha,0))</f>
        <v>16</v>
      </c>
      <c r="F386" s="93">
        <f ca="1">IF($C386=1,0,IF($C386=2,OFFSET(F386,-CFF.NumLinha,0)+1,OFFSET(F386,-CFF.NumLinha,0)))</f>
        <v>0</v>
      </c>
      <c r="G386" s="93">
        <f ca="1">IF(AND($C386&lt;=2,$C386&lt;&gt;0),0,IF($C386=3,OFFSET(G386,-CFF.NumLinha,0)+1,OFFSET(G386,-CFF.NumLinha,0)))</f>
        <v>0</v>
      </c>
      <c r="H386" s="93">
        <f ca="1">IF(AND($C386&lt;=3,$C386&lt;&gt;0),0,IF($C386=4,OFFSET(H386,-CFF.NumLinha,0)+1,OFFSET(H386,-CFF.NumLinha,0)))</f>
        <v>0</v>
      </c>
      <c r="I386" s="93">
        <f ca="1">MATCH(0,OFFSET($D386,1,$C386,ROW($A$435)-ROW($A386)),0)</f>
        <v>49</v>
      </c>
      <c r="J386" s="93">
        <f ca="1">MATCH(OFFSET($D386,0,$C386)+1,OFFSET($D386,1,$C386,ROW($A$435)-ROW($A386)),0)</f>
        <v>12</v>
      </c>
      <c r="K386" s="94">
        <f ca="1">ROUND(INDEX(PO!U$11:U$1504,MATCH($A386,PO!$W$11:$W$1504,0)),2)+10^-12</f>
        <v>35390.57</v>
      </c>
      <c r="L386" s="270"/>
      <c r="M386" s="272"/>
      <c r="N386" s="274"/>
      <c r="O386" s="115" t="s">
        <v>7</v>
      </c>
      <c r="P386" s="108">
        <f t="shared" ref="P386:W386" ca="1" si="252">IF($B386,ROUND(P385*$N384,2),ROUND(SUMIF(OFFSET($B386,1,0,$D386),TRUE,OFFSET(P386,1,0,$D386))/SUMIF(OFFSET($B386,1,0,$D386),TRUE,OFFSET($K386,1,0,$D386))*$N384,2))</f>
        <v>0</v>
      </c>
      <c r="Q386" s="78">
        <f t="shared" ca="1" si="252"/>
        <v>0</v>
      </c>
      <c r="R386" s="78">
        <f t="shared" ca="1" si="252"/>
        <v>0</v>
      </c>
      <c r="S386" s="78">
        <f t="shared" ca="1" si="252"/>
        <v>0</v>
      </c>
      <c r="T386" s="78">
        <f t="shared" ca="1" si="252"/>
        <v>0</v>
      </c>
      <c r="U386" s="78">
        <f t="shared" ca="1" si="252"/>
        <v>0</v>
      </c>
      <c r="V386" s="78">
        <f t="shared" ca="1" si="252"/>
        <v>0</v>
      </c>
      <c r="W386" s="118">
        <f t="shared" ca="1" si="252"/>
        <v>0</v>
      </c>
      <c r="X386" s="105"/>
    </row>
    <row r="387" spans="1:24" customFormat="1" ht="14.25" customHeight="1">
      <c r="A387" s="39"/>
      <c r="B387" s="39"/>
      <c r="C387" s="39"/>
      <c r="D387" s="39"/>
      <c r="E387" s="39"/>
      <c r="F387" s="39"/>
      <c r="G387" s="39"/>
      <c r="H387" s="39"/>
      <c r="I387" s="39"/>
      <c r="J387" s="39"/>
      <c r="K387" s="39"/>
      <c r="L387" s="269" t="str">
        <f ca="1">INDEX(PO!K$11:K$1504,MATCH($A389,PO!$W$11:$W$1504,0))</f>
        <v>16.1.</v>
      </c>
      <c r="M387" s="271" t="str">
        <f ca="1">INDEX(PO!O$11:O$1504,MATCH($A389,PO!$W$11:$W$1504,0))</f>
        <v>Atividade 108 - Elaboração e impressão dos formulários de pesquisa pós intervenção e tabulação dos dados regiões Parque Sõ João e Jardim Ikaraí</v>
      </c>
      <c r="N387" s="273">
        <f ca="1">IF(ROUND(K389,2)=0,K389,ROUND(K389,2))</f>
        <v>9582.9500000000007</v>
      </c>
      <c r="O387" s="113" t="s">
        <v>33</v>
      </c>
      <c r="P387" s="112"/>
      <c r="Q387" s="59"/>
      <c r="R387" s="59"/>
      <c r="S387" s="59"/>
      <c r="T387" s="59"/>
      <c r="U387" s="59"/>
      <c r="V387" s="59"/>
      <c r="W387" s="59"/>
      <c r="X387" s="105"/>
    </row>
    <row r="388" spans="1:24" customFormat="1" ht="14.25">
      <c r="A388" s="93"/>
      <c r="B388" s="93"/>
      <c r="C388" s="93"/>
      <c r="D388" s="93"/>
      <c r="E388" s="93"/>
      <c r="F388" s="93"/>
      <c r="G388" s="93"/>
      <c r="H388" s="93"/>
      <c r="I388" s="93"/>
      <c r="J388" s="93"/>
      <c r="K388" s="93"/>
      <c r="L388" s="270"/>
      <c r="M388" s="272"/>
      <c r="N388" s="274"/>
      <c r="O388" s="79" t="s">
        <v>35</v>
      </c>
      <c r="P388" s="107">
        <f t="shared" ref="P388:W388" ca="1" si="253">MIN(IF($B389,P387+IF(ISNUMBER(O388),O388,0),P389/$N387),1)</f>
        <v>0</v>
      </c>
      <c r="Q388" s="77">
        <f t="shared" ca="1" si="253"/>
        <v>0</v>
      </c>
      <c r="R388" s="77">
        <f t="shared" ca="1" si="253"/>
        <v>0</v>
      </c>
      <c r="S388" s="77">
        <f t="shared" ca="1" si="253"/>
        <v>0</v>
      </c>
      <c r="T388" s="77">
        <f t="shared" ca="1" si="253"/>
        <v>0</v>
      </c>
      <c r="U388" s="77">
        <f t="shared" ca="1" si="253"/>
        <v>0</v>
      </c>
      <c r="V388" s="77">
        <f t="shared" ca="1" si="253"/>
        <v>0</v>
      </c>
      <c r="W388" s="77">
        <f t="shared" ca="1" si="253"/>
        <v>0</v>
      </c>
      <c r="X388" s="105"/>
    </row>
    <row r="389" spans="1:24" customFormat="1" ht="14.25">
      <c r="A389" s="93">
        <f ca="1">OFFSET(A389,-CFF.NumLinha,0)+1</f>
        <v>124</v>
      </c>
      <c r="B389" s="93" t="b">
        <f ca="1">$C389&gt;=OFFSET($C389,CFF.NumLinha,0)</f>
        <v>1</v>
      </c>
      <c r="C389" s="93">
        <f ca="1">INDEX(PO!A$11:A$1504,MATCH($A389,PO!$W$11:$W$1504,0))</f>
        <v>2</v>
      </c>
      <c r="D389" s="93">
        <f ca="1">IF(ISERROR(J389),I389,SMALL(I389:J389,1))-1</f>
        <v>2</v>
      </c>
      <c r="E389" s="93">
        <f ca="1">IF($C389=1,OFFSET(E389,-CFF.NumLinha,0)+1,OFFSET(E389,-CFF.NumLinha,0))</f>
        <v>16</v>
      </c>
      <c r="F389" s="93">
        <f ca="1">IF($C389=1,0,IF($C389=2,OFFSET(F389,-CFF.NumLinha,0)+1,OFFSET(F389,-CFF.NumLinha,0)))</f>
        <v>1</v>
      </c>
      <c r="G389" s="93">
        <f ca="1">IF(AND($C389&lt;=2,$C389&lt;&gt;0),0,IF($C389=3,OFFSET(G389,-CFF.NumLinha,0)+1,OFFSET(G389,-CFF.NumLinha,0)))</f>
        <v>0</v>
      </c>
      <c r="H389" s="93">
        <f ca="1">IF(AND($C389&lt;=3,$C389&lt;&gt;0),0,IF($C389=4,OFFSET(H389,-CFF.NumLinha,0)+1,OFFSET(H389,-CFF.NumLinha,0)))</f>
        <v>0</v>
      </c>
      <c r="I389" s="93">
        <f ca="1">MATCH(0,OFFSET($D389,1,$C389,ROW($A$435)-ROW($A389)),0)</f>
        <v>9</v>
      </c>
      <c r="J389" s="93">
        <f ca="1">MATCH(OFFSET($D389,0,$C389)+1,OFFSET($D389,1,$C389,ROW($A$435)-ROW($A389)),0)</f>
        <v>3</v>
      </c>
      <c r="K389" s="94">
        <f ca="1">ROUND(INDEX(PO!U$11:U$1504,MATCH($A389,PO!$W$11:$W$1504,0)),2)+10^-12</f>
        <v>9582.9500000000025</v>
      </c>
      <c r="L389" s="270"/>
      <c r="M389" s="272"/>
      <c r="N389" s="274"/>
      <c r="O389" s="115" t="s">
        <v>7</v>
      </c>
      <c r="P389" s="108">
        <f t="shared" ref="P389:W389" ca="1" si="254">IF($B389,ROUND(P388*$N387,2),ROUND(SUMIF(OFFSET($B389,1,0,$D389),TRUE,OFFSET(P389,1,0,$D389))/SUMIF(OFFSET($B389,1,0,$D389),TRUE,OFFSET($K389,1,0,$D389))*$N387,2))</f>
        <v>0</v>
      </c>
      <c r="Q389" s="78">
        <f t="shared" ca="1" si="254"/>
        <v>0</v>
      </c>
      <c r="R389" s="78">
        <f t="shared" ca="1" si="254"/>
        <v>0</v>
      </c>
      <c r="S389" s="78">
        <f t="shared" ca="1" si="254"/>
        <v>0</v>
      </c>
      <c r="T389" s="78">
        <f t="shared" ca="1" si="254"/>
        <v>0</v>
      </c>
      <c r="U389" s="78">
        <f t="shared" ca="1" si="254"/>
        <v>0</v>
      </c>
      <c r="V389" s="78">
        <f t="shared" ca="1" si="254"/>
        <v>0</v>
      </c>
      <c r="W389" s="118">
        <f t="shared" ca="1" si="254"/>
        <v>0</v>
      </c>
      <c r="X389" s="105"/>
    </row>
    <row r="390" spans="1:24" customFormat="1" ht="14.25" customHeight="1">
      <c r="A390" s="39"/>
      <c r="B390" s="39"/>
      <c r="C390" s="39"/>
      <c r="D390" s="39"/>
      <c r="E390" s="39"/>
      <c r="F390" s="39"/>
      <c r="G390" s="39"/>
      <c r="H390" s="39"/>
      <c r="I390" s="39"/>
      <c r="J390" s="39"/>
      <c r="K390" s="39"/>
      <c r="L390" s="269" t="str">
        <f ca="1">INDEX(PO!K$11:K$1504,MATCH($A392,PO!$W$11:$W$1504,0))</f>
        <v>16.2.</v>
      </c>
      <c r="M390" s="271" t="str">
        <f ca="1">INDEX(PO!O$11:O$1504,MATCH($A392,PO!$W$11:$W$1504,0))</f>
        <v>Atividade 109 - Aplicação dos formulários de pesquisa pós intervenção e tabulação dos dados região Parque São João</v>
      </c>
      <c r="N390" s="273">
        <f ca="1">IF(ROUND(K392,2)=0,K392,ROUND(K392,2))</f>
        <v>12510.88</v>
      </c>
      <c r="O390" s="113" t="s">
        <v>33</v>
      </c>
      <c r="P390" s="112"/>
      <c r="Q390" s="59"/>
      <c r="R390" s="59"/>
      <c r="S390" s="59"/>
      <c r="T390" s="59"/>
      <c r="U390" s="59"/>
      <c r="V390" s="59"/>
      <c r="W390" s="59"/>
      <c r="X390" s="105"/>
    </row>
    <row r="391" spans="1:24" customFormat="1" ht="14.25">
      <c r="A391" s="93"/>
      <c r="B391" s="93"/>
      <c r="C391" s="93"/>
      <c r="D391" s="93"/>
      <c r="E391" s="93"/>
      <c r="F391" s="93"/>
      <c r="G391" s="93"/>
      <c r="H391" s="93"/>
      <c r="I391" s="93"/>
      <c r="J391" s="93"/>
      <c r="K391" s="93"/>
      <c r="L391" s="270"/>
      <c r="M391" s="272"/>
      <c r="N391" s="274"/>
      <c r="O391" s="79" t="s">
        <v>35</v>
      </c>
      <c r="P391" s="107">
        <f t="shared" ref="P391:W391" ca="1" si="255">MIN(IF($B392,P390+IF(ISNUMBER(O391),O391,0),P392/$N390),1)</f>
        <v>0</v>
      </c>
      <c r="Q391" s="77">
        <f t="shared" ca="1" si="255"/>
        <v>0</v>
      </c>
      <c r="R391" s="77">
        <f t="shared" ca="1" si="255"/>
        <v>0</v>
      </c>
      <c r="S391" s="77">
        <f t="shared" ca="1" si="255"/>
        <v>0</v>
      </c>
      <c r="T391" s="77">
        <f t="shared" ca="1" si="255"/>
        <v>0</v>
      </c>
      <c r="U391" s="77">
        <f t="shared" ca="1" si="255"/>
        <v>0</v>
      </c>
      <c r="V391" s="77">
        <f t="shared" ca="1" si="255"/>
        <v>0</v>
      </c>
      <c r="W391" s="77">
        <f t="shared" ca="1" si="255"/>
        <v>0</v>
      </c>
      <c r="X391" s="105"/>
    </row>
    <row r="392" spans="1:24" customFormat="1" ht="14.25">
      <c r="A392" s="93">
        <f ca="1">OFFSET(A392,-CFF.NumLinha,0)+1</f>
        <v>125</v>
      </c>
      <c r="B392" s="93" t="b">
        <f ca="1">$C392&gt;=OFFSET($C392,CFF.NumLinha,0)</f>
        <v>1</v>
      </c>
      <c r="C392" s="93">
        <f ca="1">INDEX(PO!A$11:A$1504,MATCH($A392,PO!$W$11:$W$1504,0))</f>
        <v>2</v>
      </c>
      <c r="D392" s="93">
        <f ca="1">IF(ISERROR(J392),I392,SMALL(I392:J392,1))-1</f>
        <v>2</v>
      </c>
      <c r="E392" s="93">
        <f ca="1">IF($C392=1,OFFSET(E392,-CFF.NumLinha,0)+1,OFFSET(E392,-CFF.NumLinha,0))</f>
        <v>16</v>
      </c>
      <c r="F392" s="93">
        <f ca="1">IF($C392=1,0,IF($C392=2,OFFSET(F392,-CFF.NumLinha,0)+1,OFFSET(F392,-CFF.NumLinha,0)))</f>
        <v>2</v>
      </c>
      <c r="G392" s="93">
        <f ca="1">IF(AND($C392&lt;=2,$C392&lt;&gt;0),0,IF($C392=3,OFFSET(G392,-CFF.NumLinha,0)+1,OFFSET(G392,-CFF.NumLinha,0)))</f>
        <v>0</v>
      </c>
      <c r="H392" s="93">
        <f ca="1">IF(AND($C392&lt;=3,$C392&lt;&gt;0),0,IF($C392=4,OFFSET(H392,-CFF.NumLinha,0)+1,OFFSET(H392,-CFF.NumLinha,0)))</f>
        <v>0</v>
      </c>
      <c r="I392" s="93">
        <f ca="1">MATCH(0,OFFSET($D392,1,$C392,ROW($A$435)-ROW($A392)),0)</f>
        <v>6</v>
      </c>
      <c r="J392" s="93">
        <f ca="1">MATCH(OFFSET($D392,0,$C392)+1,OFFSET($D392,1,$C392,ROW($A$435)-ROW($A392)),0)</f>
        <v>3</v>
      </c>
      <c r="K392" s="94">
        <f ca="1">ROUND(INDEX(PO!U$11:U$1504,MATCH($A392,PO!$W$11:$W$1504,0)),2)+10^-12</f>
        <v>12510.880000000001</v>
      </c>
      <c r="L392" s="270"/>
      <c r="M392" s="272"/>
      <c r="N392" s="274"/>
      <c r="O392" s="115" t="s">
        <v>7</v>
      </c>
      <c r="P392" s="108">
        <f t="shared" ref="P392:W392" ca="1" si="256">IF($B392,ROUND(P391*$N390,2),ROUND(SUMIF(OFFSET($B392,1,0,$D392),TRUE,OFFSET(P392,1,0,$D392))/SUMIF(OFFSET($B392,1,0,$D392),TRUE,OFFSET($K392,1,0,$D392))*$N390,2))</f>
        <v>0</v>
      </c>
      <c r="Q392" s="78">
        <f t="shared" ca="1" si="256"/>
        <v>0</v>
      </c>
      <c r="R392" s="78">
        <f t="shared" ca="1" si="256"/>
        <v>0</v>
      </c>
      <c r="S392" s="78">
        <f t="shared" ca="1" si="256"/>
        <v>0</v>
      </c>
      <c r="T392" s="78">
        <f t="shared" ca="1" si="256"/>
        <v>0</v>
      </c>
      <c r="U392" s="78">
        <f t="shared" ca="1" si="256"/>
        <v>0</v>
      </c>
      <c r="V392" s="78">
        <f t="shared" ca="1" si="256"/>
        <v>0</v>
      </c>
      <c r="W392" s="118">
        <f t="shared" ca="1" si="256"/>
        <v>0</v>
      </c>
      <c r="X392" s="105"/>
    </row>
    <row r="393" spans="1:24" customFormat="1" ht="14.25" customHeight="1">
      <c r="A393" s="39"/>
      <c r="B393" s="39"/>
      <c r="C393" s="39"/>
      <c r="D393" s="39"/>
      <c r="E393" s="39"/>
      <c r="F393" s="39"/>
      <c r="G393" s="39"/>
      <c r="H393" s="39"/>
      <c r="I393" s="39"/>
      <c r="J393" s="39"/>
      <c r="K393" s="39"/>
      <c r="L393" s="269" t="str">
        <f ca="1">INDEX(PO!K$11:K$1504,MATCH($A395,PO!$W$11:$W$1504,0))</f>
        <v>16.3.</v>
      </c>
      <c r="M393" s="271" t="str">
        <f ca="1">INDEX(PO!O$11:O$1504,MATCH($A395,PO!$W$11:$W$1504,0))</f>
        <v>Atividade 110 - Aplicação dos formulários de pesquisa pós intervenção e tabulação dos dados região Jardim Ikaraí</v>
      </c>
      <c r="N393" s="273">
        <f ca="1">IF(ROUND(K395,2)=0,K395,ROUND(K395,2))</f>
        <v>13296.74</v>
      </c>
      <c r="O393" s="113" t="s">
        <v>33</v>
      </c>
      <c r="P393" s="112"/>
      <c r="Q393" s="59"/>
      <c r="R393" s="59"/>
      <c r="S393" s="59"/>
      <c r="T393" s="59"/>
      <c r="U393" s="59"/>
      <c r="V393" s="59"/>
      <c r="W393" s="59"/>
      <c r="X393" s="105"/>
    </row>
    <row r="394" spans="1:24" customFormat="1" ht="14.25">
      <c r="A394" s="93"/>
      <c r="B394" s="93"/>
      <c r="C394" s="93"/>
      <c r="D394" s="93"/>
      <c r="E394" s="93"/>
      <c r="F394" s="93"/>
      <c r="G394" s="93"/>
      <c r="H394" s="93"/>
      <c r="I394" s="93"/>
      <c r="J394" s="93"/>
      <c r="K394" s="93"/>
      <c r="L394" s="270"/>
      <c r="M394" s="272"/>
      <c r="N394" s="274"/>
      <c r="O394" s="79" t="s">
        <v>35</v>
      </c>
      <c r="P394" s="107">
        <f t="shared" ref="P394:W394" ca="1" si="257">MIN(IF($B395,P393+IF(ISNUMBER(O394),O394,0),P395/$N393),1)</f>
        <v>0</v>
      </c>
      <c r="Q394" s="77">
        <f t="shared" ca="1" si="257"/>
        <v>0</v>
      </c>
      <c r="R394" s="77">
        <f t="shared" ca="1" si="257"/>
        <v>0</v>
      </c>
      <c r="S394" s="77">
        <f t="shared" ca="1" si="257"/>
        <v>0</v>
      </c>
      <c r="T394" s="77">
        <f t="shared" ca="1" si="257"/>
        <v>0</v>
      </c>
      <c r="U394" s="77">
        <f t="shared" ca="1" si="257"/>
        <v>0</v>
      </c>
      <c r="V394" s="77">
        <f t="shared" ca="1" si="257"/>
        <v>0</v>
      </c>
      <c r="W394" s="77">
        <f t="shared" ca="1" si="257"/>
        <v>0</v>
      </c>
      <c r="X394" s="105"/>
    </row>
    <row r="395" spans="1:24" customFormat="1" ht="14.25">
      <c r="A395" s="93">
        <f ca="1">OFFSET(A395,-CFF.NumLinha,0)+1</f>
        <v>126</v>
      </c>
      <c r="B395" s="93" t="b">
        <f ca="1">$C395&gt;=OFFSET($C395,CFF.NumLinha,0)</f>
        <v>1</v>
      </c>
      <c r="C395" s="93">
        <f ca="1">INDEX(PO!A$11:A$1504,MATCH($A395,PO!$W$11:$W$1504,0))</f>
        <v>2</v>
      </c>
      <c r="D395" s="93">
        <f ca="1">IF(ISERROR(J395),I395,SMALL(I395:J395,1))-1</f>
        <v>2</v>
      </c>
      <c r="E395" s="93">
        <f ca="1">IF($C395=1,OFFSET(E395,-CFF.NumLinha,0)+1,OFFSET(E395,-CFF.NumLinha,0))</f>
        <v>16</v>
      </c>
      <c r="F395" s="93">
        <f ca="1">IF($C395=1,0,IF($C395=2,OFFSET(F395,-CFF.NumLinha,0)+1,OFFSET(F395,-CFF.NumLinha,0)))</f>
        <v>3</v>
      </c>
      <c r="G395" s="93">
        <f ca="1">IF(AND($C395&lt;=2,$C395&lt;&gt;0),0,IF($C395=3,OFFSET(G395,-CFF.NumLinha,0)+1,OFFSET(G395,-CFF.NumLinha,0)))</f>
        <v>0</v>
      </c>
      <c r="H395" s="93">
        <f ca="1">IF(AND($C395&lt;=3,$C395&lt;&gt;0),0,IF($C395=4,OFFSET(H395,-CFF.NumLinha,0)+1,OFFSET(H395,-CFF.NumLinha,0)))</f>
        <v>0</v>
      </c>
      <c r="I395" s="93">
        <f ca="1">MATCH(0,OFFSET($D395,1,$C395,ROW($A$435)-ROW($A395)),0)</f>
        <v>3</v>
      </c>
      <c r="J395" s="93">
        <f ca="1">MATCH(OFFSET($D395,0,$C395)+1,OFFSET($D395,1,$C395,ROW($A$435)-ROW($A395)),0)</f>
        <v>24</v>
      </c>
      <c r="K395" s="94">
        <f ca="1">ROUND(INDEX(PO!U$11:U$1504,MATCH($A395,PO!$W$11:$W$1504,0)),2)+10^-12</f>
        <v>13296.740000000002</v>
      </c>
      <c r="L395" s="270"/>
      <c r="M395" s="272"/>
      <c r="N395" s="274"/>
      <c r="O395" s="115" t="s">
        <v>7</v>
      </c>
      <c r="P395" s="108">
        <f t="shared" ref="P395:W395" ca="1" si="258">IF($B395,ROUND(P394*$N393,2),ROUND(SUMIF(OFFSET($B395,1,0,$D395),TRUE,OFFSET(P395,1,0,$D395))/SUMIF(OFFSET($B395,1,0,$D395),TRUE,OFFSET($K395,1,0,$D395))*$N393,2))</f>
        <v>0</v>
      </c>
      <c r="Q395" s="78">
        <f t="shared" ca="1" si="258"/>
        <v>0</v>
      </c>
      <c r="R395" s="78">
        <f t="shared" ca="1" si="258"/>
        <v>0</v>
      </c>
      <c r="S395" s="78">
        <f t="shared" ca="1" si="258"/>
        <v>0</v>
      </c>
      <c r="T395" s="78">
        <f t="shared" ca="1" si="258"/>
        <v>0</v>
      </c>
      <c r="U395" s="78">
        <f t="shared" ca="1" si="258"/>
        <v>0</v>
      </c>
      <c r="V395" s="78">
        <f t="shared" ca="1" si="258"/>
        <v>0</v>
      </c>
      <c r="W395" s="118">
        <f t="shared" ca="1" si="258"/>
        <v>0</v>
      </c>
      <c r="X395" s="105"/>
    </row>
    <row r="396" spans="1:24" customFormat="1" ht="14.25" customHeight="1">
      <c r="A396" s="39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269" t="str">
        <f ca="1">INDEX(PO!K$11:K$1504,MATCH($A398,PO!$W$11:$W$1504,0))</f>
        <v>17.</v>
      </c>
      <c r="M396" s="271" t="str">
        <f ca="1">INDEX(PO!O$11:O$1504,MATCH($A398,PO!$W$11:$W$1504,0))</f>
        <v>MÊS 17 - INFORMAÇÕES/SISTEMATIZAÇÃO DE DADOS</v>
      </c>
      <c r="N396" s="273">
        <f ca="1">IF(ROUND(K398,2)=0,K398,ROUND(K398,2))</f>
        <v>20871.48</v>
      </c>
      <c r="O396" s="113" t="s">
        <v>33</v>
      </c>
      <c r="P396" s="112"/>
      <c r="Q396" s="59"/>
      <c r="R396" s="59"/>
      <c r="S396" s="59"/>
      <c r="T396" s="59"/>
      <c r="U396" s="59"/>
      <c r="V396" s="59"/>
      <c r="W396" s="59"/>
      <c r="X396" s="105"/>
    </row>
    <row r="397" spans="1:24" customFormat="1" ht="14.25">
      <c r="A397" s="93"/>
      <c r="B397" s="93"/>
      <c r="C397" s="93"/>
      <c r="D397" s="93"/>
      <c r="E397" s="93"/>
      <c r="F397" s="93"/>
      <c r="G397" s="93"/>
      <c r="H397" s="93"/>
      <c r="I397" s="93"/>
      <c r="J397" s="93"/>
      <c r="K397" s="93"/>
      <c r="L397" s="270"/>
      <c r="M397" s="272"/>
      <c r="N397" s="274"/>
      <c r="O397" s="79" t="s">
        <v>35</v>
      </c>
      <c r="P397" s="107">
        <f t="shared" ref="P397:W397" ca="1" si="259">MIN(IF($B398,P396+IF(ISNUMBER(O397),O397,0),P398/$N396),1)</f>
        <v>0</v>
      </c>
      <c r="Q397" s="77">
        <f t="shared" ca="1" si="259"/>
        <v>0</v>
      </c>
      <c r="R397" s="77">
        <f t="shared" ca="1" si="259"/>
        <v>0</v>
      </c>
      <c r="S397" s="77">
        <f t="shared" ca="1" si="259"/>
        <v>0</v>
      </c>
      <c r="T397" s="77">
        <f t="shared" ca="1" si="259"/>
        <v>0</v>
      </c>
      <c r="U397" s="77">
        <f t="shared" ca="1" si="259"/>
        <v>0</v>
      </c>
      <c r="V397" s="77">
        <f t="shared" ca="1" si="259"/>
        <v>0</v>
      </c>
      <c r="W397" s="77">
        <f t="shared" ca="1" si="259"/>
        <v>0</v>
      </c>
      <c r="X397" s="105"/>
    </row>
    <row r="398" spans="1:24" customFormat="1" ht="14.25">
      <c r="A398" s="93">
        <f ca="1">OFFSET(A398,-CFF.NumLinha,0)+1</f>
        <v>127</v>
      </c>
      <c r="B398" s="93" t="b">
        <f ca="1">$C398&gt;=OFFSET($C398,CFF.NumLinha,0)</f>
        <v>0</v>
      </c>
      <c r="C398" s="93">
        <f ca="1">INDEX(PO!A$11:A$1504,MATCH($A398,PO!$W$11:$W$1504,0))</f>
        <v>1</v>
      </c>
      <c r="D398" s="93">
        <f ca="1">IF(ISERROR(J398),I398,SMALL(I398:J398,1))-1</f>
        <v>8</v>
      </c>
      <c r="E398" s="93">
        <f ca="1">IF($C398=1,OFFSET(E398,-CFF.NumLinha,0)+1,OFFSET(E398,-CFF.NumLinha,0))</f>
        <v>17</v>
      </c>
      <c r="F398" s="93">
        <f ca="1">IF($C398=1,0,IF($C398=2,OFFSET(F398,-CFF.NumLinha,0)+1,OFFSET(F398,-CFF.NumLinha,0)))</f>
        <v>0</v>
      </c>
      <c r="G398" s="93">
        <f ca="1">IF(AND($C398&lt;=2,$C398&lt;&gt;0),0,IF($C398=3,OFFSET(G398,-CFF.NumLinha,0)+1,OFFSET(G398,-CFF.NumLinha,0)))</f>
        <v>0</v>
      </c>
      <c r="H398" s="93">
        <f ca="1">IF(AND($C398&lt;=3,$C398&lt;&gt;0),0,IF($C398=4,OFFSET(H398,-CFF.NumLinha,0)+1,OFFSET(H398,-CFF.NumLinha,0)))</f>
        <v>0</v>
      </c>
      <c r="I398" s="93">
        <f ca="1">MATCH(0,OFFSET($D398,1,$C398,ROW($A$435)-ROW($A398)),0)</f>
        <v>37</v>
      </c>
      <c r="J398" s="93">
        <f ca="1">MATCH(OFFSET($D398,0,$C398)+1,OFFSET($D398,1,$C398,ROW($A$435)-ROW($A398)),0)</f>
        <v>9</v>
      </c>
      <c r="K398" s="94">
        <f ca="1">ROUND(INDEX(PO!U$11:U$1504,MATCH($A398,PO!$W$11:$W$1504,0)),2)+10^-12</f>
        <v>20871.48</v>
      </c>
      <c r="L398" s="270"/>
      <c r="M398" s="272"/>
      <c r="N398" s="274"/>
      <c r="O398" s="115" t="s">
        <v>7</v>
      </c>
      <c r="P398" s="108">
        <f t="shared" ref="P398:W398" ca="1" si="260">IF($B398,ROUND(P397*$N396,2),ROUND(SUMIF(OFFSET($B398,1,0,$D398),TRUE,OFFSET(P398,1,0,$D398))/SUMIF(OFFSET($B398,1,0,$D398),TRUE,OFFSET($K398,1,0,$D398))*$N396,2))</f>
        <v>0</v>
      </c>
      <c r="Q398" s="78">
        <f t="shared" ca="1" si="260"/>
        <v>0</v>
      </c>
      <c r="R398" s="78">
        <f t="shared" ca="1" si="260"/>
        <v>0</v>
      </c>
      <c r="S398" s="78">
        <f t="shared" ca="1" si="260"/>
        <v>0</v>
      </c>
      <c r="T398" s="78">
        <f t="shared" ca="1" si="260"/>
        <v>0</v>
      </c>
      <c r="U398" s="78">
        <f t="shared" ca="1" si="260"/>
        <v>0</v>
      </c>
      <c r="V398" s="78">
        <f t="shared" ca="1" si="260"/>
        <v>0</v>
      </c>
      <c r="W398" s="118">
        <f t="shared" ca="1" si="260"/>
        <v>0</v>
      </c>
      <c r="X398" s="105"/>
    </row>
    <row r="399" spans="1:24" customFormat="1" ht="14.25" customHeight="1">
      <c r="A399" s="39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269" t="str">
        <f ca="1">INDEX(PO!K$11:K$1504,MATCH($A401,PO!$W$11:$W$1504,0))</f>
        <v>17.1.</v>
      </c>
      <c r="M399" s="271" t="str">
        <f ca="1">INDEX(PO!O$11:O$1504,MATCH($A401,PO!$W$11:$W$1504,0))</f>
        <v>Atividade 111 - Aplicação dos formulários de pesquisa pós intervenção e tabulação dos dados região Parque São João</v>
      </c>
      <c r="N399" s="273">
        <f ca="1">IF(ROUND(K401,2)=0,K401,ROUND(K401,2))</f>
        <v>10575.92</v>
      </c>
      <c r="O399" s="113" t="s">
        <v>33</v>
      </c>
      <c r="P399" s="112"/>
      <c r="Q399" s="59"/>
      <c r="R399" s="59"/>
      <c r="S399" s="59"/>
      <c r="T399" s="59"/>
      <c r="U399" s="59"/>
      <c r="V399" s="59"/>
      <c r="W399" s="59"/>
      <c r="X399" s="105"/>
    </row>
    <row r="400" spans="1:24" customFormat="1" ht="14.25">
      <c r="A400" s="93"/>
      <c r="B400" s="93"/>
      <c r="C400" s="93"/>
      <c r="D400" s="93"/>
      <c r="E400" s="93"/>
      <c r="F400" s="93"/>
      <c r="G400" s="93"/>
      <c r="H400" s="93"/>
      <c r="I400" s="93"/>
      <c r="J400" s="93"/>
      <c r="K400" s="93"/>
      <c r="L400" s="270"/>
      <c r="M400" s="272"/>
      <c r="N400" s="274"/>
      <c r="O400" s="79" t="s">
        <v>35</v>
      </c>
      <c r="P400" s="107">
        <f t="shared" ref="P400:W400" ca="1" si="261">MIN(IF($B401,P399+IF(ISNUMBER(O400),O400,0),P401/$N399),1)</f>
        <v>0</v>
      </c>
      <c r="Q400" s="77">
        <f t="shared" ca="1" si="261"/>
        <v>0</v>
      </c>
      <c r="R400" s="77">
        <f t="shared" ca="1" si="261"/>
        <v>0</v>
      </c>
      <c r="S400" s="77">
        <f t="shared" ca="1" si="261"/>
        <v>0</v>
      </c>
      <c r="T400" s="77">
        <f t="shared" ca="1" si="261"/>
        <v>0</v>
      </c>
      <c r="U400" s="77">
        <f t="shared" ca="1" si="261"/>
        <v>0</v>
      </c>
      <c r="V400" s="77">
        <f t="shared" ca="1" si="261"/>
        <v>0</v>
      </c>
      <c r="W400" s="77">
        <f t="shared" ca="1" si="261"/>
        <v>0</v>
      </c>
      <c r="X400" s="105"/>
    </row>
    <row r="401" spans="1:24" customFormat="1" ht="14.25">
      <c r="A401" s="93">
        <f ca="1">OFFSET(A401,-CFF.NumLinha,0)+1</f>
        <v>128</v>
      </c>
      <c r="B401" s="93" t="b">
        <f ca="1">$C401&gt;=OFFSET($C401,CFF.NumLinha,0)</f>
        <v>1</v>
      </c>
      <c r="C401" s="93">
        <f ca="1">INDEX(PO!A$11:A$1504,MATCH($A401,PO!$W$11:$W$1504,0))</f>
        <v>2</v>
      </c>
      <c r="D401" s="93">
        <f ca="1">IF(ISERROR(J401),I401,SMALL(I401:J401,1))-1</f>
        <v>2</v>
      </c>
      <c r="E401" s="93">
        <f ca="1">IF($C401=1,OFFSET(E401,-CFF.NumLinha,0)+1,OFFSET(E401,-CFF.NumLinha,0))</f>
        <v>17</v>
      </c>
      <c r="F401" s="93">
        <f ca="1">IF($C401=1,0,IF($C401=2,OFFSET(F401,-CFF.NumLinha,0)+1,OFFSET(F401,-CFF.NumLinha,0)))</f>
        <v>1</v>
      </c>
      <c r="G401" s="93">
        <f ca="1">IF(AND($C401&lt;=2,$C401&lt;&gt;0),0,IF($C401=3,OFFSET(G401,-CFF.NumLinha,0)+1,OFFSET(G401,-CFF.NumLinha,0)))</f>
        <v>0</v>
      </c>
      <c r="H401" s="93">
        <f ca="1">IF(AND($C401&lt;=3,$C401&lt;&gt;0),0,IF($C401=4,OFFSET(H401,-CFF.NumLinha,0)+1,OFFSET(H401,-CFF.NumLinha,0)))</f>
        <v>0</v>
      </c>
      <c r="I401" s="93">
        <f ca="1">MATCH(0,OFFSET($D401,1,$C401,ROW($A$435)-ROW($A401)),0)</f>
        <v>6</v>
      </c>
      <c r="J401" s="93">
        <f ca="1">MATCH(OFFSET($D401,0,$C401)+1,OFFSET($D401,1,$C401,ROW($A$435)-ROW($A401)),0)</f>
        <v>3</v>
      </c>
      <c r="K401" s="94">
        <f ca="1">ROUND(INDEX(PO!U$11:U$1504,MATCH($A401,PO!$W$11:$W$1504,0)),2)+10^-12</f>
        <v>10575.920000000002</v>
      </c>
      <c r="L401" s="270"/>
      <c r="M401" s="272"/>
      <c r="N401" s="274"/>
      <c r="O401" s="115" t="s">
        <v>7</v>
      </c>
      <c r="P401" s="108">
        <f t="shared" ref="P401:W401" ca="1" si="262">IF($B401,ROUND(P400*$N399,2),ROUND(SUMIF(OFFSET($B401,1,0,$D401),TRUE,OFFSET(P401,1,0,$D401))/SUMIF(OFFSET($B401,1,0,$D401),TRUE,OFFSET($K401,1,0,$D401))*$N399,2))</f>
        <v>0</v>
      </c>
      <c r="Q401" s="78">
        <f t="shared" ca="1" si="262"/>
        <v>0</v>
      </c>
      <c r="R401" s="78">
        <f t="shared" ca="1" si="262"/>
        <v>0</v>
      </c>
      <c r="S401" s="78">
        <f t="shared" ca="1" si="262"/>
        <v>0</v>
      </c>
      <c r="T401" s="78">
        <f t="shared" ca="1" si="262"/>
        <v>0</v>
      </c>
      <c r="U401" s="78">
        <f t="shared" ca="1" si="262"/>
        <v>0</v>
      </c>
      <c r="V401" s="78">
        <f t="shared" ca="1" si="262"/>
        <v>0</v>
      </c>
      <c r="W401" s="118">
        <f t="shared" ca="1" si="262"/>
        <v>0</v>
      </c>
      <c r="X401" s="105"/>
    </row>
    <row r="402" spans="1:24" customFormat="1" ht="14.25" customHeight="1">
      <c r="A402" s="39"/>
      <c r="B402" s="39"/>
      <c r="C402" s="39"/>
      <c r="D402" s="39"/>
      <c r="E402" s="39"/>
      <c r="F402" s="39"/>
      <c r="G402" s="39"/>
      <c r="H402" s="39"/>
      <c r="I402" s="39"/>
      <c r="J402" s="39"/>
      <c r="K402" s="39"/>
      <c r="L402" s="269" t="str">
        <f ca="1">INDEX(PO!K$11:K$1504,MATCH($A404,PO!$W$11:$W$1504,0))</f>
        <v>17.2.</v>
      </c>
      <c r="M402" s="271" t="str">
        <f ca="1">INDEX(PO!O$11:O$1504,MATCH($A404,PO!$W$11:$W$1504,0))</f>
        <v>Atividade - 112 - Aplicação dos formulários de pesquisa pós intervenção e tabulação dos dados região Jardim Ikaraí</v>
      </c>
      <c r="N402" s="273">
        <f ca="1">IF(ROUND(K404,2)=0,K404,ROUND(K404,2))</f>
        <v>10295.56</v>
      </c>
      <c r="O402" s="113" t="s">
        <v>33</v>
      </c>
      <c r="P402" s="112"/>
      <c r="Q402" s="59"/>
      <c r="R402" s="59"/>
      <c r="S402" s="59"/>
      <c r="T402" s="59"/>
      <c r="U402" s="59"/>
      <c r="V402" s="59"/>
      <c r="W402" s="59"/>
      <c r="X402" s="105"/>
    </row>
    <row r="403" spans="1:24" customFormat="1" ht="14.25">
      <c r="A403" s="93"/>
      <c r="B403" s="93"/>
      <c r="C403" s="93"/>
      <c r="D403" s="93"/>
      <c r="E403" s="93"/>
      <c r="F403" s="93"/>
      <c r="G403" s="93"/>
      <c r="H403" s="93"/>
      <c r="I403" s="93"/>
      <c r="J403" s="93"/>
      <c r="K403" s="93"/>
      <c r="L403" s="270"/>
      <c r="M403" s="272"/>
      <c r="N403" s="274"/>
      <c r="O403" s="79" t="s">
        <v>35</v>
      </c>
      <c r="P403" s="107">
        <f t="shared" ref="P403:W403" ca="1" si="263">MIN(IF($B404,P402+IF(ISNUMBER(O403),O403,0),P404/$N402),1)</f>
        <v>0</v>
      </c>
      <c r="Q403" s="77">
        <f t="shared" ca="1" si="263"/>
        <v>0</v>
      </c>
      <c r="R403" s="77">
        <f t="shared" ca="1" si="263"/>
        <v>0</v>
      </c>
      <c r="S403" s="77">
        <f t="shared" ca="1" si="263"/>
        <v>0</v>
      </c>
      <c r="T403" s="77">
        <f t="shared" ca="1" si="263"/>
        <v>0</v>
      </c>
      <c r="U403" s="77">
        <f t="shared" ca="1" si="263"/>
        <v>0</v>
      </c>
      <c r="V403" s="77">
        <f t="shared" ca="1" si="263"/>
        <v>0</v>
      </c>
      <c r="W403" s="77">
        <f t="shared" ca="1" si="263"/>
        <v>0</v>
      </c>
      <c r="X403" s="105"/>
    </row>
    <row r="404" spans="1:24" customFormat="1" ht="14.25">
      <c r="A404" s="93">
        <f ca="1">OFFSET(A404,-CFF.NumLinha,0)+1</f>
        <v>129</v>
      </c>
      <c r="B404" s="93" t="b">
        <f ca="1">$C404&gt;=OFFSET($C404,CFF.NumLinha,0)</f>
        <v>1</v>
      </c>
      <c r="C404" s="93">
        <f ca="1">INDEX(PO!A$11:A$1504,MATCH($A404,PO!$W$11:$W$1504,0))</f>
        <v>2</v>
      </c>
      <c r="D404" s="93">
        <f ca="1">IF(ISERROR(J404),I404,SMALL(I404:J404,1))-1</f>
        <v>2</v>
      </c>
      <c r="E404" s="93">
        <f ca="1">IF($C404=1,OFFSET(E404,-CFF.NumLinha,0)+1,OFFSET(E404,-CFF.NumLinha,0))</f>
        <v>17</v>
      </c>
      <c r="F404" s="93">
        <f ca="1">IF($C404=1,0,IF($C404=2,OFFSET(F404,-CFF.NumLinha,0)+1,OFFSET(F404,-CFF.NumLinha,0)))</f>
        <v>2</v>
      </c>
      <c r="G404" s="93">
        <f ca="1">IF(AND($C404&lt;=2,$C404&lt;&gt;0),0,IF($C404=3,OFFSET(G404,-CFF.NumLinha,0)+1,OFFSET(G404,-CFF.NumLinha,0)))</f>
        <v>0</v>
      </c>
      <c r="H404" s="93">
        <f ca="1">IF(AND($C404&lt;=3,$C404&lt;&gt;0),0,IF($C404=4,OFFSET(H404,-CFF.NumLinha,0)+1,OFFSET(H404,-CFF.NumLinha,0)))</f>
        <v>0</v>
      </c>
      <c r="I404" s="93">
        <f ca="1">MATCH(0,OFFSET($D404,1,$C404,ROW($A$435)-ROW($A404)),0)</f>
        <v>3</v>
      </c>
      <c r="J404" s="93">
        <f ca="1">MATCH(OFFSET($D404,0,$C404)+1,OFFSET($D404,1,$C404,ROW($A$435)-ROW($A404)),0)</f>
        <v>12</v>
      </c>
      <c r="K404" s="94">
        <f ca="1">ROUND(INDEX(PO!U$11:U$1504,MATCH($A404,PO!$W$11:$W$1504,0)),2)+10^-12</f>
        <v>10295.560000000001</v>
      </c>
      <c r="L404" s="270"/>
      <c r="M404" s="272"/>
      <c r="N404" s="274"/>
      <c r="O404" s="115" t="s">
        <v>7</v>
      </c>
      <c r="P404" s="108">
        <f t="shared" ref="P404:W404" ca="1" si="264">IF($B404,ROUND(P403*$N402,2),ROUND(SUMIF(OFFSET($B404,1,0,$D404),TRUE,OFFSET(P404,1,0,$D404))/SUMIF(OFFSET($B404,1,0,$D404),TRUE,OFFSET($K404,1,0,$D404))*$N402,2))</f>
        <v>0</v>
      </c>
      <c r="Q404" s="78">
        <f t="shared" ca="1" si="264"/>
        <v>0</v>
      </c>
      <c r="R404" s="78">
        <f t="shared" ca="1" si="264"/>
        <v>0</v>
      </c>
      <c r="S404" s="78">
        <f t="shared" ca="1" si="264"/>
        <v>0</v>
      </c>
      <c r="T404" s="78">
        <f t="shared" ca="1" si="264"/>
        <v>0</v>
      </c>
      <c r="U404" s="78">
        <f t="shared" ca="1" si="264"/>
        <v>0</v>
      </c>
      <c r="V404" s="78">
        <f t="shared" ca="1" si="264"/>
        <v>0</v>
      </c>
      <c r="W404" s="118">
        <f t="shared" ca="1" si="264"/>
        <v>0</v>
      </c>
      <c r="X404" s="105"/>
    </row>
    <row r="405" spans="1:24" customFormat="1" ht="14.25" customHeight="1">
      <c r="A405" s="39"/>
      <c r="B405" s="39"/>
      <c r="C405" s="39"/>
      <c r="D405" s="39"/>
      <c r="E405" s="39"/>
      <c r="F405" s="39"/>
      <c r="G405" s="39"/>
      <c r="H405" s="39"/>
      <c r="I405" s="39"/>
      <c r="J405" s="39"/>
      <c r="K405" s="39"/>
      <c r="L405" s="269" t="str">
        <f ca="1">INDEX(PO!K$11:K$1504,MATCH($A407,PO!$W$11:$W$1504,0))</f>
        <v>18.</v>
      </c>
      <c r="M405" s="271" t="str">
        <f ca="1">INDEX(PO!O$11:O$1504,MATCH($A407,PO!$W$11:$W$1504,0))</f>
        <v>MÊS 18 - INFORMAÇÕES/SISTEMATIZAÇÃO DE DADOS</v>
      </c>
      <c r="N405" s="273">
        <f ca="1">IF(ROUND(K407,2)=0,K407,ROUND(K407,2))</f>
        <v>34750.15</v>
      </c>
      <c r="O405" s="113" t="s">
        <v>33</v>
      </c>
      <c r="P405" s="112"/>
      <c r="Q405" s="59"/>
      <c r="R405" s="59"/>
      <c r="S405" s="59"/>
      <c r="T405" s="59"/>
      <c r="U405" s="59"/>
      <c r="V405" s="59"/>
      <c r="W405" s="59"/>
      <c r="X405" s="105"/>
    </row>
    <row r="406" spans="1:24" customFormat="1" ht="14.25">
      <c r="A406" s="93"/>
      <c r="B406" s="93"/>
      <c r="C406" s="93"/>
      <c r="D406" s="93"/>
      <c r="E406" s="93"/>
      <c r="F406" s="93"/>
      <c r="G406" s="93"/>
      <c r="H406" s="93"/>
      <c r="I406" s="93"/>
      <c r="J406" s="93"/>
      <c r="K406" s="93"/>
      <c r="L406" s="270"/>
      <c r="M406" s="272"/>
      <c r="N406" s="274"/>
      <c r="O406" s="79" t="s">
        <v>35</v>
      </c>
      <c r="P406" s="107">
        <f t="shared" ref="P406:W406" ca="1" si="265">MIN(IF($B407,P405+IF(ISNUMBER(O406),O406,0),P407/$N405),1)</f>
        <v>0</v>
      </c>
      <c r="Q406" s="77">
        <f t="shared" ca="1" si="265"/>
        <v>0</v>
      </c>
      <c r="R406" s="77">
        <f t="shared" ca="1" si="265"/>
        <v>0</v>
      </c>
      <c r="S406" s="77">
        <f t="shared" ca="1" si="265"/>
        <v>0</v>
      </c>
      <c r="T406" s="77">
        <f t="shared" ca="1" si="265"/>
        <v>0</v>
      </c>
      <c r="U406" s="77">
        <f t="shared" ca="1" si="265"/>
        <v>0</v>
      </c>
      <c r="V406" s="77">
        <f t="shared" ca="1" si="265"/>
        <v>0</v>
      </c>
      <c r="W406" s="77">
        <f t="shared" ca="1" si="265"/>
        <v>0</v>
      </c>
      <c r="X406" s="105"/>
    </row>
    <row r="407" spans="1:24" customFormat="1" ht="14.25">
      <c r="A407" s="93">
        <f ca="1">OFFSET(A407,-CFF.NumLinha,0)+1</f>
        <v>130</v>
      </c>
      <c r="B407" s="93" t="b">
        <f ca="1">$C407&gt;=OFFSET($C407,CFF.NumLinha,0)</f>
        <v>0</v>
      </c>
      <c r="C407" s="93">
        <f ca="1">INDEX(PO!A$11:A$1504,MATCH($A407,PO!$W$11:$W$1504,0))</f>
        <v>1</v>
      </c>
      <c r="D407" s="93">
        <f ca="1">IF(ISERROR(J407),I407,SMALL(I407:J407,1))-1</f>
        <v>27</v>
      </c>
      <c r="E407" s="93">
        <f ca="1">IF($C407=1,OFFSET(E407,-CFF.NumLinha,0)+1,OFFSET(E407,-CFF.NumLinha,0))</f>
        <v>18</v>
      </c>
      <c r="F407" s="93">
        <f ca="1">IF($C407=1,0,IF($C407=2,OFFSET(F407,-CFF.NumLinha,0)+1,OFFSET(F407,-CFF.NumLinha,0)))</f>
        <v>0</v>
      </c>
      <c r="G407" s="93">
        <f ca="1">IF(AND($C407&lt;=2,$C407&lt;&gt;0),0,IF($C407=3,OFFSET(G407,-CFF.NumLinha,0)+1,OFFSET(G407,-CFF.NumLinha,0)))</f>
        <v>0</v>
      </c>
      <c r="H407" s="93">
        <f ca="1">IF(AND($C407&lt;=3,$C407&lt;&gt;0),0,IF($C407=4,OFFSET(H407,-CFF.NumLinha,0)+1,OFFSET(H407,-CFF.NumLinha,0)))</f>
        <v>0</v>
      </c>
      <c r="I407" s="93">
        <f ca="1">MATCH(0,OFFSET($D407,1,$C407,ROW($A$435)-ROW($A407)),0)</f>
        <v>28</v>
      </c>
      <c r="J407" s="93" t="e">
        <f ca="1">MATCH(OFFSET($D407,0,$C407)+1,OFFSET($D407,1,$C407,ROW($A$435)-ROW($A407)),0)</f>
        <v>#N/A</v>
      </c>
      <c r="K407" s="94">
        <f ca="1">ROUND(INDEX(PO!U$11:U$1504,MATCH($A407,PO!$W$11:$W$1504,0)),2)+10^-12</f>
        <v>34750.15</v>
      </c>
      <c r="L407" s="270"/>
      <c r="M407" s="272"/>
      <c r="N407" s="274"/>
      <c r="O407" s="115" t="s">
        <v>7</v>
      </c>
      <c r="P407" s="108">
        <f t="shared" ref="P407:W407" ca="1" si="266">IF($B407,ROUND(P406*$N405,2),ROUND(SUMIF(OFFSET($B407,1,0,$D407),TRUE,OFFSET(P407,1,0,$D407))/SUMIF(OFFSET($B407,1,0,$D407),TRUE,OFFSET($K407,1,0,$D407))*$N405,2))</f>
        <v>0</v>
      </c>
      <c r="Q407" s="78">
        <f t="shared" ca="1" si="266"/>
        <v>0</v>
      </c>
      <c r="R407" s="78">
        <f t="shared" ca="1" si="266"/>
        <v>0</v>
      </c>
      <c r="S407" s="78">
        <f t="shared" ca="1" si="266"/>
        <v>0</v>
      </c>
      <c r="T407" s="78">
        <f t="shared" ca="1" si="266"/>
        <v>0</v>
      </c>
      <c r="U407" s="78">
        <f t="shared" ca="1" si="266"/>
        <v>0</v>
      </c>
      <c r="V407" s="78">
        <f t="shared" ca="1" si="266"/>
        <v>0</v>
      </c>
      <c r="W407" s="118">
        <f t="shared" ca="1" si="266"/>
        <v>0</v>
      </c>
      <c r="X407" s="105"/>
    </row>
    <row r="408" spans="1:24" customFormat="1" ht="14.25" customHeight="1">
      <c r="A408" s="39"/>
      <c r="B408" s="39"/>
      <c r="C408" s="39"/>
      <c r="D408" s="39"/>
      <c r="E408" s="39"/>
      <c r="F408" s="39"/>
      <c r="G408" s="39"/>
      <c r="H408" s="39"/>
      <c r="I408" s="39"/>
      <c r="J408" s="39"/>
      <c r="K408" s="39"/>
      <c r="L408" s="269" t="str">
        <f ca="1">INDEX(PO!K$11:K$1504,MATCH($A410,PO!$W$11:$W$1504,0))</f>
        <v>18.1.</v>
      </c>
      <c r="M408" s="271" t="str">
        <f ca="1">INDEX(PO!O$11:O$1504,MATCH($A410,PO!$W$11:$W$1504,0))</f>
        <v>Atividade 113 - Pesquisa de pós intervenção das UHs e tabulação dos dados regiões Parque São João e Jardim Ikaraí</v>
      </c>
      <c r="N408" s="273">
        <f ca="1">IF(ROUND(K410,2)=0,K410,ROUND(K410,2))</f>
        <v>6172.6</v>
      </c>
      <c r="O408" s="113" t="s">
        <v>33</v>
      </c>
      <c r="P408" s="112"/>
      <c r="Q408" s="59"/>
      <c r="R408" s="59"/>
      <c r="S408" s="59"/>
      <c r="T408" s="59"/>
      <c r="U408" s="59"/>
      <c r="V408" s="59"/>
      <c r="W408" s="59"/>
      <c r="X408" s="105"/>
    </row>
    <row r="409" spans="1:24" customFormat="1" ht="14.25">
      <c r="A409" s="93"/>
      <c r="B409" s="93"/>
      <c r="C409" s="93"/>
      <c r="D409" s="93"/>
      <c r="E409" s="93"/>
      <c r="F409" s="93"/>
      <c r="G409" s="93"/>
      <c r="H409" s="93"/>
      <c r="I409" s="93"/>
      <c r="J409" s="93"/>
      <c r="K409" s="93"/>
      <c r="L409" s="270"/>
      <c r="M409" s="272"/>
      <c r="N409" s="274"/>
      <c r="O409" s="79" t="s">
        <v>35</v>
      </c>
      <c r="P409" s="107">
        <f t="shared" ref="P409:W409" ca="1" si="267">MIN(IF($B410,P408+IF(ISNUMBER(O409),O409,0),P410/$N408),1)</f>
        <v>0</v>
      </c>
      <c r="Q409" s="77">
        <f t="shared" ca="1" si="267"/>
        <v>0</v>
      </c>
      <c r="R409" s="77">
        <f t="shared" ca="1" si="267"/>
        <v>0</v>
      </c>
      <c r="S409" s="77">
        <f t="shared" ca="1" si="267"/>
        <v>0</v>
      </c>
      <c r="T409" s="77">
        <f t="shared" ca="1" si="267"/>
        <v>0</v>
      </c>
      <c r="U409" s="77">
        <f t="shared" ca="1" si="267"/>
        <v>0</v>
      </c>
      <c r="V409" s="77">
        <f t="shared" ca="1" si="267"/>
        <v>0</v>
      </c>
      <c r="W409" s="77">
        <f t="shared" ca="1" si="267"/>
        <v>0</v>
      </c>
      <c r="X409" s="105"/>
    </row>
    <row r="410" spans="1:24" customFormat="1" ht="14.25">
      <c r="A410" s="93">
        <f ca="1">OFFSET(A410,-CFF.NumLinha,0)+1</f>
        <v>131</v>
      </c>
      <c r="B410" s="93" t="b">
        <f ca="1">$C410&gt;=OFFSET($C410,CFF.NumLinha,0)</f>
        <v>1</v>
      </c>
      <c r="C410" s="93">
        <f ca="1">INDEX(PO!A$11:A$1504,MATCH($A410,PO!$W$11:$W$1504,0))</f>
        <v>2</v>
      </c>
      <c r="D410" s="93">
        <f ca="1">IF(ISERROR(J410),I410,SMALL(I410:J410,1))-1</f>
        <v>2</v>
      </c>
      <c r="E410" s="93">
        <f ca="1">IF($C410=1,OFFSET(E410,-CFF.NumLinha,0)+1,OFFSET(E410,-CFF.NumLinha,0))</f>
        <v>18</v>
      </c>
      <c r="F410" s="93">
        <f ca="1">IF($C410=1,0,IF($C410=2,OFFSET(F410,-CFF.NumLinha,0)+1,OFFSET(F410,-CFF.NumLinha,0)))</f>
        <v>1</v>
      </c>
      <c r="G410" s="93">
        <f ca="1">IF(AND($C410&lt;=2,$C410&lt;&gt;0),0,IF($C410=3,OFFSET(G410,-CFF.NumLinha,0)+1,OFFSET(G410,-CFF.NumLinha,0)))</f>
        <v>0</v>
      </c>
      <c r="H410" s="93">
        <f ca="1">IF(AND($C410&lt;=3,$C410&lt;&gt;0),0,IF($C410=4,OFFSET(H410,-CFF.NumLinha,0)+1,OFFSET(H410,-CFF.NumLinha,0)))</f>
        <v>0</v>
      </c>
      <c r="I410" s="93">
        <f ca="1">MATCH(0,OFFSET($D410,1,$C410,ROW($A$435)-ROW($A410)),0)</f>
        <v>25</v>
      </c>
      <c r="J410" s="93">
        <f ca="1">MATCH(OFFSET($D410,0,$C410)+1,OFFSET($D410,1,$C410,ROW($A$435)-ROW($A410)),0)</f>
        <v>3</v>
      </c>
      <c r="K410" s="94">
        <f ca="1">ROUND(INDEX(PO!U$11:U$1504,MATCH($A410,PO!$W$11:$W$1504,0)),2)+10^-12</f>
        <v>6172.6000000000013</v>
      </c>
      <c r="L410" s="270"/>
      <c r="M410" s="272"/>
      <c r="N410" s="274"/>
      <c r="O410" s="115" t="s">
        <v>7</v>
      </c>
      <c r="P410" s="108">
        <f t="shared" ref="P410:W410" ca="1" si="268">IF($B410,ROUND(P409*$N408,2),ROUND(SUMIF(OFFSET($B410,1,0,$D410),TRUE,OFFSET(P410,1,0,$D410))/SUMIF(OFFSET($B410,1,0,$D410),TRUE,OFFSET($K410,1,0,$D410))*$N408,2))</f>
        <v>0</v>
      </c>
      <c r="Q410" s="78">
        <f t="shared" ca="1" si="268"/>
        <v>0</v>
      </c>
      <c r="R410" s="78">
        <f t="shared" ca="1" si="268"/>
        <v>0</v>
      </c>
      <c r="S410" s="78">
        <f t="shared" ca="1" si="268"/>
        <v>0</v>
      </c>
      <c r="T410" s="78">
        <f t="shared" ca="1" si="268"/>
        <v>0</v>
      </c>
      <c r="U410" s="78">
        <f t="shared" ca="1" si="268"/>
        <v>0</v>
      </c>
      <c r="V410" s="78">
        <f t="shared" ca="1" si="268"/>
        <v>0</v>
      </c>
      <c r="W410" s="118">
        <f t="shared" ca="1" si="268"/>
        <v>0</v>
      </c>
      <c r="X410" s="105"/>
    </row>
    <row r="411" spans="1:24" customFormat="1" ht="14.25" customHeight="1">
      <c r="A411" s="39"/>
      <c r="B411" s="39"/>
      <c r="C411" s="39"/>
      <c r="D411" s="39"/>
      <c r="E411" s="39"/>
      <c r="F411" s="39"/>
      <c r="G411" s="39"/>
      <c r="H411" s="39"/>
      <c r="I411" s="39"/>
      <c r="J411" s="39"/>
      <c r="K411" s="39"/>
      <c r="L411" s="269" t="str">
        <f ca="1">INDEX(PO!K$11:K$1504,MATCH($A413,PO!$W$11:$W$1504,0))</f>
        <v>18.2.</v>
      </c>
      <c r="M411" s="271" t="str">
        <f ca="1">INDEX(PO!O$11:O$1504,MATCH($A413,PO!$W$11:$W$1504,0))</f>
        <v>Atividade 114 - Reunião de encerramento do PTS região Parque São João</v>
      </c>
      <c r="N411" s="273">
        <f ca="1">IF(ROUND(K413,2)=0,K413,ROUND(K413,2))</f>
        <v>12743.66</v>
      </c>
      <c r="O411" s="113" t="s">
        <v>33</v>
      </c>
      <c r="P411" s="112"/>
      <c r="Q411" s="59"/>
      <c r="R411" s="59"/>
      <c r="S411" s="59"/>
      <c r="T411" s="59"/>
      <c r="U411" s="59"/>
      <c r="V411" s="59"/>
      <c r="W411" s="59"/>
      <c r="X411" s="105"/>
    </row>
    <row r="412" spans="1:24" customFormat="1" ht="14.25">
      <c r="A412" s="93"/>
      <c r="B412" s="93"/>
      <c r="C412" s="93"/>
      <c r="D412" s="93"/>
      <c r="E412" s="93"/>
      <c r="F412" s="93"/>
      <c r="G412" s="93"/>
      <c r="H412" s="93"/>
      <c r="I412" s="93"/>
      <c r="J412" s="93"/>
      <c r="K412" s="93"/>
      <c r="L412" s="270"/>
      <c r="M412" s="272"/>
      <c r="N412" s="274"/>
      <c r="O412" s="79" t="s">
        <v>35</v>
      </c>
      <c r="P412" s="107">
        <f t="shared" ref="P412:W412" ca="1" si="269">MIN(IF($B413,P411+IF(ISNUMBER(O412),O412,0),P413/$N411),1)</f>
        <v>0</v>
      </c>
      <c r="Q412" s="77">
        <f t="shared" ca="1" si="269"/>
        <v>0</v>
      </c>
      <c r="R412" s="77">
        <f t="shared" ca="1" si="269"/>
        <v>0</v>
      </c>
      <c r="S412" s="77">
        <f t="shared" ca="1" si="269"/>
        <v>0</v>
      </c>
      <c r="T412" s="77">
        <f t="shared" ca="1" si="269"/>
        <v>0</v>
      </c>
      <c r="U412" s="77">
        <f t="shared" ca="1" si="269"/>
        <v>0</v>
      </c>
      <c r="V412" s="77">
        <f t="shared" ca="1" si="269"/>
        <v>0</v>
      </c>
      <c r="W412" s="77">
        <f t="shared" ca="1" si="269"/>
        <v>0</v>
      </c>
      <c r="X412" s="105"/>
    </row>
    <row r="413" spans="1:24" customFormat="1" ht="14.25">
      <c r="A413" s="93">
        <f ca="1">OFFSET(A413,-CFF.NumLinha,0)+1</f>
        <v>132</v>
      </c>
      <c r="B413" s="93" t="b">
        <f ca="1">$C413&gt;=OFFSET($C413,CFF.NumLinha,0)</f>
        <v>1</v>
      </c>
      <c r="C413" s="93">
        <f ca="1">INDEX(PO!A$11:A$1504,MATCH($A413,PO!$W$11:$W$1504,0))</f>
        <v>2</v>
      </c>
      <c r="D413" s="93">
        <f ca="1">IF(ISERROR(J413),I413,SMALL(I413:J413,1))-1</f>
        <v>2</v>
      </c>
      <c r="E413" s="93">
        <f ca="1">IF($C413=1,OFFSET(E413,-CFF.NumLinha,0)+1,OFFSET(E413,-CFF.NumLinha,0))</f>
        <v>18</v>
      </c>
      <c r="F413" s="93">
        <f ca="1">IF($C413=1,0,IF($C413=2,OFFSET(F413,-CFF.NumLinha,0)+1,OFFSET(F413,-CFF.NumLinha,0)))</f>
        <v>2</v>
      </c>
      <c r="G413" s="93">
        <f ca="1">IF(AND($C413&lt;=2,$C413&lt;&gt;0),0,IF($C413=3,OFFSET(G413,-CFF.NumLinha,0)+1,OFFSET(G413,-CFF.NumLinha,0)))</f>
        <v>0</v>
      </c>
      <c r="H413" s="93">
        <f ca="1">IF(AND($C413&lt;=3,$C413&lt;&gt;0),0,IF($C413=4,OFFSET(H413,-CFF.NumLinha,0)+1,OFFSET(H413,-CFF.NumLinha,0)))</f>
        <v>0</v>
      </c>
      <c r="I413" s="93">
        <f ca="1">MATCH(0,OFFSET($D413,1,$C413,ROW($A$435)-ROW($A413)),0)</f>
        <v>22</v>
      </c>
      <c r="J413" s="93">
        <f ca="1">MATCH(OFFSET($D413,0,$C413)+1,OFFSET($D413,1,$C413,ROW($A$435)-ROW($A413)),0)</f>
        <v>3</v>
      </c>
      <c r="K413" s="94">
        <f ca="1">ROUND(INDEX(PO!U$11:U$1504,MATCH($A413,PO!$W$11:$W$1504,0)),2)+10^-12</f>
        <v>12743.660000000002</v>
      </c>
      <c r="L413" s="270"/>
      <c r="M413" s="272"/>
      <c r="N413" s="274"/>
      <c r="O413" s="115" t="s">
        <v>7</v>
      </c>
      <c r="P413" s="108">
        <f t="shared" ref="P413:W413" ca="1" si="270">IF($B413,ROUND(P412*$N411,2),ROUND(SUMIF(OFFSET($B413,1,0,$D413),TRUE,OFFSET(P413,1,0,$D413))/SUMIF(OFFSET($B413,1,0,$D413),TRUE,OFFSET($K413,1,0,$D413))*$N411,2))</f>
        <v>0</v>
      </c>
      <c r="Q413" s="78">
        <f t="shared" ca="1" si="270"/>
        <v>0</v>
      </c>
      <c r="R413" s="78">
        <f t="shared" ca="1" si="270"/>
        <v>0</v>
      </c>
      <c r="S413" s="78">
        <f t="shared" ca="1" si="270"/>
        <v>0</v>
      </c>
      <c r="T413" s="78">
        <f t="shared" ca="1" si="270"/>
        <v>0</v>
      </c>
      <c r="U413" s="78">
        <f t="shared" ca="1" si="270"/>
        <v>0</v>
      </c>
      <c r="V413" s="78">
        <f t="shared" ca="1" si="270"/>
        <v>0</v>
      </c>
      <c r="W413" s="118">
        <f t="shared" ca="1" si="270"/>
        <v>0</v>
      </c>
      <c r="X413" s="105"/>
    </row>
    <row r="414" spans="1:24" customFormat="1" ht="14.25" customHeight="1">
      <c r="A414" s="39"/>
      <c r="B414" s="39"/>
      <c r="C414" s="39"/>
      <c r="D414" s="39"/>
      <c r="E414" s="39"/>
      <c r="F414" s="39"/>
      <c r="G414" s="39"/>
      <c r="H414" s="39"/>
      <c r="I414" s="39"/>
      <c r="J414" s="39"/>
      <c r="K414" s="39"/>
      <c r="L414" s="269" t="str">
        <f ca="1">INDEX(PO!K$11:K$1504,MATCH($A416,PO!$W$11:$W$1504,0))</f>
        <v>18.3.</v>
      </c>
      <c r="M414" s="271" t="str">
        <f ca="1">INDEX(PO!O$11:O$1504,MATCH($A416,PO!$W$11:$W$1504,0))</f>
        <v>Atividade 115 - Reunião de  encerramento do PTS região Jardim Ikaraí</v>
      </c>
      <c r="N414" s="273">
        <f ca="1">IF(ROUND(K416,2)=0,K416,ROUND(K416,2))</f>
        <v>8583.23</v>
      </c>
      <c r="O414" s="113" t="s">
        <v>33</v>
      </c>
      <c r="P414" s="112"/>
      <c r="Q414" s="59"/>
      <c r="R414" s="59"/>
      <c r="S414" s="59"/>
      <c r="T414" s="59"/>
      <c r="U414" s="59"/>
      <c r="V414" s="59"/>
      <c r="W414" s="59"/>
      <c r="X414" s="105"/>
    </row>
    <row r="415" spans="1:24" customFormat="1" ht="14.25">
      <c r="A415" s="93"/>
      <c r="B415" s="93"/>
      <c r="C415" s="93"/>
      <c r="D415" s="93"/>
      <c r="E415" s="93"/>
      <c r="F415" s="93"/>
      <c r="G415" s="93"/>
      <c r="H415" s="93"/>
      <c r="I415" s="93"/>
      <c r="J415" s="93"/>
      <c r="K415" s="93"/>
      <c r="L415" s="270"/>
      <c r="M415" s="272"/>
      <c r="N415" s="274"/>
      <c r="O415" s="79" t="s">
        <v>35</v>
      </c>
      <c r="P415" s="107">
        <f t="shared" ref="P415:W415" ca="1" si="271">MIN(IF($B416,P414+IF(ISNUMBER(O415),O415,0),P416/$N414),1)</f>
        <v>0</v>
      </c>
      <c r="Q415" s="77">
        <f t="shared" ca="1" si="271"/>
        <v>0</v>
      </c>
      <c r="R415" s="77">
        <f t="shared" ca="1" si="271"/>
        <v>0</v>
      </c>
      <c r="S415" s="77">
        <f t="shared" ca="1" si="271"/>
        <v>0</v>
      </c>
      <c r="T415" s="77">
        <f t="shared" ca="1" si="271"/>
        <v>0</v>
      </c>
      <c r="U415" s="77">
        <f t="shared" ca="1" si="271"/>
        <v>0</v>
      </c>
      <c r="V415" s="77">
        <f t="shared" ca="1" si="271"/>
        <v>0</v>
      </c>
      <c r="W415" s="77">
        <f t="shared" ca="1" si="271"/>
        <v>0</v>
      </c>
      <c r="X415" s="105"/>
    </row>
    <row r="416" spans="1:24" customFormat="1" ht="14.25">
      <c r="A416" s="93">
        <f ca="1">OFFSET(A416,-CFF.NumLinha,0)+1</f>
        <v>133</v>
      </c>
      <c r="B416" s="93" t="b">
        <f ca="1">$C416&gt;=OFFSET($C416,CFF.NumLinha,0)</f>
        <v>1</v>
      </c>
      <c r="C416" s="93">
        <f ca="1">INDEX(PO!A$11:A$1504,MATCH($A416,PO!$W$11:$W$1504,0))</f>
        <v>2</v>
      </c>
      <c r="D416" s="93">
        <f ca="1">IF(ISERROR(J416),I416,SMALL(I416:J416,1))-1</f>
        <v>2</v>
      </c>
      <c r="E416" s="93">
        <f ca="1">IF($C416=1,OFFSET(E416,-CFF.NumLinha,0)+1,OFFSET(E416,-CFF.NumLinha,0))</f>
        <v>18</v>
      </c>
      <c r="F416" s="93">
        <f ca="1">IF($C416=1,0,IF($C416=2,OFFSET(F416,-CFF.NumLinha,0)+1,OFFSET(F416,-CFF.NumLinha,0)))</f>
        <v>3</v>
      </c>
      <c r="G416" s="93">
        <f ca="1">IF(AND($C416&lt;=2,$C416&lt;&gt;0),0,IF($C416=3,OFFSET(G416,-CFF.NumLinha,0)+1,OFFSET(G416,-CFF.NumLinha,0)))</f>
        <v>0</v>
      </c>
      <c r="H416" s="93">
        <f ca="1">IF(AND($C416&lt;=3,$C416&lt;&gt;0),0,IF($C416=4,OFFSET(H416,-CFF.NumLinha,0)+1,OFFSET(H416,-CFF.NumLinha,0)))</f>
        <v>0</v>
      </c>
      <c r="I416" s="93">
        <f ca="1">MATCH(0,OFFSET($D416,1,$C416,ROW($A$435)-ROW($A416)),0)</f>
        <v>19</v>
      </c>
      <c r="J416" s="93">
        <f ca="1">MATCH(OFFSET($D416,0,$C416)+1,OFFSET($D416,1,$C416,ROW($A$435)-ROW($A416)),0)</f>
        <v>3</v>
      </c>
      <c r="K416" s="94">
        <f ca="1">ROUND(INDEX(PO!U$11:U$1504,MATCH($A416,PO!$W$11:$W$1504,0)),2)+10^-12</f>
        <v>8583.2300000000014</v>
      </c>
      <c r="L416" s="270"/>
      <c r="M416" s="272"/>
      <c r="N416" s="274"/>
      <c r="O416" s="115" t="s">
        <v>7</v>
      </c>
      <c r="P416" s="108">
        <f t="shared" ref="P416:W416" ca="1" si="272">IF($B416,ROUND(P415*$N414,2),ROUND(SUMIF(OFFSET($B416,1,0,$D416),TRUE,OFFSET(P416,1,0,$D416))/SUMIF(OFFSET($B416,1,0,$D416),TRUE,OFFSET($K416,1,0,$D416))*$N414,2))</f>
        <v>0</v>
      </c>
      <c r="Q416" s="78">
        <f t="shared" ca="1" si="272"/>
        <v>0</v>
      </c>
      <c r="R416" s="78">
        <f t="shared" ca="1" si="272"/>
        <v>0</v>
      </c>
      <c r="S416" s="78">
        <f t="shared" ca="1" si="272"/>
        <v>0</v>
      </c>
      <c r="T416" s="78">
        <f t="shared" ca="1" si="272"/>
        <v>0</v>
      </c>
      <c r="U416" s="78">
        <f t="shared" ca="1" si="272"/>
        <v>0</v>
      </c>
      <c r="V416" s="78">
        <f t="shared" ca="1" si="272"/>
        <v>0</v>
      </c>
      <c r="W416" s="118">
        <f t="shared" ca="1" si="272"/>
        <v>0</v>
      </c>
      <c r="X416" s="105"/>
    </row>
    <row r="417" spans="1:24" customFormat="1" ht="14.25" customHeight="1">
      <c r="A417" s="39"/>
      <c r="B417" s="39"/>
      <c r="C417" s="39"/>
      <c r="D417" s="39"/>
      <c r="E417" s="39"/>
      <c r="F417" s="39"/>
      <c r="G417" s="39"/>
      <c r="H417" s="39"/>
      <c r="I417" s="39"/>
      <c r="J417" s="39"/>
      <c r="K417" s="39"/>
      <c r="L417" s="269" t="str">
        <f ca="1">INDEX(PO!K$11:K$1504,MATCH($A419,PO!$W$11:$W$1504,0))</f>
        <v>18.4.</v>
      </c>
      <c r="M417" s="271" t="str">
        <f ca="1">INDEX(PO!O$11:O$1504,MATCH($A419,PO!$W$11:$W$1504,0))</f>
        <v>Atividade 116 - Reunião de encerramento do PTS bairro: Frutal e Minas e Jardim Paula II</v>
      </c>
      <c r="N417" s="273">
        <f ca="1">IF(ROUND(K419,2)=0,K419,ROUND(K419,2))</f>
        <v>7250.66</v>
      </c>
      <c r="O417" s="113" t="s">
        <v>33</v>
      </c>
      <c r="P417" s="112"/>
      <c r="Q417" s="59"/>
      <c r="R417" s="59"/>
      <c r="S417" s="59"/>
      <c r="T417" s="59"/>
      <c r="U417" s="59"/>
      <c r="V417" s="59"/>
      <c r="W417" s="59"/>
      <c r="X417" s="105"/>
    </row>
    <row r="418" spans="1:24" customFormat="1" ht="14.25">
      <c r="A418" s="93"/>
      <c r="B418" s="93"/>
      <c r="C418" s="93"/>
      <c r="D418" s="93"/>
      <c r="E418" s="93"/>
      <c r="F418" s="93"/>
      <c r="G418" s="93"/>
      <c r="H418" s="93"/>
      <c r="I418" s="93"/>
      <c r="J418" s="93"/>
      <c r="K418" s="93"/>
      <c r="L418" s="270"/>
      <c r="M418" s="272"/>
      <c r="N418" s="274"/>
      <c r="O418" s="79" t="s">
        <v>35</v>
      </c>
      <c r="P418" s="107" t="e">
        <f t="shared" ref="P418:W418" ca="1" si="273">MIN(IF($B419,P417+IF(ISNUMBER(O418),O418,0),P419/$N417),1)</f>
        <v>#N/A</v>
      </c>
      <c r="Q418" s="77" t="e">
        <f t="shared" ca="1" si="273"/>
        <v>#N/A</v>
      </c>
      <c r="R418" s="77" t="e">
        <f t="shared" ca="1" si="273"/>
        <v>#N/A</v>
      </c>
      <c r="S418" s="77" t="e">
        <f t="shared" ca="1" si="273"/>
        <v>#N/A</v>
      </c>
      <c r="T418" s="77" t="e">
        <f t="shared" ca="1" si="273"/>
        <v>#N/A</v>
      </c>
      <c r="U418" s="77" t="e">
        <f t="shared" ca="1" si="273"/>
        <v>#N/A</v>
      </c>
      <c r="V418" s="77" t="e">
        <f t="shared" ca="1" si="273"/>
        <v>#N/A</v>
      </c>
      <c r="W418" s="77" t="e">
        <f t="shared" ca="1" si="273"/>
        <v>#N/A</v>
      </c>
      <c r="X418" s="105"/>
    </row>
    <row r="419" spans="1:24" customFormat="1" ht="14.25">
      <c r="A419" s="93">
        <f ca="1">OFFSET(A419,-CFF.NumLinha,0)+1</f>
        <v>134</v>
      </c>
      <c r="B419" s="93" t="e">
        <f ca="1">$C419&gt;=OFFSET($C419,CFF.NumLinha,0)</f>
        <v>#N/A</v>
      </c>
      <c r="C419" s="93">
        <f ca="1">INDEX(PO!A$11:A$1504,MATCH($A419,PO!$W$11:$W$1504,0))</f>
        <v>2</v>
      </c>
      <c r="D419" s="93">
        <f ca="1">IF(ISERROR(J419),I419,SMALL(I419:J419,1))-1</f>
        <v>15</v>
      </c>
      <c r="E419" s="93">
        <f ca="1">IF($C419=1,OFFSET(E419,-CFF.NumLinha,0)+1,OFFSET(E419,-CFF.NumLinha,0))</f>
        <v>18</v>
      </c>
      <c r="F419" s="93">
        <f ca="1">IF($C419=1,0,IF($C419=2,OFFSET(F419,-CFF.NumLinha,0)+1,OFFSET(F419,-CFF.NumLinha,0)))</f>
        <v>4</v>
      </c>
      <c r="G419" s="93">
        <f ca="1">IF(AND($C419&lt;=2,$C419&lt;&gt;0),0,IF($C419=3,OFFSET(G419,-CFF.NumLinha,0)+1,OFFSET(G419,-CFF.NumLinha,0)))</f>
        <v>0</v>
      </c>
      <c r="H419" s="93">
        <f ca="1">IF(AND($C419&lt;=3,$C419&lt;&gt;0),0,IF($C419=4,OFFSET(H419,-CFF.NumLinha,0)+1,OFFSET(H419,-CFF.NumLinha,0)))</f>
        <v>0</v>
      </c>
      <c r="I419" s="93">
        <f ca="1">MATCH(0,OFFSET($D419,1,$C419,ROW($A$435)-ROW($A419)),0)</f>
        <v>16</v>
      </c>
      <c r="J419" s="93" t="e">
        <f ca="1">MATCH(OFFSET($D419,0,$C419)+1,OFFSET($D419,1,$C419,ROW($A$435)-ROW($A419)),0)</f>
        <v>#N/A</v>
      </c>
      <c r="K419" s="94">
        <f ca="1">ROUND(INDEX(PO!U$11:U$1504,MATCH($A419,PO!$W$11:$W$1504,0)),2)+10^-12</f>
        <v>7250.6600000000008</v>
      </c>
      <c r="L419" s="270"/>
      <c r="M419" s="272"/>
      <c r="N419" s="274"/>
      <c r="O419" s="115" t="s">
        <v>7</v>
      </c>
      <c r="P419" s="108" t="e">
        <f t="shared" ref="P419:W419" ca="1" si="274">IF($B419,ROUND(P418*$N417,2),ROUND(SUMIF(OFFSET($B419,1,0,$D419),TRUE,OFFSET(P419,1,0,$D419))/SUMIF(OFFSET($B419,1,0,$D419),TRUE,OFFSET($K419,1,0,$D419))*$N417,2))</f>
        <v>#N/A</v>
      </c>
      <c r="Q419" s="78" t="e">
        <f t="shared" ca="1" si="274"/>
        <v>#N/A</v>
      </c>
      <c r="R419" s="78" t="e">
        <f t="shared" ca="1" si="274"/>
        <v>#N/A</v>
      </c>
      <c r="S419" s="78" t="e">
        <f t="shared" ca="1" si="274"/>
        <v>#N/A</v>
      </c>
      <c r="T419" s="78" t="e">
        <f t="shared" ca="1" si="274"/>
        <v>#N/A</v>
      </c>
      <c r="U419" s="78" t="e">
        <f t="shared" ca="1" si="274"/>
        <v>#N/A</v>
      </c>
      <c r="V419" s="78" t="e">
        <f t="shared" ca="1" si="274"/>
        <v>#N/A</v>
      </c>
      <c r="W419" s="118" t="e">
        <f t="shared" ca="1" si="274"/>
        <v>#N/A</v>
      </c>
      <c r="X419" s="105"/>
    </row>
    <row r="420" spans="1:24" customFormat="1" ht="14.25" customHeight="1">
      <c r="A420" s="39"/>
      <c r="B420" s="39"/>
      <c r="C420" s="39"/>
      <c r="D420" s="39"/>
      <c r="E420" s="39"/>
      <c r="F420" s="39"/>
      <c r="G420" s="39"/>
      <c r="H420" s="39"/>
      <c r="I420" s="39"/>
      <c r="J420" s="39"/>
      <c r="K420" s="39"/>
      <c r="L420" s="269" t="e">
        <f ca="1">INDEX(PO!K$11:K$1504,MATCH($A422,PO!$W$11:$W$1504,0))</f>
        <v>#N/A</v>
      </c>
      <c r="M420" s="271" t="e">
        <f ca="1">INDEX(PO!O$11:O$1504,MATCH($A422,PO!$W$11:$W$1504,0))</f>
        <v>#N/A</v>
      </c>
      <c r="N420" s="273" t="e">
        <f ca="1">IF(ROUND(K422,2)=0,K422,ROUND(K422,2))</f>
        <v>#N/A</v>
      </c>
      <c r="O420" s="113" t="s">
        <v>33</v>
      </c>
      <c r="P420" s="112"/>
      <c r="Q420" s="59"/>
      <c r="R420" s="59"/>
      <c r="S420" s="59"/>
      <c r="T420" s="59"/>
      <c r="U420" s="59"/>
      <c r="V420" s="59"/>
      <c r="W420" s="59"/>
      <c r="X420" s="105"/>
    </row>
    <row r="421" spans="1:24" customFormat="1" ht="14.25">
      <c r="A421" s="93"/>
      <c r="B421" s="93"/>
      <c r="C421" s="93"/>
      <c r="D421" s="93"/>
      <c r="E421" s="93"/>
      <c r="F421" s="93"/>
      <c r="G421" s="93"/>
      <c r="H421" s="93"/>
      <c r="I421" s="93"/>
      <c r="J421" s="93"/>
      <c r="K421" s="93"/>
      <c r="L421" s="270"/>
      <c r="M421" s="272"/>
      <c r="N421" s="274"/>
      <c r="O421" s="79" t="s">
        <v>35</v>
      </c>
      <c r="P421" s="107" t="e">
        <f t="shared" ref="P421:W421" ca="1" si="275">MIN(IF($B422,P420+IF(ISNUMBER(O421),O421,0),P422/$N420),1)</f>
        <v>#N/A</v>
      </c>
      <c r="Q421" s="77" t="e">
        <f t="shared" ca="1" si="275"/>
        <v>#N/A</v>
      </c>
      <c r="R421" s="77" t="e">
        <f t="shared" ca="1" si="275"/>
        <v>#N/A</v>
      </c>
      <c r="S421" s="77" t="e">
        <f t="shared" ca="1" si="275"/>
        <v>#N/A</v>
      </c>
      <c r="T421" s="77" t="e">
        <f t="shared" ca="1" si="275"/>
        <v>#N/A</v>
      </c>
      <c r="U421" s="77" t="e">
        <f t="shared" ca="1" si="275"/>
        <v>#N/A</v>
      </c>
      <c r="V421" s="77" t="e">
        <f t="shared" ca="1" si="275"/>
        <v>#N/A</v>
      </c>
      <c r="W421" s="77" t="e">
        <f t="shared" ca="1" si="275"/>
        <v>#N/A</v>
      </c>
      <c r="X421" s="105"/>
    </row>
    <row r="422" spans="1:24" customFormat="1" ht="14.25">
      <c r="A422" s="93">
        <f ca="1">OFFSET(A422,-CFF.NumLinha,0)+1</f>
        <v>135</v>
      </c>
      <c r="B422" s="93" t="e">
        <f ca="1">$C422&gt;=OFFSET($C422,CFF.NumLinha,0)</f>
        <v>#N/A</v>
      </c>
      <c r="C422" s="93" t="e">
        <f ca="1">INDEX(PO!A$11:A$1504,MATCH($A422,PO!$W$11:$W$1504,0))</f>
        <v>#N/A</v>
      </c>
      <c r="D422" s="93" t="e">
        <f ca="1">IF(ISERROR(J422),I422,SMALL(I422:J422,1))-1</f>
        <v>#N/A</v>
      </c>
      <c r="E422" s="93" t="e">
        <f ca="1">IF($C422=1,OFFSET(E422,-CFF.NumLinha,0)+1,OFFSET(E422,-CFF.NumLinha,0))</f>
        <v>#N/A</v>
      </c>
      <c r="F422" s="93" t="e">
        <f ca="1">IF($C422=1,0,IF($C422=2,OFFSET(F422,-CFF.NumLinha,0)+1,OFFSET(F422,-CFF.NumLinha,0)))</f>
        <v>#N/A</v>
      </c>
      <c r="G422" s="93" t="e">
        <f ca="1">IF(AND($C422&lt;=2,$C422&lt;&gt;0),0,IF($C422=3,OFFSET(G422,-CFF.NumLinha,0)+1,OFFSET(G422,-CFF.NumLinha,0)))</f>
        <v>#N/A</v>
      </c>
      <c r="H422" s="93" t="e">
        <f ca="1">IF(AND($C422&lt;=3,$C422&lt;&gt;0),0,IF($C422=4,OFFSET(H422,-CFF.NumLinha,0)+1,OFFSET(H422,-CFF.NumLinha,0)))</f>
        <v>#N/A</v>
      </c>
      <c r="I422" s="93" t="e">
        <f ca="1">MATCH(0,OFFSET($D422,1,$C422,ROW($A$435)-ROW($A422)),0)</f>
        <v>#N/A</v>
      </c>
      <c r="J422" s="93" t="e">
        <f ca="1">MATCH(OFFSET($D422,0,$C422)+1,OFFSET($D422,1,$C422,ROW($A$435)-ROW($A422)),0)</f>
        <v>#N/A</v>
      </c>
      <c r="K422" s="94" t="e">
        <f ca="1">ROUND(INDEX(PO!U$11:U$1504,MATCH($A422,PO!$W$11:$W$1504,0)),2)+10^-12</f>
        <v>#N/A</v>
      </c>
      <c r="L422" s="270"/>
      <c r="M422" s="272"/>
      <c r="N422" s="274"/>
      <c r="O422" s="115" t="s">
        <v>7</v>
      </c>
      <c r="P422" s="108" t="e">
        <f t="shared" ref="P422:W422" ca="1" si="276">IF($B422,ROUND(P421*$N420,2),ROUND(SUMIF(OFFSET($B422,1,0,$D422),TRUE,OFFSET(P422,1,0,$D422))/SUMIF(OFFSET($B422,1,0,$D422),TRUE,OFFSET($K422,1,0,$D422))*$N420,2))</f>
        <v>#N/A</v>
      </c>
      <c r="Q422" s="78" t="e">
        <f t="shared" ca="1" si="276"/>
        <v>#N/A</v>
      </c>
      <c r="R422" s="78" t="e">
        <f t="shared" ca="1" si="276"/>
        <v>#N/A</v>
      </c>
      <c r="S422" s="78" t="e">
        <f t="shared" ca="1" si="276"/>
        <v>#N/A</v>
      </c>
      <c r="T422" s="78" t="e">
        <f t="shared" ca="1" si="276"/>
        <v>#N/A</v>
      </c>
      <c r="U422" s="78" t="e">
        <f t="shared" ca="1" si="276"/>
        <v>#N/A</v>
      </c>
      <c r="V422" s="78" t="e">
        <f t="shared" ca="1" si="276"/>
        <v>#N/A</v>
      </c>
      <c r="W422" s="118" t="e">
        <f t="shared" ca="1" si="276"/>
        <v>#N/A</v>
      </c>
      <c r="X422" s="105"/>
    </row>
    <row r="423" spans="1:24" customFormat="1" ht="14.25" customHeight="1">
      <c r="A423" s="39"/>
      <c r="B423" s="39"/>
      <c r="C423" s="39"/>
      <c r="D423" s="39"/>
      <c r="E423" s="39"/>
      <c r="F423" s="39"/>
      <c r="G423" s="39"/>
      <c r="H423" s="39"/>
      <c r="I423" s="39"/>
      <c r="J423" s="39"/>
      <c r="K423" s="39"/>
      <c r="L423" s="269" t="e">
        <f ca="1">INDEX(PO!K$11:K$1504,MATCH($A425,PO!$W$11:$W$1504,0))</f>
        <v>#N/A</v>
      </c>
      <c r="M423" s="271" t="e">
        <f ca="1">INDEX(PO!O$11:O$1504,MATCH($A425,PO!$W$11:$W$1504,0))</f>
        <v>#N/A</v>
      </c>
      <c r="N423" s="273" t="e">
        <f ca="1">IF(ROUND(K425,2)=0,K425,ROUND(K425,2))</f>
        <v>#N/A</v>
      </c>
      <c r="O423" s="113" t="s">
        <v>33</v>
      </c>
      <c r="P423" s="112"/>
      <c r="Q423" s="59"/>
      <c r="R423" s="59"/>
      <c r="S423" s="59"/>
      <c r="T423" s="59"/>
      <c r="U423" s="59"/>
      <c r="V423" s="59"/>
      <c r="W423" s="59"/>
      <c r="X423" s="105"/>
    </row>
    <row r="424" spans="1:24" customFormat="1" ht="14.25">
      <c r="A424" s="93"/>
      <c r="B424" s="93"/>
      <c r="C424" s="93"/>
      <c r="D424" s="93"/>
      <c r="E424" s="93"/>
      <c r="F424" s="93"/>
      <c r="G424" s="93"/>
      <c r="H424" s="93"/>
      <c r="I424" s="93"/>
      <c r="J424" s="93"/>
      <c r="K424" s="93"/>
      <c r="L424" s="270"/>
      <c r="M424" s="272"/>
      <c r="N424" s="274"/>
      <c r="O424" s="79" t="s">
        <v>35</v>
      </c>
      <c r="P424" s="107" t="e">
        <f t="shared" ref="P424:W424" ca="1" si="277">MIN(IF($B425,P423+IF(ISNUMBER(O424),O424,0),P425/$N423),1)</f>
        <v>#N/A</v>
      </c>
      <c r="Q424" s="77" t="e">
        <f t="shared" ca="1" si="277"/>
        <v>#N/A</v>
      </c>
      <c r="R424" s="77" t="e">
        <f t="shared" ca="1" si="277"/>
        <v>#N/A</v>
      </c>
      <c r="S424" s="77" t="e">
        <f t="shared" ca="1" si="277"/>
        <v>#N/A</v>
      </c>
      <c r="T424" s="77" t="e">
        <f t="shared" ca="1" si="277"/>
        <v>#N/A</v>
      </c>
      <c r="U424" s="77" t="e">
        <f t="shared" ca="1" si="277"/>
        <v>#N/A</v>
      </c>
      <c r="V424" s="77" t="e">
        <f t="shared" ca="1" si="277"/>
        <v>#N/A</v>
      </c>
      <c r="W424" s="77" t="e">
        <f t="shared" ca="1" si="277"/>
        <v>#N/A</v>
      </c>
      <c r="X424" s="105"/>
    </row>
    <row r="425" spans="1:24" customFormat="1" ht="14.25">
      <c r="A425" s="93">
        <f ca="1">OFFSET(A425,-CFF.NumLinha,0)+1</f>
        <v>136</v>
      </c>
      <c r="B425" s="93" t="e">
        <f ca="1">$C425&gt;=OFFSET($C425,CFF.NumLinha,0)</f>
        <v>#N/A</v>
      </c>
      <c r="C425" s="93" t="e">
        <f ca="1">INDEX(PO!A$11:A$1504,MATCH($A425,PO!$W$11:$W$1504,0))</f>
        <v>#N/A</v>
      </c>
      <c r="D425" s="93" t="e">
        <f ca="1">IF(ISERROR(J425),I425,SMALL(I425:J425,1))-1</f>
        <v>#N/A</v>
      </c>
      <c r="E425" s="93" t="e">
        <f ca="1">IF($C425=1,OFFSET(E425,-CFF.NumLinha,0)+1,OFFSET(E425,-CFF.NumLinha,0))</f>
        <v>#N/A</v>
      </c>
      <c r="F425" s="93" t="e">
        <f ca="1">IF($C425=1,0,IF($C425=2,OFFSET(F425,-CFF.NumLinha,0)+1,OFFSET(F425,-CFF.NumLinha,0)))</f>
        <v>#N/A</v>
      </c>
      <c r="G425" s="93" t="e">
        <f ca="1">IF(AND($C425&lt;=2,$C425&lt;&gt;0),0,IF($C425=3,OFFSET(G425,-CFF.NumLinha,0)+1,OFFSET(G425,-CFF.NumLinha,0)))</f>
        <v>#N/A</v>
      </c>
      <c r="H425" s="93" t="e">
        <f ca="1">IF(AND($C425&lt;=3,$C425&lt;&gt;0),0,IF($C425=4,OFFSET(H425,-CFF.NumLinha,0)+1,OFFSET(H425,-CFF.NumLinha,0)))</f>
        <v>#N/A</v>
      </c>
      <c r="I425" s="93" t="e">
        <f ca="1">MATCH(0,OFFSET($D425,1,$C425,ROW($A$435)-ROW($A425)),0)</f>
        <v>#N/A</v>
      </c>
      <c r="J425" s="93" t="e">
        <f ca="1">MATCH(OFFSET($D425,0,$C425)+1,OFFSET($D425,1,$C425,ROW($A$435)-ROW($A425)),0)</f>
        <v>#N/A</v>
      </c>
      <c r="K425" s="94" t="e">
        <f ca="1">ROUND(INDEX(PO!U$11:U$1504,MATCH($A425,PO!$W$11:$W$1504,0)),2)+10^-12</f>
        <v>#N/A</v>
      </c>
      <c r="L425" s="270"/>
      <c r="M425" s="272"/>
      <c r="N425" s="274"/>
      <c r="O425" s="115" t="s">
        <v>7</v>
      </c>
      <c r="P425" s="108" t="e">
        <f t="shared" ref="P425:W425" ca="1" si="278">IF($B425,ROUND(P424*$N423,2),ROUND(SUMIF(OFFSET($B425,1,0,$D425),TRUE,OFFSET(P425,1,0,$D425))/SUMIF(OFFSET($B425,1,0,$D425),TRUE,OFFSET($K425,1,0,$D425))*$N423,2))</f>
        <v>#N/A</v>
      </c>
      <c r="Q425" s="78" t="e">
        <f t="shared" ca="1" si="278"/>
        <v>#N/A</v>
      </c>
      <c r="R425" s="78" t="e">
        <f t="shared" ca="1" si="278"/>
        <v>#N/A</v>
      </c>
      <c r="S425" s="78" t="e">
        <f t="shared" ca="1" si="278"/>
        <v>#N/A</v>
      </c>
      <c r="T425" s="78" t="e">
        <f t="shared" ca="1" si="278"/>
        <v>#N/A</v>
      </c>
      <c r="U425" s="78" t="e">
        <f t="shared" ca="1" si="278"/>
        <v>#N/A</v>
      </c>
      <c r="V425" s="78" t="e">
        <f t="shared" ca="1" si="278"/>
        <v>#N/A</v>
      </c>
      <c r="W425" s="118" t="e">
        <f t="shared" ca="1" si="278"/>
        <v>#N/A</v>
      </c>
      <c r="X425" s="105"/>
    </row>
    <row r="426" spans="1:24" customFormat="1" ht="14.25" customHeight="1">
      <c r="A426" s="39"/>
      <c r="B426" s="39"/>
      <c r="C426" s="39"/>
      <c r="D426" s="39"/>
      <c r="E426" s="39"/>
      <c r="F426" s="39"/>
      <c r="G426" s="39"/>
      <c r="H426" s="39"/>
      <c r="I426" s="39"/>
      <c r="J426" s="39"/>
      <c r="K426" s="39"/>
      <c r="L426" s="269" t="e">
        <f ca="1">INDEX(PO!K$11:K$1504,MATCH($A428,PO!$W$11:$W$1504,0))</f>
        <v>#N/A</v>
      </c>
      <c r="M426" s="271" t="e">
        <f ca="1">INDEX(PO!O$11:O$1504,MATCH($A428,PO!$W$11:$W$1504,0))</f>
        <v>#N/A</v>
      </c>
      <c r="N426" s="273" t="e">
        <f ca="1">IF(ROUND(K428,2)=0,K428,ROUND(K428,2))</f>
        <v>#N/A</v>
      </c>
      <c r="O426" s="113" t="s">
        <v>33</v>
      </c>
      <c r="P426" s="112"/>
      <c r="Q426" s="59"/>
      <c r="R426" s="59"/>
      <c r="S426" s="59"/>
      <c r="T426" s="59"/>
      <c r="U426" s="59"/>
      <c r="V426" s="59"/>
      <c r="W426" s="59"/>
      <c r="X426" s="105"/>
    </row>
    <row r="427" spans="1:24" customFormat="1" ht="14.25">
      <c r="A427" s="93"/>
      <c r="B427" s="93"/>
      <c r="C427" s="93"/>
      <c r="D427" s="93"/>
      <c r="E427" s="93"/>
      <c r="F427" s="93"/>
      <c r="G427" s="93"/>
      <c r="H427" s="93"/>
      <c r="I427" s="93"/>
      <c r="J427" s="93"/>
      <c r="K427" s="93"/>
      <c r="L427" s="270"/>
      <c r="M427" s="272"/>
      <c r="N427" s="274"/>
      <c r="O427" s="79" t="s">
        <v>35</v>
      </c>
      <c r="P427" s="107" t="e">
        <f t="shared" ref="P427:W427" ca="1" si="279">MIN(IF($B428,P426+IF(ISNUMBER(O427),O427,0),P428/$N426),1)</f>
        <v>#N/A</v>
      </c>
      <c r="Q427" s="77" t="e">
        <f t="shared" ca="1" si="279"/>
        <v>#N/A</v>
      </c>
      <c r="R427" s="77" t="e">
        <f t="shared" ca="1" si="279"/>
        <v>#N/A</v>
      </c>
      <c r="S427" s="77" t="e">
        <f t="shared" ca="1" si="279"/>
        <v>#N/A</v>
      </c>
      <c r="T427" s="77" t="e">
        <f t="shared" ca="1" si="279"/>
        <v>#N/A</v>
      </c>
      <c r="U427" s="77" t="e">
        <f t="shared" ca="1" si="279"/>
        <v>#N/A</v>
      </c>
      <c r="V427" s="77" t="e">
        <f t="shared" ca="1" si="279"/>
        <v>#N/A</v>
      </c>
      <c r="W427" s="77" t="e">
        <f t="shared" ca="1" si="279"/>
        <v>#N/A</v>
      </c>
      <c r="X427" s="105"/>
    </row>
    <row r="428" spans="1:24" customFormat="1" ht="14.25">
      <c r="A428" s="93">
        <f ca="1">OFFSET(A428,-CFF.NumLinha,0)+1</f>
        <v>137</v>
      </c>
      <c r="B428" s="93" t="e">
        <f ca="1">$C428&gt;=OFFSET($C428,CFF.NumLinha,0)</f>
        <v>#N/A</v>
      </c>
      <c r="C428" s="93" t="e">
        <f ca="1">INDEX(PO!A$11:A$1504,MATCH($A428,PO!$W$11:$W$1504,0))</f>
        <v>#N/A</v>
      </c>
      <c r="D428" s="93" t="e">
        <f ca="1">IF(ISERROR(J428),I428,SMALL(I428:J428,1))-1</f>
        <v>#N/A</v>
      </c>
      <c r="E428" s="93" t="e">
        <f ca="1">IF($C428=1,OFFSET(E428,-CFF.NumLinha,0)+1,OFFSET(E428,-CFF.NumLinha,0))</f>
        <v>#N/A</v>
      </c>
      <c r="F428" s="93" t="e">
        <f ca="1">IF($C428=1,0,IF($C428=2,OFFSET(F428,-CFF.NumLinha,0)+1,OFFSET(F428,-CFF.NumLinha,0)))</f>
        <v>#N/A</v>
      </c>
      <c r="G428" s="93" t="e">
        <f ca="1">IF(AND($C428&lt;=2,$C428&lt;&gt;0),0,IF($C428=3,OFFSET(G428,-CFF.NumLinha,0)+1,OFFSET(G428,-CFF.NumLinha,0)))</f>
        <v>#N/A</v>
      </c>
      <c r="H428" s="93" t="e">
        <f ca="1">IF(AND($C428&lt;=3,$C428&lt;&gt;0),0,IF($C428=4,OFFSET(H428,-CFF.NumLinha,0)+1,OFFSET(H428,-CFF.NumLinha,0)))</f>
        <v>#N/A</v>
      </c>
      <c r="I428" s="93" t="e">
        <f ca="1">MATCH(0,OFFSET($D428,1,$C428,ROW($A$435)-ROW($A428)),0)</f>
        <v>#N/A</v>
      </c>
      <c r="J428" s="93" t="e">
        <f ca="1">MATCH(OFFSET($D428,0,$C428)+1,OFFSET($D428,1,$C428,ROW($A$435)-ROW($A428)),0)</f>
        <v>#N/A</v>
      </c>
      <c r="K428" s="94" t="e">
        <f ca="1">ROUND(INDEX(PO!U$11:U$1504,MATCH($A428,PO!$W$11:$W$1504,0)),2)+10^-12</f>
        <v>#N/A</v>
      </c>
      <c r="L428" s="270"/>
      <c r="M428" s="272"/>
      <c r="N428" s="274"/>
      <c r="O428" s="115" t="s">
        <v>7</v>
      </c>
      <c r="P428" s="108" t="e">
        <f t="shared" ref="P428:W428" ca="1" si="280">IF($B428,ROUND(P427*$N426,2),ROUND(SUMIF(OFFSET($B428,1,0,$D428),TRUE,OFFSET(P428,1,0,$D428))/SUMIF(OFFSET($B428,1,0,$D428),TRUE,OFFSET($K428,1,0,$D428))*$N426,2))</f>
        <v>#N/A</v>
      </c>
      <c r="Q428" s="78" t="e">
        <f t="shared" ca="1" si="280"/>
        <v>#N/A</v>
      </c>
      <c r="R428" s="78" t="e">
        <f t="shared" ca="1" si="280"/>
        <v>#N/A</v>
      </c>
      <c r="S428" s="78" t="e">
        <f t="shared" ca="1" si="280"/>
        <v>#N/A</v>
      </c>
      <c r="T428" s="78" t="e">
        <f t="shared" ca="1" si="280"/>
        <v>#N/A</v>
      </c>
      <c r="U428" s="78" t="e">
        <f t="shared" ca="1" si="280"/>
        <v>#N/A</v>
      </c>
      <c r="V428" s="78" t="e">
        <f t="shared" ca="1" si="280"/>
        <v>#N/A</v>
      </c>
      <c r="W428" s="118" t="e">
        <f t="shared" ca="1" si="280"/>
        <v>#N/A</v>
      </c>
      <c r="X428" s="105"/>
    </row>
    <row r="429" spans="1:24" customFormat="1" ht="14.25" customHeight="1">
      <c r="A429" s="39"/>
      <c r="B429" s="39"/>
      <c r="C429" s="39"/>
      <c r="D429" s="39"/>
      <c r="E429" s="39"/>
      <c r="F429" s="39"/>
      <c r="G429" s="39"/>
      <c r="H429" s="39"/>
      <c r="I429" s="39"/>
      <c r="J429" s="39"/>
      <c r="K429" s="39"/>
      <c r="L429" s="269" t="e">
        <f ca="1">INDEX(PO!K$11:K$1504,MATCH($A431,PO!$W$11:$W$1504,0))</f>
        <v>#N/A</v>
      </c>
      <c r="M429" s="271" t="e">
        <f ca="1">INDEX(PO!O$11:O$1504,MATCH($A431,PO!$W$11:$W$1504,0))</f>
        <v>#N/A</v>
      </c>
      <c r="N429" s="273" t="e">
        <f ca="1">IF(ROUND(K431,2)=0,K431,ROUND(K431,2))</f>
        <v>#N/A</v>
      </c>
      <c r="O429" s="113" t="s">
        <v>33</v>
      </c>
      <c r="P429" s="112"/>
      <c r="Q429" s="59"/>
      <c r="R429" s="59"/>
      <c r="S429" s="59"/>
      <c r="T429" s="59"/>
      <c r="U429" s="59"/>
      <c r="V429" s="59"/>
      <c r="W429" s="59"/>
      <c r="X429" s="105"/>
    </row>
    <row r="430" spans="1:24" customFormat="1" ht="14.25">
      <c r="A430" s="93"/>
      <c r="B430" s="93"/>
      <c r="C430" s="93"/>
      <c r="D430" s="93"/>
      <c r="E430" s="93"/>
      <c r="F430" s="93"/>
      <c r="G430" s="93"/>
      <c r="H430" s="93"/>
      <c r="I430" s="93"/>
      <c r="J430" s="93"/>
      <c r="K430" s="93"/>
      <c r="L430" s="270"/>
      <c r="M430" s="272"/>
      <c r="N430" s="274"/>
      <c r="O430" s="79" t="s">
        <v>35</v>
      </c>
      <c r="P430" s="107" t="e">
        <f t="shared" ref="P430:W430" ca="1" si="281">MIN(IF($B431,P429+IF(ISNUMBER(O430),O430,0),P431/$N429),1)</f>
        <v>#N/A</v>
      </c>
      <c r="Q430" s="77" t="e">
        <f t="shared" ca="1" si="281"/>
        <v>#N/A</v>
      </c>
      <c r="R430" s="77" t="e">
        <f t="shared" ca="1" si="281"/>
        <v>#N/A</v>
      </c>
      <c r="S430" s="77" t="e">
        <f t="shared" ca="1" si="281"/>
        <v>#N/A</v>
      </c>
      <c r="T430" s="77" t="e">
        <f t="shared" ca="1" si="281"/>
        <v>#N/A</v>
      </c>
      <c r="U430" s="77" t="e">
        <f t="shared" ca="1" si="281"/>
        <v>#N/A</v>
      </c>
      <c r="V430" s="77" t="e">
        <f t="shared" ca="1" si="281"/>
        <v>#N/A</v>
      </c>
      <c r="W430" s="77" t="e">
        <f t="shared" ca="1" si="281"/>
        <v>#N/A</v>
      </c>
      <c r="X430" s="105"/>
    </row>
    <row r="431" spans="1:24" customFormat="1" ht="14.25">
      <c r="A431" s="93">
        <f ca="1">OFFSET(A431,-CFF.NumLinha,0)+1</f>
        <v>138</v>
      </c>
      <c r="B431" s="93" t="e">
        <f ca="1">$C431&gt;=OFFSET($C431,CFF.NumLinha,0)</f>
        <v>#N/A</v>
      </c>
      <c r="C431" s="93" t="e">
        <f ca="1">INDEX(PO!A$11:A$1504,MATCH($A431,PO!$W$11:$W$1504,0))</f>
        <v>#N/A</v>
      </c>
      <c r="D431" s="93" t="e">
        <f ca="1">IF(ISERROR(J431),I431,SMALL(I431:J431,1))-1</f>
        <v>#N/A</v>
      </c>
      <c r="E431" s="93" t="e">
        <f ca="1">IF($C431=1,OFFSET(E431,-CFF.NumLinha,0)+1,OFFSET(E431,-CFF.NumLinha,0))</f>
        <v>#N/A</v>
      </c>
      <c r="F431" s="93" t="e">
        <f ca="1">IF($C431=1,0,IF($C431=2,OFFSET(F431,-CFF.NumLinha,0)+1,OFFSET(F431,-CFF.NumLinha,0)))</f>
        <v>#N/A</v>
      </c>
      <c r="G431" s="93" t="e">
        <f ca="1">IF(AND($C431&lt;=2,$C431&lt;&gt;0),0,IF($C431=3,OFFSET(G431,-CFF.NumLinha,0)+1,OFFSET(G431,-CFF.NumLinha,0)))</f>
        <v>#N/A</v>
      </c>
      <c r="H431" s="93" t="e">
        <f ca="1">IF(AND($C431&lt;=3,$C431&lt;&gt;0),0,IF($C431=4,OFFSET(H431,-CFF.NumLinha,0)+1,OFFSET(H431,-CFF.NumLinha,0)))</f>
        <v>#N/A</v>
      </c>
      <c r="I431" s="93" t="e">
        <f ca="1">MATCH(0,OFFSET($D431,1,$C431,ROW($A$435)-ROW($A431)),0)</f>
        <v>#N/A</v>
      </c>
      <c r="J431" s="93" t="e">
        <f ca="1">MATCH(OFFSET($D431,0,$C431)+1,OFFSET($D431,1,$C431,ROW($A$435)-ROW($A431)),0)</f>
        <v>#N/A</v>
      </c>
      <c r="K431" s="94" t="e">
        <f ca="1">ROUND(INDEX(PO!U$11:U$1504,MATCH($A431,PO!$W$11:$W$1504,0)),2)+10^-12</f>
        <v>#N/A</v>
      </c>
      <c r="L431" s="270"/>
      <c r="M431" s="272"/>
      <c r="N431" s="274"/>
      <c r="O431" s="115" t="s">
        <v>7</v>
      </c>
      <c r="P431" s="108" t="e">
        <f t="shared" ref="P431:W431" ca="1" si="282">IF($B431,ROUND(P430*$N429,2),ROUND(SUMIF(OFFSET($B431,1,0,$D431),TRUE,OFFSET(P431,1,0,$D431))/SUMIF(OFFSET($B431,1,0,$D431),TRUE,OFFSET($K431,1,0,$D431))*$N429,2))</f>
        <v>#N/A</v>
      </c>
      <c r="Q431" s="78" t="e">
        <f t="shared" ca="1" si="282"/>
        <v>#N/A</v>
      </c>
      <c r="R431" s="78" t="e">
        <f t="shared" ca="1" si="282"/>
        <v>#N/A</v>
      </c>
      <c r="S431" s="78" t="e">
        <f t="shared" ca="1" si="282"/>
        <v>#N/A</v>
      </c>
      <c r="T431" s="78" t="e">
        <f t="shared" ca="1" si="282"/>
        <v>#N/A</v>
      </c>
      <c r="U431" s="78" t="e">
        <f t="shared" ca="1" si="282"/>
        <v>#N/A</v>
      </c>
      <c r="V431" s="78" t="e">
        <f t="shared" ca="1" si="282"/>
        <v>#N/A</v>
      </c>
      <c r="W431" s="118" t="e">
        <f t="shared" ca="1" si="282"/>
        <v>#N/A</v>
      </c>
      <c r="X431" s="105"/>
    </row>
    <row r="432" spans="1:24" customFormat="1" ht="14.25" customHeight="1">
      <c r="A432" s="39"/>
      <c r="B432" s="39"/>
      <c r="C432" s="39"/>
      <c r="D432" s="39"/>
      <c r="E432" s="39"/>
      <c r="F432" s="39"/>
      <c r="G432" s="39"/>
      <c r="H432" s="39"/>
      <c r="I432" s="39"/>
      <c r="J432" s="39"/>
      <c r="K432" s="39"/>
      <c r="L432" s="269" t="e">
        <f ca="1">INDEX(PO!K$11:K$1504,MATCH($A434,PO!$W$11:$W$1504,0))</f>
        <v>#N/A</v>
      </c>
      <c r="M432" s="271" t="e">
        <f ca="1">INDEX(PO!O$11:O$1504,MATCH($A434,PO!$W$11:$W$1504,0))</f>
        <v>#N/A</v>
      </c>
      <c r="N432" s="273" t="e">
        <f ca="1">IF(ROUND(K434,2)=0,K434,ROUND(K434,2))</f>
        <v>#N/A</v>
      </c>
      <c r="O432" s="113" t="s">
        <v>33</v>
      </c>
      <c r="P432" s="112"/>
      <c r="Q432" s="59"/>
      <c r="R432" s="59"/>
      <c r="S432" s="59"/>
      <c r="T432" s="59"/>
      <c r="U432" s="59"/>
      <c r="V432" s="59"/>
      <c r="W432" s="59"/>
      <c r="X432" s="105"/>
    </row>
    <row r="433" spans="1:24" customFormat="1" ht="14.25">
      <c r="A433" s="93"/>
      <c r="B433" s="93"/>
      <c r="C433" s="93"/>
      <c r="D433" s="93"/>
      <c r="E433" s="93"/>
      <c r="F433" s="93"/>
      <c r="G433" s="93"/>
      <c r="H433" s="93"/>
      <c r="I433" s="93"/>
      <c r="J433" s="93"/>
      <c r="K433" s="93"/>
      <c r="L433" s="270"/>
      <c r="M433" s="272"/>
      <c r="N433" s="274"/>
      <c r="O433" s="79" t="s">
        <v>35</v>
      </c>
      <c r="P433" s="107" t="e">
        <f t="shared" ref="P433:W433" ca="1" si="283">MIN(IF($B434,P432+IF(ISNUMBER(O433),O433,0),P434/$N432),1)</f>
        <v>#N/A</v>
      </c>
      <c r="Q433" s="77" t="e">
        <f t="shared" ca="1" si="283"/>
        <v>#N/A</v>
      </c>
      <c r="R433" s="77" t="e">
        <f t="shared" ca="1" si="283"/>
        <v>#N/A</v>
      </c>
      <c r="S433" s="77" t="e">
        <f t="shared" ca="1" si="283"/>
        <v>#N/A</v>
      </c>
      <c r="T433" s="77" t="e">
        <f t="shared" ca="1" si="283"/>
        <v>#N/A</v>
      </c>
      <c r="U433" s="77" t="e">
        <f t="shared" ca="1" si="283"/>
        <v>#N/A</v>
      </c>
      <c r="V433" s="77" t="e">
        <f t="shared" ca="1" si="283"/>
        <v>#N/A</v>
      </c>
      <c r="W433" s="77" t="e">
        <f t="shared" ca="1" si="283"/>
        <v>#N/A</v>
      </c>
      <c r="X433" s="105"/>
    </row>
    <row r="434" spans="1:24" customFormat="1" ht="14.25">
      <c r="A434" s="93">
        <f ca="1">OFFSET(A434,-CFF.NumLinha,0)+1</f>
        <v>139</v>
      </c>
      <c r="B434" s="93" t="e">
        <f ca="1">$C434&gt;=OFFSET($C434,CFF.NumLinha,0)</f>
        <v>#N/A</v>
      </c>
      <c r="C434" s="93" t="e">
        <f ca="1">INDEX(PO!A$11:A$1504,MATCH($A434,PO!$W$11:$W$1504,0))</f>
        <v>#N/A</v>
      </c>
      <c r="D434" s="93" t="e">
        <f ca="1">IF(ISERROR(J434),I434,SMALL(I434:J434,1))-1</f>
        <v>#N/A</v>
      </c>
      <c r="E434" s="93" t="e">
        <f ca="1">IF($C434=1,OFFSET(E434,-CFF.NumLinha,0)+1,OFFSET(E434,-CFF.NumLinha,0))</f>
        <v>#N/A</v>
      </c>
      <c r="F434" s="93" t="e">
        <f ca="1">IF($C434=1,0,IF($C434=2,OFFSET(F434,-CFF.NumLinha,0)+1,OFFSET(F434,-CFF.NumLinha,0)))</f>
        <v>#N/A</v>
      </c>
      <c r="G434" s="93" t="e">
        <f ca="1">IF(AND($C434&lt;=2,$C434&lt;&gt;0),0,IF($C434=3,OFFSET(G434,-CFF.NumLinha,0)+1,OFFSET(G434,-CFF.NumLinha,0)))</f>
        <v>#N/A</v>
      </c>
      <c r="H434" s="93" t="e">
        <f ca="1">IF(AND($C434&lt;=3,$C434&lt;&gt;0),0,IF($C434=4,OFFSET(H434,-CFF.NumLinha,0)+1,OFFSET(H434,-CFF.NumLinha,0)))</f>
        <v>#N/A</v>
      </c>
      <c r="I434" s="93" t="e">
        <f ca="1">MATCH(0,OFFSET($D434,1,$C434,ROW($A$435)-ROW($A434)),0)</f>
        <v>#N/A</v>
      </c>
      <c r="J434" s="93" t="e">
        <f ca="1">MATCH(OFFSET($D434,0,$C434)+1,OFFSET($D434,1,$C434,ROW($A$435)-ROW($A434)),0)</f>
        <v>#N/A</v>
      </c>
      <c r="K434" s="94" t="e">
        <f ca="1">ROUND(INDEX(PO!U$11:U$1504,MATCH($A434,PO!$W$11:$W$1504,0)),2)+10^-12</f>
        <v>#N/A</v>
      </c>
      <c r="L434" s="270"/>
      <c r="M434" s="272"/>
      <c r="N434" s="274"/>
      <c r="O434" s="115" t="s">
        <v>7</v>
      </c>
      <c r="P434" s="108" t="e">
        <f t="shared" ref="P434:W434" ca="1" si="284">IF($B434,ROUND(P433*$N432,2),ROUND(SUMIF(OFFSET($B434,1,0,$D434),TRUE,OFFSET(P434,1,0,$D434))/SUMIF(OFFSET($B434,1,0,$D434),TRUE,OFFSET($K434,1,0,$D434))*$N432,2))</f>
        <v>#N/A</v>
      </c>
      <c r="Q434" s="78" t="e">
        <f t="shared" ca="1" si="284"/>
        <v>#N/A</v>
      </c>
      <c r="R434" s="78" t="e">
        <f t="shared" ca="1" si="284"/>
        <v>#N/A</v>
      </c>
      <c r="S434" s="78" t="e">
        <f t="shared" ca="1" si="284"/>
        <v>#N/A</v>
      </c>
      <c r="T434" s="78" t="e">
        <f t="shared" ca="1" si="284"/>
        <v>#N/A</v>
      </c>
      <c r="U434" s="78" t="e">
        <f t="shared" ca="1" si="284"/>
        <v>#N/A</v>
      </c>
      <c r="V434" s="78" t="e">
        <f t="shared" ca="1" si="284"/>
        <v>#N/A</v>
      </c>
      <c r="W434" s="118" t="e">
        <f t="shared" ca="1" si="284"/>
        <v>#N/A</v>
      </c>
      <c r="X434" s="105"/>
    </row>
    <row r="435" spans="1:24" s="24" customFormat="1" ht="12.75" customHeight="1">
      <c r="A435" s="1"/>
      <c r="B435" s="1"/>
      <c r="C435" s="93">
        <v>-1</v>
      </c>
      <c r="D435" s="93"/>
      <c r="E435" s="93">
        <v>0</v>
      </c>
      <c r="F435" s="93">
        <v>0</v>
      </c>
      <c r="G435" s="93">
        <v>0</v>
      </c>
      <c r="H435" s="93">
        <v>0</v>
      </c>
      <c r="I435" s="1"/>
      <c r="J435" s="1"/>
      <c r="K435" s="1"/>
      <c r="L435" s="65"/>
      <c r="M435" s="65"/>
      <c r="N435" s="66"/>
      <c r="O435" s="65"/>
      <c r="P435" s="65"/>
      <c r="Q435" s="66"/>
      <c r="R435" s="65"/>
      <c r="S435" s="65"/>
      <c r="T435" s="65"/>
      <c r="U435" s="65"/>
      <c r="V435" s="65"/>
      <c r="W435" s="65"/>
      <c r="X435" s="95"/>
    </row>
    <row r="436" spans="1:24" ht="12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96"/>
      <c r="M436" s="96"/>
      <c r="N436" s="96"/>
      <c r="O436" s="96"/>
      <c r="P436" s="96"/>
      <c r="Q436" s="96"/>
      <c r="R436" s="96"/>
      <c r="S436" s="96"/>
      <c r="T436" s="96"/>
      <c r="U436" s="96"/>
      <c r="V436" s="96"/>
      <c r="W436" s="96"/>
      <c r="X436" s="97"/>
    </row>
    <row r="437" spans="1:24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289" t="str">
        <f>Import.Município</f>
        <v>Várzea Grande/MT</v>
      </c>
      <c r="M437" s="289"/>
      <c r="N437" s="289"/>
      <c r="O437" s="96"/>
      <c r="P437" s="98"/>
      <c r="Q437" s="286"/>
      <c r="R437" s="286"/>
      <c r="S437" s="286"/>
      <c r="T437" s="96"/>
      <c r="U437" s="96"/>
      <c r="V437" s="96"/>
      <c r="W437" s="96"/>
      <c r="X437" s="97"/>
    </row>
    <row r="438" spans="1:24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99" t="s">
        <v>18</v>
      </c>
      <c r="M438" s="288"/>
      <c r="N438" s="288"/>
      <c r="O438" s="96"/>
      <c r="P438" s="98"/>
      <c r="Q438" s="286"/>
      <c r="R438" s="286"/>
      <c r="S438" s="286"/>
      <c r="T438" s="96"/>
      <c r="U438" s="96"/>
      <c r="V438" s="96"/>
      <c r="W438" s="96"/>
      <c r="X438" s="97"/>
    </row>
    <row r="439" spans="1:24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98"/>
      <c r="M439" s="287"/>
      <c r="N439" s="288"/>
      <c r="O439" s="96"/>
      <c r="P439" s="98"/>
      <c r="Q439" s="286"/>
      <c r="R439" s="286"/>
      <c r="S439" s="286"/>
      <c r="T439" s="96"/>
      <c r="U439" s="96"/>
      <c r="V439" s="96"/>
      <c r="W439" s="96"/>
      <c r="X439" s="97"/>
    </row>
    <row r="440" spans="1:24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275">
        <f ca="1">PO!K1514</f>
        <v>43623</v>
      </c>
      <c r="M440" s="275"/>
      <c r="N440" s="275"/>
      <c r="O440" s="96"/>
      <c r="P440" s="96"/>
      <c r="Q440" s="96"/>
      <c r="R440" s="96"/>
      <c r="S440" s="96"/>
      <c r="T440" s="96"/>
      <c r="U440" s="96"/>
      <c r="V440" s="96"/>
      <c r="W440" s="96"/>
      <c r="X440" s="100"/>
    </row>
    <row r="441" spans="1:24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01" t="s">
        <v>19</v>
      </c>
      <c r="M441" s="102"/>
      <c r="N441" s="102"/>
      <c r="O441" s="96"/>
      <c r="P441" s="96"/>
      <c r="Q441" s="96"/>
      <c r="R441" s="96"/>
      <c r="S441" s="96"/>
      <c r="T441" s="96"/>
      <c r="U441" s="96"/>
      <c r="V441" s="96"/>
      <c r="W441" s="96"/>
      <c r="X441" s="100"/>
    </row>
    <row r="442" spans="1:24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96"/>
      <c r="M442" s="96"/>
      <c r="N442" s="96"/>
      <c r="O442" s="96"/>
      <c r="P442" s="96"/>
      <c r="Q442" s="96"/>
      <c r="R442" s="96"/>
      <c r="S442" s="96"/>
      <c r="T442" s="96"/>
      <c r="U442" s="96"/>
      <c r="V442" s="96"/>
      <c r="W442" s="96"/>
      <c r="X442" s="100"/>
    </row>
    <row r="443" spans="1:24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96"/>
      <c r="M443" s="96"/>
      <c r="N443" s="103"/>
      <c r="O443" s="96"/>
      <c r="P443" s="96"/>
      <c r="Q443" s="96"/>
      <c r="R443" s="96"/>
      <c r="S443" s="96"/>
      <c r="T443" s="96"/>
      <c r="U443" s="96"/>
      <c r="V443" s="96"/>
      <c r="W443" s="96"/>
      <c r="X443" s="97"/>
    </row>
    <row r="444" spans="1:2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96"/>
      <c r="M444" s="96"/>
      <c r="N444" s="103"/>
      <c r="O444" s="96"/>
      <c r="P444" s="96"/>
      <c r="Q444" s="96"/>
      <c r="R444" s="96"/>
      <c r="S444" s="96"/>
      <c r="T444" s="96"/>
      <c r="U444" s="96"/>
      <c r="V444" s="96"/>
      <c r="W444" s="96"/>
      <c r="X444" s="97"/>
    </row>
    <row r="445" spans="1:24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39"/>
      <c r="M445" s="39"/>
      <c r="N445" s="4"/>
      <c r="O445" s="39"/>
      <c r="P445" s="39"/>
      <c r="Q445" s="39"/>
      <c r="R445" s="39"/>
      <c r="S445" s="39"/>
      <c r="T445" s="39"/>
      <c r="U445" s="39"/>
      <c r="V445" s="39"/>
      <c r="W445" s="96"/>
      <c r="X445" s="97"/>
    </row>
  </sheetData>
  <sheetProtection algorithmName="SHA-512" hashValue="451GYhiisUhYfHlNTUb3lBKIdQcZlq665Ewh1cnA0ttu9hmVwwxTXrAZdVMIjL8iAZccbcMxwzBGIeXv6EyhwA==" saltValue="23Hcm3tB0R6LQk/81bYsYw==" spinCount="100000" sheet="1" objects="1" scenarios="1" formatRows="0"/>
  <mergeCells count="430">
    <mergeCell ref="L165:L167"/>
    <mergeCell ref="M165:M167"/>
    <mergeCell ref="N165:N167"/>
    <mergeCell ref="Q439:S439"/>
    <mergeCell ref="M439:N439"/>
    <mergeCell ref="Q438:S438"/>
    <mergeCell ref="Q437:S437"/>
    <mergeCell ref="L437:N437"/>
    <mergeCell ref="M438:N438"/>
    <mergeCell ref="L168:L170"/>
    <mergeCell ref="M168:M170"/>
    <mergeCell ref="N168:N170"/>
    <mergeCell ref="L183:L185"/>
    <mergeCell ref="M183:M185"/>
    <mergeCell ref="N183:N185"/>
    <mergeCell ref="L186:L188"/>
    <mergeCell ref="M186:M188"/>
    <mergeCell ref="N186:N188"/>
    <mergeCell ref="L177:L179"/>
    <mergeCell ref="M177:M179"/>
    <mergeCell ref="N177:N179"/>
    <mergeCell ref="L180:L182"/>
    <mergeCell ref="M180:M182"/>
    <mergeCell ref="N180:N182"/>
    <mergeCell ref="L156:L158"/>
    <mergeCell ref="M156:M158"/>
    <mergeCell ref="N156:N158"/>
    <mergeCell ref="L159:L161"/>
    <mergeCell ref="M159:M161"/>
    <mergeCell ref="N159:N161"/>
    <mergeCell ref="L162:L164"/>
    <mergeCell ref="M162:M164"/>
    <mergeCell ref="N162:N164"/>
    <mergeCell ref="L147:L149"/>
    <mergeCell ref="M147:M149"/>
    <mergeCell ref="N147:N149"/>
    <mergeCell ref="L150:L152"/>
    <mergeCell ref="M150:M152"/>
    <mergeCell ref="N150:N152"/>
    <mergeCell ref="L153:L155"/>
    <mergeCell ref="M153:M155"/>
    <mergeCell ref="N153:N155"/>
    <mergeCell ref="L138:L140"/>
    <mergeCell ref="M138:M140"/>
    <mergeCell ref="N138:N140"/>
    <mergeCell ref="L141:L143"/>
    <mergeCell ref="M141:M143"/>
    <mergeCell ref="N141:N143"/>
    <mergeCell ref="L144:L146"/>
    <mergeCell ref="M144:M146"/>
    <mergeCell ref="N144:N146"/>
    <mergeCell ref="L129:L131"/>
    <mergeCell ref="M129:M131"/>
    <mergeCell ref="N129:N131"/>
    <mergeCell ref="L132:L134"/>
    <mergeCell ref="M132:M134"/>
    <mergeCell ref="N132:N134"/>
    <mergeCell ref="L135:L137"/>
    <mergeCell ref="M135:M137"/>
    <mergeCell ref="N135:N137"/>
    <mergeCell ref="L120:L122"/>
    <mergeCell ref="M120:M122"/>
    <mergeCell ref="N120:N122"/>
    <mergeCell ref="L123:L125"/>
    <mergeCell ref="M123:M125"/>
    <mergeCell ref="N123:N125"/>
    <mergeCell ref="L126:L128"/>
    <mergeCell ref="M126:M128"/>
    <mergeCell ref="N126:N128"/>
    <mergeCell ref="L111:L113"/>
    <mergeCell ref="M111:M113"/>
    <mergeCell ref="N111:N113"/>
    <mergeCell ref="L114:L116"/>
    <mergeCell ref="M114:M116"/>
    <mergeCell ref="N114:N116"/>
    <mergeCell ref="L117:L119"/>
    <mergeCell ref="M117:M119"/>
    <mergeCell ref="N117:N119"/>
    <mergeCell ref="L102:L104"/>
    <mergeCell ref="M102:M104"/>
    <mergeCell ref="N102:N104"/>
    <mergeCell ref="L105:L107"/>
    <mergeCell ref="M105:M107"/>
    <mergeCell ref="N105:N107"/>
    <mergeCell ref="L108:L110"/>
    <mergeCell ref="M108:M110"/>
    <mergeCell ref="N108:N110"/>
    <mergeCell ref="L93:L95"/>
    <mergeCell ref="M93:M95"/>
    <mergeCell ref="N93:N95"/>
    <mergeCell ref="L96:L98"/>
    <mergeCell ref="M96:M98"/>
    <mergeCell ref="N96:N98"/>
    <mergeCell ref="L99:L101"/>
    <mergeCell ref="M99:M101"/>
    <mergeCell ref="N99:N101"/>
    <mergeCell ref="L84:L86"/>
    <mergeCell ref="M84:M86"/>
    <mergeCell ref="N84:N86"/>
    <mergeCell ref="L87:L89"/>
    <mergeCell ref="M87:M89"/>
    <mergeCell ref="N87:N89"/>
    <mergeCell ref="L90:L92"/>
    <mergeCell ref="M90:M92"/>
    <mergeCell ref="N90:N92"/>
    <mergeCell ref="L75:L77"/>
    <mergeCell ref="M75:M77"/>
    <mergeCell ref="N75:N77"/>
    <mergeCell ref="L78:L80"/>
    <mergeCell ref="M78:M80"/>
    <mergeCell ref="N78:N80"/>
    <mergeCell ref="L81:L83"/>
    <mergeCell ref="M81:M83"/>
    <mergeCell ref="N81:N83"/>
    <mergeCell ref="L66:L68"/>
    <mergeCell ref="M66:M68"/>
    <mergeCell ref="N66:N68"/>
    <mergeCell ref="L69:L71"/>
    <mergeCell ref="M69:M71"/>
    <mergeCell ref="N69:N71"/>
    <mergeCell ref="L72:L74"/>
    <mergeCell ref="M72:M74"/>
    <mergeCell ref="N72:N74"/>
    <mergeCell ref="L57:L59"/>
    <mergeCell ref="M57:M59"/>
    <mergeCell ref="N57:N59"/>
    <mergeCell ref="L60:L62"/>
    <mergeCell ref="M60:M62"/>
    <mergeCell ref="N60:N62"/>
    <mergeCell ref="L63:L65"/>
    <mergeCell ref="M63:M65"/>
    <mergeCell ref="N63:N65"/>
    <mergeCell ref="N45:N47"/>
    <mergeCell ref="L48:L50"/>
    <mergeCell ref="M48:M50"/>
    <mergeCell ref="N48:N50"/>
    <mergeCell ref="L51:L53"/>
    <mergeCell ref="M51:M53"/>
    <mergeCell ref="N51:N53"/>
    <mergeCell ref="L54:L56"/>
    <mergeCell ref="M54:M56"/>
    <mergeCell ref="N54:N56"/>
    <mergeCell ref="L21:L23"/>
    <mergeCell ref="M21:M23"/>
    <mergeCell ref="N21:N23"/>
    <mergeCell ref="L24:L26"/>
    <mergeCell ref="M24:M26"/>
    <mergeCell ref="N24:N26"/>
    <mergeCell ref="L27:L29"/>
    <mergeCell ref="M27:M29"/>
    <mergeCell ref="N27:N29"/>
    <mergeCell ref="L30:L32"/>
    <mergeCell ref="M30:M32"/>
    <mergeCell ref="N30:N32"/>
    <mergeCell ref="L33:L35"/>
    <mergeCell ref="M33:M35"/>
    <mergeCell ref="N33:N35"/>
    <mergeCell ref="L36:L38"/>
    <mergeCell ref="M36:M38"/>
    <mergeCell ref="N36:N38"/>
    <mergeCell ref="M11:M13"/>
    <mergeCell ref="L440:N440"/>
    <mergeCell ref="L8:M8"/>
    <mergeCell ref="N11:N13"/>
    <mergeCell ref="L11:L13"/>
    <mergeCell ref="L14:M17"/>
    <mergeCell ref="N14:N17"/>
    <mergeCell ref="L18:L20"/>
    <mergeCell ref="M18:M20"/>
    <mergeCell ref="N18:N20"/>
    <mergeCell ref="L39:L41"/>
    <mergeCell ref="M39:M41"/>
    <mergeCell ref="N39:N41"/>
    <mergeCell ref="L42:L44"/>
    <mergeCell ref="M42:M44"/>
    <mergeCell ref="N42:N44"/>
    <mergeCell ref="L45:L47"/>
    <mergeCell ref="M45:M47"/>
    <mergeCell ref="L171:L173"/>
    <mergeCell ref="M171:M173"/>
    <mergeCell ref="N171:N173"/>
    <mergeCell ref="L174:L176"/>
    <mergeCell ref="M174:M176"/>
    <mergeCell ref="N174:N176"/>
    <mergeCell ref="L195:L197"/>
    <mergeCell ref="M195:M197"/>
    <mergeCell ref="N195:N197"/>
    <mergeCell ref="L198:L200"/>
    <mergeCell ref="M198:M200"/>
    <mergeCell ref="N198:N200"/>
    <mergeCell ref="L189:L191"/>
    <mergeCell ref="M189:M191"/>
    <mergeCell ref="N189:N191"/>
    <mergeCell ref="L192:L194"/>
    <mergeCell ref="M192:M194"/>
    <mergeCell ref="N192:N194"/>
    <mergeCell ref="L207:L209"/>
    <mergeCell ref="M207:M209"/>
    <mergeCell ref="N207:N209"/>
    <mergeCell ref="L210:L212"/>
    <mergeCell ref="M210:M212"/>
    <mergeCell ref="N210:N212"/>
    <mergeCell ref="L201:L203"/>
    <mergeCell ref="M201:M203"/>
    <mergeCell ref="N201:N203"/>
    <mergeCell ref="L204:L206"/>
    <mergeCell ref="M204:M206"/>
    <mergeCell ref="N204:N206"/>
    <mergeCell ref="L219:L221"/>
    <mergeCell ref="M219:M221"/>
    <mergeCell ref="N219:N221"/>
    <mergeCell ref="L222:L224"/>
    <mergeCell ref="M222:M224"/>
    <mergeCell ref="N222:N224"/>
    <mergeCell ref="L213:L215"/>
    <mergeCell ref="M213:M215"/>
    <mergeCell ref="N213:N215"/>
    <mergeCell ref="L216:L218"/>
    <mergeCell ref="M216:M218"/>
    <mergeCell ref="N216:N218"/>
    <mergeCell ref="L231:L233"/>
    <mergeCell ref="M231:M233"/>
    <mergeCell ref="N231:N233"/>
    <mergeCell ref="L234:L236"/>
    <mergeCell ref="M234:M236"/>
    <mergeCell ref="N234:N236"/>
    <mergeCell ref="L225:L227"/>
    <mergeCell ref="M225:M227"/>
    <mergeCell ref="N225:N227"/>
    <mergeCell ref="L228:L230"/>
    <mergeCell ref="M228:M230"/>
    <mergeCell ref="N228:N230"/>
    <mergeCell ref="L243:L245"/>
    <mergeCell ref="M243:M245"/>
    <mergeCell ref="N243:N245"/>
    <mergeCell ref="L246:L248"/>
    <mergeCell ref="M246:M248"/>
    <mergeCell ref="N246:N248"/>
    <mergeCell ref="L237:L239"/>
    <mergeCell ref="M237:M239"/>
    <mergeCell ref="N237:N239"/>
    <mergeCell ref="L240:L242"/>
    <mergeCell ref="M240:M242"/>
    <mergeCell ref="N240:N242"/>
    <mergeCell ref="L252:L254"/>
    <mergeCell ref="M252:M254"/>
    <mergeCell ref="N252:N254"/>
    <mergeCell ref="L255:L257"/>
    <mergeCell ref="M255:M257"/>
    <mergeCell ref="N255:N257"/>
    <mergeCell ref="L249:L251"/>
    <mergeCell ref="M249:M251"/>
    <mergeCell ref="N249:N251"/>
    <mergeCell ref="L264:L266"/>
    <mergeCell ref="M264:M266"/>
    <mergeCell ref="N264:N266"/>
    <mergeCell ref="L267:L269"/>
    <mergeCell ref="M267:M269"/>
    <mergeCell ref="N267:N269"/>
    <mergeCell ref="L258:L260"/>
    <mergeCell ref="M258:M260"/>
    <mergeCell ref="N258:N260"/>
    <mergeCell ref="L261:L263"/>
    <mergeCell ref="M261:M263"/>
    <mergeCell ref="N261:N263"/>
    <mergeCell ref="L276:L278"/>
    <mergeCell ref="M276:M278"/>
    <mergeCell ref="N276:N278"/>
    <mergeCell ref="L279:L281"/>
    <mergeCell ref="M279:M281"/>
    <mergeCell ref="N279:N281"/>
    <mergeCell ref="L270:L272"/>
    <mergeCell ref="M270:M272"/>
    <mergeCell ref="N270:N272"/>
    <mergeCell ref="L273:L275"/>
    <mergeCell ref="M273:M275"/>
    <mergeCell ref="N273:N275"/>
    <mergeCell ref="L288:L290"/>
    <mergeCell ref="M288:M290"/>
    <mergeCell ref="N288:N290"/>
    <mergeCell ref="L291:L293"/>
    <mergeCell ref="M291:M293"/>
    <mergeCell ref="N291:N293"/>
    <mergeCell ref="L282:L284"/>
    <mergeCell ref="M282:M284"/>
    <mergeCell ref="N282:N284"/>
    <mergeCell ref="L285:L287"/>
    <mergeCell ref="M285:M287"/>
    <mergeCell ref="N285:N287"/>
    <mergeCell ref="L300:L302"/>
    <mergeCell ref="M300:M302"/>
    <mergeCell ref="N300:N302"/>
    <mergeCell ref="L303:L305"/>
    <mergeCell ref="M303:M305"/>
    <mergeCell ref="N303:N305"/>
    <mergeCell ref="L294:L296"/>
    <mergeCell ref="M294:M296"/>
    <mergeCell ref="N294:N296"/>
    <mergeCell ref="L297:L299"/>
    <mergeCell ref="M297:M299"/>
    <mergeCell ref="N297:N299"/>
    <mergeCell ref="L312:L314"/>
    <mergeCell ref="M312:M314"/>
    <mergeCell ref="N312:N314"/>
    <mergeCell ref="L315:L317"/>
    <mergeCell ref="M315:M317"/>
    <mergeCell ref="N315:N317"/>
    <mergeCell ref="L306:L308"/>
    <mergeCell ref="M306:M308"/>
    <mergeCell ref="N306:N308"/>
    <mergeCell ref="L309:L311"/>
    <mergeCell ref="M309:M311"/>
    <mergeCell ref="N309:N311"/>
    <mergeCell ref="L324:L326"/>
    <mergeCell ref="M324:M326"/>
    <mergeCell ref="N324:N326"/>
    <mergeCell ref="L327:L329"/>
    <mergeCell ref="M327:M329"/>
    <mergeCell ref="N327:N329"/>
    <mergeCell ref="L318:L320"/>
    <mergeCell ref="M318:M320"/>
    <mergeCell ref="N318:N320"/>
    <mergeCell ref="L321:L323"/>
    <mergeCell ref="M321:M323"/>
    <mergeCell ref="N321:N323"/>
    <mergeCell ref="L336:L338"/>
    <mergeCell ref="M336:M338"/>
    <mergeCell ref="N336:N338"/>
    <mergeCell ref="L339:L341"/>
    <mergeCell ref="M339:M341"/>
    <mergeCell ref="N339:N341"/>
    <mergeCell ref="L330:L332"/>
    <mergeCell ref="M330:M332"/>
    <mergeCell ref="N330:N332"/>
    <mergeCell ref="L333:L335"/>
    <mergeCell ref="M333:M335"/>
    <mergeCell ref="N333:N335"/>
    <mergeCell ref="L348:L350"/>
    <mergeCell ref="M348:M350"/>
    <mergeCell ref="N348:N350"/>
    <mergeCell ref="L351:L353"/>
    <mergeCell ref="M351:M353"/>
    <mergeCell ref="N351:N353"/>
    <mergeCell ref="L342:L344"/>
    <mergeCell ref="M342:M344"/>
    <mergeCell ref="N342:N344"/>
    <mergeCell ref="L345:L347"/>
    <mergeCell ref="M345:M347"/>
    <mergeCell ref="N345:N347"/>
    <mergeCell ref="L360:L362"/>
    <mergeCell ref="M360:M362"/>
    <mergeCell ref="N360:N362"/>
    <mergeCell ref="L363:L365"/>
    <mergeCell ref="M363:M365"/>
    <mergeCell ref="N363:N365"/>
    <mergeCell ref="L354:L356"/>
    <mergeCell ref="M354:M356"/>
    <mergeCell ref="N354:N356"/>
    <mergeCell ref="L357:L359"/>
    <mergeCell ref="M357:M359"/>
    <mergeCell ref="N357:N359"/>
    <mergeCell ref="L372:L374"/>
    <mergeCell ref="M372:M374"/>
    <mergeCell ref="N372:N374"/>
    <mergeCell ref="L375:L377"/>
    <mergeCell ref="M375:M377"/>
    <mergeCell ref="N375:N377"/>
    <mergeCell ref="L366:L368"/>
    <mergeCell ref="M366:M368"/>
    <mergeCell ref="N366:N368"/>
    <mergeCell ref="L369:L371"/>
    <mergeCell ref="M369:M371"/>
    <mergeCell ref="N369:N371"/>
    <mergeCell ref="L384:L386"/>
    <mergeCell ref="M384:M386"/>
    <mergeCell ref="N384:N386"/>
    <mergeCell ref="L387:L389"/>
    <mergeCell ref="M387:M389"/>
    <mergeCell ref="N387:N389"/>
    <mergeCell ref="L378:L380"/>
    <mergeCell ref="M378:M380"/>
    <mergeCell ref="N378:N380"/>
    <mergeCell ref="L381:L383"/>
    <mergeCell ref="M381:M383"/>
    <mergeCell ref="N381:N383"/>
    <mergeCell ref="L396:L398"/>
    <mergeCell ref="M396:M398"/>
    <mergeCell ref="N396:N398"/>
    <mergeCell ref="L399:L401"/>
    <mergeCell ref="M399:M401"/>
    <mergeCell ref="N399:N401"/>
    <mergeCell ref="L390:L392"/>
    <mergeCell ref="M390:M392"/>
    <mergeCell ref="N390:N392"/>
    <mergeCell ref="L393:L395"/>
    <mergeCell ref="M393:M395"/>
    <mergeCell ref="N393:N395"/>
    <mergeCell ref="L408:L410"/>
    <mergeCell ref="M408:M410"/>
    <mergeCell ref="N408:N410"/>
    <mergeCell ref="L411:L413"/>
    <mergeCell ref="M411:M413"/>
    <mergeCell ref="N411:N413"/>
    <mergeCell ref="L402:L404"/>
    <mergeCell ref="M402:M404"/>
    <mergeCell ref="N402:N404"/>
    <mergeCell ref="L405:L407"/>
    <mergeCell ref="M405:M407"/>
    <mergeCell ref="N405:N407"/>
    <mergeCell ref="L420:L422"/>
    <mergeCell ref="M420:M422"/>
    <mergeCell ref="N420:N422"/>
    <mergeCell ref="L423:L425"/>
    <mergeCell ref="M423:M425"/>
    <mergeCell ref="N423:N425"/>
    <mergeCell ref="L414:L416"/>
    <mergeCell ref="M414:M416"/>
    <mergeCell ref="N414:N416"/>
    <mergeCell ref="L417:L419"/>
    <mergeCell ref="M417:M419"/>
    <mergeCell ref="N417:N419"/>
    <mergeCell ref="L432:L434"/>
    <mergeCell ref="M432:M434"/>
    <mergeCell ref="N432:N434"/>
    <mergeCell ref="L426:L428"/>
    <mergeCell ref="M426:M428"/>
    <mergeCell ref="N426:N428"/>
    <mergeCell ref="L429:L431"/>
    <mergeCell ref="M429:M431"/>
    <mergeCell ref="N429:N431"/>
  </mergeCells>
  <phoneticPr fontId="20" type="noConversion"/>
  <conditionalFormatting sqref="L11:N11 L12:M13 L18:N18">
    <cfRule type="expression" dxfId="47" priority="1795" stopIfTrue="1">
      <formula>$C13=1</formula>
    </cfRule>
  </conditionalFormatting>
  <conditionalFormatting sqref="P12:W12 P19:W19">
    <cfRule type="expression" dxfId="46" priority="1857" stopIfTrue="1">
      <formula>AND(ISNUMBER(O13),O13&gt;=$N11)</formula>
    </cfRule>
    <cfRule type="cellIs" dxfId="45" priority="1858" stopIfTrue="1" operator="notBetween">
      <formula>0</formula>
      <formula>1</formula>
    </cfRule>
  </conditionalFormatting>
  <conditionalFormatting sqref="P13:W13 P20:W20">
    <cfRule type="expression" dxfId="44" priority="1859" stopIfTrue="1">
      <formula>AND(ISNUMBER(O13),O13&gt;=$N11)</formula>
    </cfRule>
    <cfRule type="cellIs" dxfId="43" priority="1860" stopIfTrue="1" operator="notBetween">
      <formula>0</formula>
      <formula>$N11</formula>
    </cfRule>
  </conditionalFormatting>
  <conditionalFormatting sqref="P14:W14">
    <cfRule type="expression" dxfId="42" priority="1861" stopIfTrue="1">
      <formula>AND(ISNUMBER(O17),O17&gt;=$N14)</formula>
    </cfRule>
  </conditionalFormatting>
  <conditionalFormatting sqref="P15:W15">
    <cfRule type="expression" dxfId="41" priority="1862" stopIfTrue="1">
      <formula>AND(ISNUMBER(O17),O17&gt;=$N14)</formula>
    </cfRule>
  </conditionalFormatting>
  <conditionalFormatting sqref="P16:W16">
    <cfRule type="expression" dxfId="40" priority="1863" stopIfTrue="1">
      <formula>AND(ISNUMBER(O17),O17&gt;=$N14)</formula>
    </cfRule>
    <cfRule type="cellIs" dxfId="39" priority="1864" stopIfTrue="1" operator="notBetween">
      <formula>0</formula>
      <formula>1</formula>
    </cfRule>
  </conditionalFormatting>
  <conditionalFormatting sqref="P17:W17">
    <cfRule type="expression" dxfId="38" priority="1865" stopIfTrue="1">
      <formula>AND(ISNUMBER(O17),O17&gt;=$N14)</formula>
    </cfRule>
    <cfRule type="cellIs" dxfId="37" priority="1866" stopIfTrue="1" operator="notBetween">
      <formula>0</formula>
      <formula>$N14</formula>
    </cfRule>
  </conditionalFormatting>
  <conditionalFormatting sqref="L8">
    <cfRule type="cellIs" dxfId="36" priority="1852" stopIfTrue="1" operator="notEqual">
      <formula>""</formula>
    </cfRule>
  </conditionalFormatting>
  <conditionalFormatting sqref="N9">
    <cfRule type="expression" dxfId="35" priority="1851" stopIfTrue="1">
      <formula>TipoOrçamento&lt;&gt;"REPROGRAMADOAC"</formula>
    </cfRule>
  </conditionalFormatting>
  <conditionalFormatting sqref="L19:M20">
    <cfRule type="expression" dxfId="34" priority="2686" stopIfTrue="1">
      <formula>#REF!=1</formula>
    </cfRule>
  </conditionalFormatting>
  <conditionalFormatting sqref="L21:N21 L24:N24 L27:N27 L30:N30 L33:N33 L36:N36 L39:N39 L42:N42 L45:N45 L48:N48 L51:N51 L54:N54 L57:N57 L60:N60 L63:N63 L66:N66 L69:N69 L72:N72 L75:N75 L78:N78 L81:N81 L84:N84 L87:N87 L90:N90 L93:N93 L96:N96 L99:N99 L102:N102 L105:N105 L108:N108 L111:N111 L114:N114 L117:N117 L120:N120 L123:N123 L126:N126 L129:N129 L132:N132 L135:N135 L138:N138 L141:N141 L144:N144 L147:N147 L150:N150 L153:N153 L156:N156 L22:M23 L25:M26 L28:M29 L31:M32 L34:M35 L37:M38 L40:M41 L43:M44 L46:M47 L49:M50 L52:M53 L55:M56 L58:M59 L61:M62 L64:M65 L67:M68 L70:M71 L73:M74 L76:M77 L79:M80 L82:M83 L85:M86 L88:M89 L91:M92 L94:M95 L97:M98 L100:M101 L103:M104 L106:M107 L109:M110 L112:M113 L115:M116 L118:M119 L121:M122 L124:M125 L127:M128 L130:M131 L133:M134 L136:M137 L139:M140 L142:M143 L145:M146 L148:M149 L151:M152 L154:M155">
    <cfRule type="expression" dxfId="33" priority="903" stopIfTrue="1">
      <formula>$C23=1</formula>
    </cfRule>
  </conditionalFormatting>
  <conditionalFormatting sqref="P22:W22 P25:W25 P28:W28 P31:W31 P34:W34 P37:W37 P40:W40 P43:W43 P46:W46 P49:W49 P52:W52 P55:W55 P58:W58 P61:W61 P64:W64 P67:W67 P70:W70 P73:W73 P76:W76 P79:W79 P82:W82 P85:W85 P88:W88 P91:W91 P94:W94 P97:W97 P100:W100 P103:W103 P106:W106 P109:W109 P112:W112 P115:W115 P118:W118 P121:W121 P124:W124 P127:W127 P130:W130 P133:W133 P136:W136 P139:W139 P142:W142 P145:W145 P148:W148 P151:W151 P154:W154 P157:W157">
    <cfRule type="expression" dxfId="32" priority="907" stopIfTrue="1">
      <formula>AND(ISNUMBER(O23),O23&gt;=$N21)</formula>
    </cfRule>
    <cfRule type="cellIs" dxfId="31" priority="908" stopIfTrue="1" operator="notBetween">
      <formula>0</formula>
      <formula>1</formula>
    </cfRule>
  </conditionalFormatting>
  <conditionalFormatting sqref="P23:W23 P26:W26 P29:W29 P32:W32 P35:W35 P38:W38 P41:W41 P44:W44 P47:W47 P50:W50 P53:W53 P56:W56 P59:W59 P62:W62 P65:W65 P68:W68 P71:W71 P74:W74 P77:W77 P80:W80 P83:W83 P86:W86 P89:W89 P92:W92 P95:W95 P98:W98 P101:W101 P104:W104 P107:W107 P110:W110 P113:W113 P116:W116 P119:W119 P122:W122 P125:W125 P128:W128 P131:W131 P134:W134 P137:W137 P140:W140 P143:W143 P146:W146 P149:W149 P152:W152 P155:W155 P158:W158">
    <cfRule type="expression" dxfId="30" priority="909" stopIfTrue="1">
      <formula>AND(ISNUMBER(O23),O23&gt;=$N21)</formula>
    </cfRule>
    <cfRule type="cellIs" dxfId="29" priority="910" stopIfTrue="1" operator="notBetween">
      <formula>0</formula>
      <formula>$N21</formula>
    </cfRule>
  </conditionalFormatting>
  <conditionalFormatting sqref="L157:M158">
    <cfRule type="expression" dxfId="28" priority="10954" stopIfTrue="1">
      <formula>#REF!=1</formula>
    </cfRule>
  </conditionalFormatting>
  <conditionalFormatting sqref="L159:N159 L162:N162 L165:N165 L168:N168 L171:N171 L174:N174 L177:N177 L180:N180 L183:N183 L186:N186 L189:N189 L192:N192 L195:N195 L198:N198 L201:N201 L204:N204 L207:N207 L210:N210 L213:N213 L216:N216 L219:N219 L222:N222 L225:N225 L228:N228 L231:N231 L234:N234 L237:N237 L240:N240 L243:N243 L246:N246 L249:N249 L160:M161 L163:M164 L166:M167 L169:M170 L172:M173 L175:M176 L178:M179 L181:M182 L184:M185 L187:M188 L190:M191 L193:M194 L196:M197 L199:M200 L202:M203 L205:M206 L208:M209 L211:M212 L214:M215 L217:M218 L220:M221 L223:M224 L226:M227 L229:M230 L232:M233 L235:M236 L238:M239 L241:M242 L244:M245 L247:M248">
    <cfRule type="expression" dxfId="27" priority="873" stopIfTrue="1">
      <formula>$C161=1</formula>
    </cfRule>
  </conditionalFormatting>
  <conditionalFormatting sqref="P160:W160 P163:W163 P166:W166 P169:W169 P172:W172 P175:W175 P178:W178 P181:W181 P184:W184 P187:W187 P190:W190 P193:W193 P196:W196 P199:W199 P202:W202 P205:W205 P208:W208 P211:W211 P214:W214 P217:W217 P220:W220 P223:W223 P226:W226 P229:W229 P232:W232 P235:W235 P238:W238 P241:W241 P244:W244 P247:W247 P250:W250">
    <cfRule type="expression" dxfId="26" priority="877" stopIfTrue="1">
      <formula>AND(ISNUMBER(O161),O161&gt;=$N159)</formula>
    </cfRule>
    <cfRule type="cellIs" dxfId="25" priority="878" stopIfTrue="1" operator="notBetween">
      <formula>0</formula>
      <formula>1</formula>
    </cfRule>
  </conditionalFormatting>
  <conditionalFormatting sqref="P161:W161 P164:W164 P167:W167 P170:W170 P173:W173 P176:W176 P179:W179 P182:W182 P185:W185 P188:W188 P191:W191 P194:W194 P197:W197 P200:W200 P203:W203 P206:W206 P209:W209 P212:W212 P215:W215 P218:W218 P221:W221 P224:W224 P227:W227 P230:W230 P233:W233 P236:W236 P239:W239 P242:W242 P245:W245 P248:W248 P251:W251">
    <cfRule type="expression" dxfId="24" priority="879" stopIfTrue="1">
      <formula>AND(ISNUMBER(O161),O161&gt;=$N159)</formula>
    </cfRule>
    <cfRule type="cellIs" dxfId="23" priority="880" stopIfTrue="1" operator="notBetween">
      <formula>0</formula>
      <formula>$N159</formula>
    </cfRule>
  </conditionalFormatting>
  <conditionalFormatting sqref="L250:M251">
    <cfRule type="expression" dxfId="22" priority="22294" stopIfTrue="1">
      <formula>$C435=1</formula>
    </cfRule>
  </conditionalFormatting>
  <conditionalFormatting sqref="L252:N252 L255:N255 L258:N258 L261:N261 L264:N264 L267:N267 L270:N270 L273:N273 L276:N276 L279:N279 L282:N282 L285:N285 L288:N288 L291:N291 L294:N294 L297:N297 L300:N300 L303:N303 L306:N306 L309:N309 L253:M254 L256:M257 L259:M260 L262:M263 L265:M266 L268:M269 L271:M272 L274:M275 L277:M278 L280:M281 L283:M284 L286:M287 L289:M290 L292:M293 L295:M296 L298:M299 L301:M302 L304:M305 L307:M308">
    <cfRule type="expression" dxfId="21" priority="868" stopIfTrue="1">
      <formula>$C254=1</formula>
    </cfRule>
  </conditionalFormatting>
  <conditionalFormatting sqref="P253:W253 P256:W256 P259:W259 P262:W262 P265:W265 P268:W268 P271:W271 P274:W274 P277:W277 P280:W280 P283:W283 P286:W286 P289:W289 P292:W292 P295:W295 P298:W298 P301:W301 P304:W304 P307:W307 P310:W310">
    <cfRule type="expression" dxfId="20" priority="869" stopIfTrue="1">
      <formula>AND(ISNUMBER(O254),O254&gt;=$N252)</formula>
    </cfRule>
    <cfRule type="cellIs" dxfId="19" priority="870" stopIfTrue="1" operator="notBetween">
      <formula>0</formula>
      <formula>1</formula>
    </cfRule>
  </conditionalFormatting>
  <conditionalFormatting sqref="P254:W254 P257:W257 P260:W260 P263:W263 P266:W266 P269:W269 P272:W272 P275:W275 P278:W278 P281:W281 P284:W284 P287:W287 P290:W290 P293:W293 P296:W296 P299:W299 P302:W302 P305:W305 P308:W308 P311:W311">
    <cfRule type="expression" dxfId="18" priority="871" stopIfTrue="1">
      <formula>AND(ISNUMBER(O254),O254&gt;=$N252)</formula>
    </cfRule>
    <cfRule type="cellIs" dxfId="17" priority="872" stopIfTrue="1" operator="notBetween">
      <formula>0</formula>
      <formula>$N252</formula>
    </cfRule>
  </conditionalFormatting>
  <conditionalFormatting sqref="L310:M311">
    <cfRule type="expression" dxfId="16" priority="22295" stopIfTrue="1">
      <formula>$C435=1</formula>
    </cfRule>
  </conditionalFormatting>
  <conditionalFormatting sqref="L312:N312 L315:N315 L318:N318 L321:N321 L324:N324 L327:N327 L330:N330 L333:N333 L336:N336 L339:N339 L342:N342 L345:N345 L348:N348 L351:N351 L354:N354 L357:N357 L360:N360 L363:N363 L366:N366 L369:N369 L372:N372 L375:N375 L378:N378 L381:N381 L384:N384 L387:N387 L390:N390 L393:N393 L396:N396 L399:N399 L402:N402 L405:N405 L408:N408 L411:N411 L414:N414 L417:N417 L420:N420 L423:N423 L426:N426 L429:N429 L432:N432 L313:M314 L316:M317 L319:M320 L322:M323 L325:M326 L328:M329 L331:M332 L334:M335 L337:M338 L340:M341 L343:M344 L346:M347 L349:M350 L352:M353 L355:M356 L358:M359 L361:M362 L364:M365 L367:M368 L370:M371 L373:M374 L376:M377 L379:M380 L382:M383 L385:M386 L388:M389 L391:M392 L394:M395 L397:M398 L400:M401 L403:M404 L406:M407 L409:M410 L412:M413 L415:M416 L418:M419 L421:M422 L424:M425 L427:M428 L430:M431">
    <cfRule type="expression" dxfId="15" priority="863" stopIfTrue="1">
      <formula>$C314=1</formula>
    </cfRule>
  </conditionalFormatting>
  <conditionalFormatting sqref="P313:W313 P316:W316 P319:W319 P322:W322 P325:W325 P328:W328 P331:W331 P334:W334 P337:W337 P340:W340 P343:W343 P346:W346 P349:W349 P352:W352 P355:W355 P358:W358 P361:W361 P364:W364 P367:W367 P370:W370 P373:W373 P376:W376 P379:W379 P382:W382 P385:W385 P388:W388 P391:W391 P394:W394 P397:W397 P400:W400 P403:W403 P406:W406 P409:W409 P412:W412 P415:W415 P418:W418 P421:W421 P424:W424 P427:W427 P430:W430 P433:W433">
    <cfRule type="expression" dxfId="14" priority="864" stopIfTrue="1">
      <formula>AND(ISNUMBER(O314),O314&gt;=$N312)</formula>
    </cfRule>
    <cfRule type="cellIs" dxfId="13" priority="865" stopIfTrue="1" operator="notBetween">
      <formula>0</formula>
      <formula>1</formula>
    </cfRule>
  </conditionalFormatting>
  <conditionalFormatting sqref="P314:W314 P317:W317 P320:W320 P323:W323 P326:W326 P329:W329 P332:W332 P335:W335 P338:W338 P341:W341 P344:W344 P347:W347 P350:W350 P353:W353 P356:W356 P359:W359 P362:W362 P365:W365 P368:W368 P371:W371 P374:W374 P377:W377 P380:W380 P383:W383 P386:W386 P389:W389 P392:W392 P395:W395 P398:W398 P401:W401 P404:W404 P407:W407 P410:W410 P413:W413 P416:W416 P419:W419 P422:W422 P425:W425 P428:W428 P431:W431 P434:W434">
    <cfRule type="expression" dxfId="12" priority="866" stopIfTrue="1">
      <formula>AND(ISNUMBER(O314),O314&gt;=$N312)</formula>
    </cfRule>
    <cfRule type="cellIs" dxfId="11" priority="867" stopIfTrue="1" operator="notBetween">
      <formula>0</formula>
      <formula>$N312</formula>
    </cfRule>
  </conditionalFormatting>
  <conditionalFormatting sqref="L433:M434">
    <cfRule type="expression" dxfId="10" priority="24799" stopIfTrue="1">
      <formula>#REF!=1</formula>
    </cfRule>
  </conditionalFormatting>
  <dataValidations count="2">
    <dataValidation type="whole" operator="greaterThanOrEqual" allowBlank="1" showInputMessage="1" showErrorMessage="1" errorTitle="Erro de Valor" error="Digite somente números inteiros positivos." promptTitle="Qtde de Medições já realizadas:" prompt="Digite a quantidade de medições já realizadas para o CTEF antes da Reprogramação." sqref="N9">
      <formula1>0</formula1>
    </dataValidation>
    <dataValidation type="decimal" allowBlank="1" showInputMessage="1" showErrorMessage="1" errorTitle="Erro de Dados" error="Digite valores maiores ou iguais à 0%. O % acumulado não deve ultrapassar 100%." sqref="P24:W24 P21:W21 P11:W11 P18:W18 P432:W432 P429:W429 P426:W426 P423:W423 P420:W420 P417:W417 P414:W414 P411:W411 P408:W408 P405:W405 P402:W402 P399:W399 P396:W396 P393:W393 P390:W390 P387:W387 P384:W384 P381:W381 P378:W378 P375:W375 P372:W372 P369:W369 P366:W366 P363:W363 P360:W360 P357:W357 P354:W354 P351:W351 P348:W348 P345:W345 P342:W342 P339:W339 P336:W336 P333:W333 P330:W330 P327:W327 P324:W324 P321:W321 P318:W318 P315:W315 P312:W312 P309:W309 P306:W306 P303:W303 P300:W300 P297:W297 P294:W294 P291:W291 P288:W288 P285:W285 P282:W282 P279:W279 P276:W276 P273:W273 P270:W270 P267:W267 P264:W264 P261:W261 P258:W258 P255:W255 P252:W252 P249:W249 P246:W246 P243:W243 P240:W240 P237:W237 P234:W234 P231:W231 P228:W228 P225:W225 P222:W222 P219:W219 P216:W216 P213:W213 P210:W210 P207:W207 P204:W204 P201:W201 P198:W198 P195:W195 P192:W192 P189:W189 P186:W186 P183:W183 P180:W180 P177:W177 P174:W174 P171:W171 P168:W168 P165:W165 P162:W162 P159:W159 P156:W156 P153:W153 P150:W150 P147:W147 P144:W144 P141:W141 P138:W138 P135:W135 P132:W132 P129:W129 P126:W126 P123:W123 P120:W120 P117:W117 P114:W114 P111:W111 P108:W108 P105:W105 P102:W102 P99:W99 P96:W96 P93:W93 P90:W90 P87:W87 P84:W84 P81:W81 P78:W78 P75:W75 P72:W72 P69:W69 P66:W66 P63:W63 P60:W60 P57:W57 P54:W54 P51:W51 P48:W48 P45:W45 P42:W42 P39:W39 P36:W36 P33:W33 P30:W30 P27:W27">
      <formula1>0</formula1>
      <formula2>1-SUM($P11:P11)+P11</formula2>
    </dataValidation>
  </dataValidations>
  <pageMargins left="0.39370078740157483" right="0.39370078740157483" top="0.78740157480314965" bottom="0.78740157480314965" header="0" footer="0"/>
  <pageSetup paperSize="9" scale="66" fitToWidth="0" fitToHeight="0" pageOrder="overThenDown" orientation="landscape" errors="dash" horizontalDpi="1200" verticalDpi="1200" r:id="rId1"/>
  <headerFooter>
    <oddFooter>&amp;R&amp;P&amp;LXX.XXX v001  micro</oddFooter>
  </headerFooter>
  <drawing r:id="rId2"/>
  <legacyDrawing r:id="rId3"/>
  <oleObjects>
    <oleObject shapeId="193474" r:id="rId4"/>
  </oleObjects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topLeftCell="A25" workbookViewId="0"/>
  </sheetViews>
  <sheetFormatPr defaultRowHeight="12.75"/>
  <sheetData/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>
  <sheetPr codeName="Plan5" filterMode="1">
    <pageSetUpPr fitToPage="1"/>
  </sheetPr>
  <dimension ref="A1:Y491"/>
  <sheetViews>
    <sheetView showGridLines="0" topLeftCell="B1" workbookViewId="0">
      <pane ySplit="10" topLeftCell="A11" activePane="bottomLeft" state="frozen"/>
      <selection activeCell="B1" sqref="B1"/>
      <selection pane="bottomLeft" activeCell="F327" sqref="F327"/>
    </sheetView>
  </sheetViews>
  <sheetFormatPr defaultRowHeight="12.75"/>
  <cols>
    <col min="1" max="1" width="11.7109375" hidden="1" customWidth="1"/>
    <col min="2" max="2" width="8.28515625" hidden="1" customWidth="1"/>
    <col min="3" max="4" width="14.28515625" customWidth="1"/>
    <col min="5" max="5" width="9.28515625" style="72" customWidth="1"/>
    <col min="6" max="6" width="48.28515625" customWidth="1"/>
    <col min="7" max="7" width="10" style="72" customWidth="1"/>
    <col min="8" max="8" width="12.85546875" hidden="1" customWidth="1"/>
    <col min="9" max="10" width="12.85546875" customWidth="1"/>
    <col min="11" max="11" width="10" style="72" customWidth="1"/>
    <col min="12" max="12" width="12.140625" customWidth="1"/>
    <col min="13" max="13" width="14.28515625" hidden="1" customWidth="1"/>
    <col min="14" max="14" width="14.28515625" customWidth="1"/>
    <col min="15" max="15" width="18.42578125" hidden="1" customWidth="1"/>
    <col min="16" max="16" width="12.140625" hidden="1" customWidth="1"/>
    <col min="17" max="18" width="10.7109375" style="72" customWidth="1"/>
    <col min="19" max="19" width="13.85546875" hidden="1" customWidth="1"/>
    <col min="20" max="20" width="13.28515625" hidden="1" customWidth="1"/>
    <col min="21" max="21" width="26.42578125" style="72" customWidth="1"/>
    <col min="22" max="22" width="9.140625" customWidth="1"/>
    <col min="25" max="25" width="18.28515625" bestFit="1" customWidth="1"/>
  </cols>
  <sheetData>
    <row r="1" spans="1:25" s="173" customFormat="1" ht="13.5" customHeight="1">
      <c r="A1" s="2" t="s">
        <v>94</v>
      </c>
      <c r="E1" s="174" t="s">
        <v>116</v>
      </c>
      <c r="G1" s="175"/>
      <c r="I1"/>
      <c r="K1" s="175"/>
      <c r="N1"/>
      <c r="O1"/>
      <c r="P1"/>
      <c r="Q1" s="175"/>
      <c r="R1" s="175"/>
      <c r="S1"/>
      <c r="T1"/>
      <c r="U1" s="175"/>
      <c r="V1"/>
      <c r="Y1" s="119" t="s">
        <v>49</v>
      </c>
    </row>
    <row r="2" spans="1:25" s="173" customFormat="1" ht="13.5" customHeight="1">
      <c r="A2" s="2" t="s">
        <v>95</v>
      </c>
      <c r="E2" s="176" t="s">
        <v>117</v>
      </c>
      <c r="G2" s="175"/>
      <c r="I2"/>
      <c r="K2" s="175"/>
      <c r="N2"/>
      <c r="O2"/>
      <c r="P2"/>
      <c r="Q2" s="175"/>
      <c r="R2" s="175"/>
      <c r="S2"/>
      <c r="T2"/>
      <c r="U2" s="175"/>
      <c r="V2"/>
      <c r="Y2" s="120" t="s">
        <v>119</v>
      </c>
    </row>
    <row r="3" spans="1:25">
      <c r="A3" s="140">
        <v>2</v>
      </c>
    </row>
    <row r="4" spans="1:25">
      <c r="A4" s="2" t="s">
        <v>96</v>
      </c>
      <c r="C4" s="2"/>
      <c r="G4" s="6"/>
      <c r="H4" s="2"/>
    </row>
    <row r="5" spans="1:25" ht="82.5" customHeight="1">
      <c r="A5" s="2" t="s">
        <v>97</v>
      </c>
      <c r="G5" s="6"/>
      <c r="H5" s="2"/>
    </row>
    <row r="6" spans="1:25">
      <c r="A6" s="140">
        <v>1</v>
      </c>
      <c r="G6" s="6"/>
      <c r="H6" s="2"/>
    </row>
    <row r="7" spans="1:25" ht="17.25" customHeight="1">
      <c r="A7" s="141">
        <v>471</v>
      </c>
      <c r="C7" s="2"/>
      <c r="L7" s="147" t="s">
        <v>100</v>
      </c>
      <c r="M7" s="148">
        <f ca="1">SUMIF(OFFSET($S$10,1,0,$A$7),TRUE,OFFSET($M$10,1,0,$A$7))</f>
        <v>0</v>
      </c>
      <c r="N7" s="148">
        <f ca="1">M7</f>
        <v>0</v>
      </c>
      <c r="Q7" s="147" t="s">
        <v>99</v>
      </c>
      <c r="R7" s="149">
        <v>0.8</v>
      </c>
    </row>
    <row r="8" spans="1:25" hidden="1">
      <c r="A8" s="141">
        <v>0</v>
      </c>
      <c r="B8">
        <f t="shared" ref="B8:M8" ca="1" si="0">MATCH(B10,OFFSET(Import.PO,-3,0,1),0)</f>
        <v>1</v>
      </c>
      <c r="C8">
        <f t="shared" ca="1" si="0"/>
        <v>2</v>
      </c>
      <c r="D8">
        <f t="shared" ca="1" si="0"/>
        <v>3</v>
      </c>
      <c r="E8" s="72">
        <f t="shared" ca="1" si="0"/>
        <v>4</v>
      </c>
      <c r="F8">
        <f t="shared" ca="1" si="0"/>
        <v>5</v>
      </c>
      <c r="G8" s="72">
        <f t="shared" ca="1" si="0"/>
        <v>6</v>
      </c>
      <c r="H8">
        <f t="shared" ca="1" si="0"/>
        <v>7</v>
      </c>
      <c r="J8">
        <f t="shared" ca="1" si="0"/>
        <v>8</v>
      </c>
      <c r="K8" s="72">
        <f t="shared" ca="1" si="0"/>
        <v>17</v>
      </c>
      <c r="L8">
        <f t="shared" ca="1" si="0"/>
        <v>10</v>
      </c>
      <c r="M8">
        <f t="shared" ca="1" si="0"/>
        <v>11</v>
      </c>
      <c r="Q8" s="142" t="e">
        <f ca="1">SMALL(OFFSET($R$10,1,0,$A$7),1+COUNTIF(OFFSET($R$10,1,0,$A$7),"&lt;"&amp;PARETO))</f>
        <v>#NUM!</v>
      </c>
      <c r="U8"/>
    </row>
    <row r="9" spans="1:25" hidden="1">
      <c r="A9" s="143">
        <f>ROW(A9)-ROW($A$10)</f>
        <v>-1</v>
      </c>
      <c r="B9" s="167" t="e">
        <f t="shared" ref="B9:H9" ca="1" si="1">IF($A9&lt;=$A$8,INDEX(Import.PO,$A9,B$8),0)</f>
        <v>#VALUE!</v>
      </c>
      <c r="C9" s="167" t="e">
        <f t="shared" ca="1" si="1"/>
        <v>#VALUE!</v>
      </c>
      <c r="D9" s="167" t="e">
        <f t="shared" ca="1" si="1"/>
        <v>#VALUE!</v>
      </c>
      <c r="E9" s="168" t="e">
        <f t="shared" ca="1" si="1"/>
        <v>#VALUE!</v>
      </c>
      <c r="F9" s="167" t="e">
        <f t="shared" ca="1" si="1"/>
        <v>#VALUE!</v>
      </c>
      <c r="G9" s="168" t="e">
        <f t="shared" ca="1" si="1"/>
        <v>#VALUE!</v>
      </c>
      <c r="H9" s="169" t="e">
        <f t="shared" ca="1" si="1"/>
        <v>#VALUE!</v>
      </c>
      <c r="I9" s="169" t="e">
        <f ca="1">IF($P9=ROW($P9)-ROW($P$10),SUMIF(OFFSET($P$10,1,0,$A$7),$P9,OFFSET($H$10,1,0,$A$7)),OFFSET($I$10,$P9,0))</f>
        <v>#VALUE!</v>
      </c>
      <c r="J9" s="169" t="e">
        <f ca="1">IF($A9&lt;=$A$8,INDEX(Import.PO,$A9,J$8),0)</f>
        <v>#VALUE!</v>
      </c>
      <c r="K9" s="170" t="e">
        <f ca="1">IF($A9&lt;=$A$8,INDEX(Import.PO,$A9,K$8),0)</f>
        <v>#VALUE!</v>
      </c>
      <c r="L9" s="169" t="e">
        <f ca="1">IF($A9&lt;=$A$8,INDEX(Import.PO,$A9,L$8),0)</f>
        <v>#VALUE!</v>
      </c>
      <c r="M9" s="169" t="e">
        <f ca="1">IF($A9&lt;=$A$8,INDEX(Import.PO,$A9,M$8),0)</f>
        <v>#VALUE!</v>
      </c>
      <c r="N9" s="169" t="e">
        <f ca="1">IF($P9=ROW($P9)-ROW($P$10),SUMIF(OFFSET($P$10,1,0,$A$7),$P9,OFFSET($M$10,1,0,$A$7)),OFFSET($N$10,$P9,0))</f>
        <v>#VALUE!</v>
      </c>
      <c r="O9" s="171" t="e">
        <f ca="1">IF($S9,D9&amp;"-"&amp;E9,"")</f>
        <v>#VALUE!</v>
      </c>
      <c r="P9" s="171" t="e">
        <f ca="1">IF($S9,MATCH(O9,OFFSET($O$10,1,0,$A$7),0),"")</f>
        <v>#VALUE!</v>
      </c>
      <c r="Q9" s="170" t="e">
        <f ca="1">IF($P9=ROW($P9)-ROW($P$10),$N9/$M$7,IF(ISNUMBER($P9),TEXT(OFFSET($Q$10,$P9,0)," 0,00% "),0))</f>
        <v>#VALUE!</v>
      </c>
      <c r="R9" s="170">
        <f ca="1">SUMIF(OFFSET($Q$10,1,0,$A$7),"&gt;="&amp;$N9/$M$7,OFFSET($Q$10,1,0,$A$7))</f>
        <v>0</v>
      </c>
      <c r="S9" s="171" t="e">
        <f ca="1">E9&lt;&gt;0</f>
        <v>#VALUE!</v>
      </c>
      <c r="T9" s="171" t="e">
        <f ca="1">IF($P9=ROW($P9)-ROW($P$10),R9&lt;=$Q$8,IF(ISNUMBER($P9),OFFSET($T$10,VALUE($P9),0),FALSE))</f>
        <v>#VALUE!</v>
      </c>
      <c r="U9" s="172"/>
    </row>
    <row r="10" spans="1:25" ht="25.5">
      <c r="A10" s="144" t="s">
        <v>86</v>
      </c>
      <c r="B10" s="145" t="s">
        <v>37</v>
      </c>
      <c r="C10" s="145" t="s">
        <v>36</v>
      </c>
      <c r="D10" s="145" t="s">
        <v>47</v>
      </c>
      <c r="E10" s="145" t="s">
        <v>2</v>
      </c>
      <c r="F10" s="145" t="s">
        <v>32</v>
      </c>
      <c r="G10" s="145" t="s">
        <v>39</v>
      </c>
      <c r="H10" s="145" t="s">
        <v>38</v>
      </c>
      <c r="I10" s="145" t="s">
        <v>89</v>
      </c>
      <c r="J10" s="145" t="s">
        <v>90</v>
      </c>
      <c r="K10" s="145" t="s">
        <v>87</v>
      </c>
      <c r="L10" s="145" t="s">
        <v>40</v>
      </c>
      <c r="M10" s="145" t="s">
        <v>3</v>
      </c>
      <c r="N10" s="145" t="s">
        <v>98</v>
      </c>
      <c r="O10" s="145" t="s">
        <v>36</v>
      </c>
      <c r="P10" s="145" t="s">
        <v>88</v>
      </c>
      <c r="Q10" s="145" t="s">
        <v>91</v>
      </c>
      <c r="R10" s="145" t="s">
        <v>92</v>
      </c>
      <c r="S10" s="145" t="s">
        <v>37</v>
      </c>
      <c r="T10" s="145" t="s">
        <v>93</v>
      </c>
      <c r="U10" s="146" t="s">
        <v>115</v>
      </c>
    </row>
    <row r="11" spans="1:25" hidden="1">
      <c r="A11" s="143">
        <v>90</v>
      </c>
      <c r="B11" s="167">
        <f t="shared" ref="B11:H20" si="2">IF($A11&lt;=$A$8,INDEX(Import.PO,$A11,B$8),0)</f>
        <v>0</v>
      </c>
      <c r="C11" s="167">
        <f t="shared" si="2"/>
        <v>0</v>
      </c>
      <c r="D11" s="167">
        <f t="shared" si="2"/>
        <v>0</v>
      </c>
      <c r="E11" s="168">
        <f t="shared" si="2"/>
        <v>0</v>
      </c>
      <c r="F11" s="167">
        <f t="shared" si="2"/>
        <v>0</v>
      </c>
      <c r="G11" s="168">
        <f t="shared" si="2"/>
        <v>0</v>
      </c>
      <c r="H11" s="169">
        <f t="shared" si="2"/>
        <v>0</v>
      </c>
      <c r="I11" s="169" t="e">
        <f t="shared" ref="I11:I74" ca="1" si="3">IF($P11=ROW($P11)-ROW($P$10),SUMIF(OFFSET($P$10,1,0,$A$7),$P11,OFFSET($H$10,1,0,$A$7)),OFFSET($I$10,$P11,0))</f>
        <v>#VALUE!</v>
      </c>
      <c r="J11" s="169">
        <f t="shared" ref="J11:M30" si="4">IF($A11&lt;=$A$8,INDEX(Import.PO,$A11,J$8),0)</f>
        <v>0</v>
      </c>
      <c r="K11" s="170">
        <f t="shared" si="4"/>
        <v>0</v>
      </c>
      <c r="L11" s="169">
        <f t="shared" si="4"/>
        <v>0</v>
      </c>
      <c r="M11" s="169">
        <f t="shared" si="4"/>
        <v>0</v>
      </c>
      <c r="N11" s="169" t="e">
        <f t="shared" ref="N11:N74" ca="1" si="5">IF($P11=ROW($P11)-ROW($P$10),SUMIF(OFFSET($P$10,1,0,$A$7),$P11,OFFSET($M$10,1,0,$A$7)),OFFSET($N$10,$P11,0))</f>
        <v>#VALUE!</v>
      </c>
      <c r="O11" s="171" t="str">
        <f t="shared" ref="O11:O74" si="6">IF($S11,D11&amp;"-"&amp;E11,"")</f>
        <v/>
      </c>
      <c r="P11" s="171" t="str">
        <f t="shared" ref="P11:P74" ca="1" si="7">IF($S11,MATCH(O11,OFFSET($O$10,1,0,$A$7),0),"")</f>
        <v/>
      </c>
      <c r="Q11" s="170">
        <f t="shared" ref="Q11:Q74" ca="1" si="8">IF($P11=ROW($P11)-ROW($P$10),$N11/$M$7,IF(ISNUMBER($P11),TEXT(OFFSET($Q$10,$P11,0)," 0,00% "),0))</f>
        <v>0</v>
      </c>
      <c r="R11" s="170">
        <f t="shared" ref="R11:R74" ca="1" si="9">SUMIF(OFFSET($Q$10,1,0,$A$7),"&gt;="&amp;$N11/$M$7,OFFSET($Q$10,1,0,$A$7))</f>
        <v>0</v>
      </c>
      <c r="S11" s="171" t="b">
        <f t="shared" ref="S11:S74" si="10">E11&lt;&gt;0</f>
        <v>0</v>
      </c>
      <c r="T11" s="171" t="b">
        <f t="shared" ref="T11:T74" ca="1" si="11">IF($P11=ROW($P11)-ROW($P$10),R11&lt;=$Q$8,IF(ISNUMBER($P11),OFFSET($T$10,VALUE($P11),0),FALSE))</f>
        <v>0</v>
      </c>
      <c r="U11" s="172"/>
    </row>
    <row r="12" spans="1:25" hidden="1">
      <c r="A12" s="143">
        <v>137</v>
      </c>
      <c r="B12" s="167">
        <f t="shared" si="2"/>
        <v>0</v>
      </c>
      <c r="C12" s="167">
        <f t="shared" si="2"/>
        <v>0</v>
      </c>
      <c r="D12" s="167">
        <f t="shared" si="2"/>
        <v>0</v>
      </c>
      <c r="E12" s="168">
        <f t="shared" si="2"/>
        <v>0</v>
      </c>
      <c r="F12" s="167">
        <f t="shared" si="2"/>
        <v>0</v>
      </c>
      <c r="G12" s="168">
        <f t="shared" si="2"/>
        <v>0</v>
      </c>
      <c r="H12" s="169">
        <f t="shared" si="2"/>
        <v>0</v>
      </c>
      <c r="I12" s="169" t="e">
        <f t="shared" ca="1" si="3"/>
        <v>#VALUE!</v>
      </c>
      <c r="J12" s="169">
        <f t="shared" si="4"/>
        <v>0</v>
      </c>
      <c r="K12" s="170">
        <f t="shared" si="4"/>
        <v>0</v>
      </c>
      <c r="L12" s="169">
        <f t="shared" si="4"/>
        <v>0</v>
      </c>
      <c r="M12" s="169">
        <f t="shared" si="4"/>
        <v>0</v>
      </c>
      <c r="N12" s="169" t="e">
        <f t="shared" ca="1" si="5"/>
        <v>#VALUE!</v>
      </c>
      <c r="O12" s="171" t="str">
        <f t="shared" si="6"/>
        <v/>
      </c>
      <c r="P12" s="171" t="str">
        <f t="shared" ca="1" si="7"/>
        <v/>
      </c>
      <c r="Q12" s="170">
        <f t="shared" ca="1" si="8"/>
        <v>0</v>
      </c>
      <c r="R12" s="170">
        <f t="shared" ca="1" si="9"/>
        <v>0</v>
      </c>
      <c r="S12" s="171" t="b">
        <f t="shared" si="10"/>
        <v>0</v>
      </c>
      <c r="T12" s="171" t="b">
        <f t="shared" ca="1" si="11"/>
        <v>0</v>
      </c>
      <c r="U12" s="172"/>
    </row>
    <row r="13" spans="1:25" hidden="1">
      <c r="A13" s="143">
        <v>173</v>
      </c>
      <c r="B13" s="167">
        <f t="shared" si="2"/>
        <v>0</v>
      </c>
      <c r="C13" s="167">
        <f t="shared" si="2"/>
        <v>0</v>
      </c>
      <c r="D13" s="167">
        <f t="shared" si="2"/>
        <v>0</v>
      </c>
      <c r="E13" s="168">
        <f t="shared" si="2"/>
        <v>0</v>
      </c>
      <c r="F13" s="167">
        <f t="shared" si="2"/>
        <v>0</v>
      </c>
      <c r="G13" s="168">
        <f t="shared" si="2"/>
        <v>0</v>
      </c>
      <c r="H13" s="169">
        <f t="shared" si="2"/>
        <v>0</v>
      </c>
      <c r="I13" s="169" t="e">
        <f t="shared" ca="1" si="3"/>
        <v>#VALUE!</v>
      </c>
      <c r="J13" s="169">
        <f t="shared" si="4"/>
        <v>0</v>
      </c>
      <c r="K13" s="170">
        <f t="shared" si="4"/>
        <v>0</v>
      </c>
      <c r="L13" s="169">
        <f t="shared" si="4"/>
        <v>0</v>
      </c>
      <c r="M13" s="169">
        <f t="shared" si="4"/>
        <v>0</v>
      </c>
      <c r="N13" s="169" t="e">
        <f t="shared" ca="1" si="5"/>
        <v>#VALUE!</v>
      </c>
      <c r="O13" s="171" t="str">
        <f t="shared" si="6"/>
        <v/>
      </c>
      <c r="P13" s="171" t="str">
        <f t="shared" ca="1" si="7"/>
        <v/>
      </c>
      <c r="Q13" s="170">
        <f t="shared" ca="1" si="8"/>
        <v>0</v>
      </c>
      <c r="R13" s="170">
        <f t="shared" ca="1" si="9"/>
        <v>0</v>
      </c>
      <c r="S13" s="171" t="b">
        <f t="shared" si="10"/>
        <v>0</v>
      </c>
      <c r="T13" s="171" t="b">
        <f t="shared" ca="1" si="11"/>
        <v>0</v>
      </c>
      <c r="U13" s="172"/>
    </row>
    <row r="14" spans="1:25" hidden="1">
      <c r="A14" s="143">
        <v>198</v>
      </c>
      <c r="B14" s="167">
        <f t="shared" si="2"/>
        <v>0</v>
      </c>
      <c r="C14" s="167">
        <f t="shared" si="2"/>
        <v>0</v>
      </c>
      <c r="D14" s="167">
        <f t="shared" si="2"/>
        <v>0</v>
      </c>
      <c r="E14" s="168">
        <f t="shared" si="2"/>
        <v>0</v>
      </c>
      <c r="F14" s="167">
        <f t="shared" si="2"/>
        <v>0</v>
      </c>
      <c r="G14" s="168">
        <f t="shared" si="2"/>
        <v>0</v>
      </c>
      <c r="H14" s="169">
        <f t="shared" si="2"/>
        <v>0</v>
      </c>
      <c r="I14" s="169" t="e">
        <f t="shared" ca="1" si="3"/>
        <v>#VALUE!</v>
      </c>
      <c r="J14" s="169">
        <f t="shared" si="4"/>
        <v>0</v>
      </c>
      <c r="K14" s="170">
        <f t="shared" si="4"/>
        <v>0</v>
      </c>
      <c r="L14" s="169">
        <f t="shared" si="4"/>
        <v>0</v>
      </c>
      <c r="M14" s="169">
        <f t="shared" si="4"/>
        <v>0</v>
      </c>
      <c r="N14" s="169" t="e">
        <f t="shared" ca="1" si="5"/>
        <v>#VALUE!</v>
      </c>
      <c r="O14" s="171" t="str">
        <f t="shared" si="6"/>
        <v/>
      </c>
      <c r="P14" s="171" t="str">
        <f t="shared" ca="1" si="7"/>
        <v/>
      </c>
      <c r="Q14" s="170">
        <f t="shared" ca="1" si="8"/>
        <v>0</v>
      </c>
      <c r="R14" s="170">
        <f t="shared" ca="1" si="9"/>
        <v>0</v>
      </c>
      <c r="S14" s="171" t="b">
        <f t="shared" si="10"/>
        <v>0</v>
      </c>
      <c r="T14" s="171" t="b">
        <f t="shared" ca="1" si="11"/>
        <v>0</v>
      </c>
      <c r="U14" s="172"/>
    </row>
    <row r="15" spans="1:25" hidden="1">
      <c r="A15" s="143">
        <v>212</v>
      </c>
      <c r="B15" s="167">
        <f t="shared" si="2"/>
        <v>0</v>
      </c>
      <c r="C15" s="167">
        <f t="shared" si="2"/>
        <v>0</v>
      </c>
      <c r="D15" s="167">
        <f t="shared" si="2"/>
        <v>0</v>
      </c>
      <c r="E15" s="168">
        <f t="shared" si="2"/>
        <v>0</v>
      </c>
      <c r="F15" s="167">
        <f t="shared" si="2"/>
        <v>0</v>
      </c>
      <c r="G15" s="168">
        <f t="shared" si="2"/>
        <v>0</v>
      </c>
      <c r="H15" s="169">
        <f t="shared" si="2"/>
        <v>0</v>
      </c>
      <c r="I15" s="169" t="e">
        <f t="shared" ca="1" si="3"/>
        <v>#VALUE!</v>
      </c>
      <c r="J15" s="169">
        <f t="shared" si="4"/>
        <v>0</v>
      </c>
      <c r="K15" s="170">
        <f t="shared" si="4"/>
        <v>0</v>
      </c>
      <c r="L15" s="169">
        <f t="shared" si="4"/>
        <v>0</v>
      </c>
      <c r="M15" s="169">
        <f t="shared" si="4"/>
        <v>0</v>
      </c>
      <c r="N15" s="169" t="e">
        <f t="shared" ca="1" si="5"/>
        <v>#VALUE!</v>
      </c>
      <c r="O15" s="171" t="str">
        <f t="shared" si="6"/>
        <v/>
      </c>
      <c r="P15" s="171" t="str">
        <f t="shared" ca="1" si="7"/>
        <v/>
      </c>
      <c r="Q15" s="170">
        <f t="shared" ca="1" si="8"/>
        <v>0</v>
      </c>
      <c r="R15" s="170">
        <f t="shared" ca="1" si="9"/>
        <v>0</v>
      </c>
      <c r="S15" s="171" t="b">
        <f t="shared" si="10"/>
        <v>0</v>
      </c>
      <c r="T15" s="171" t="b">
        <f t="shared" ca="1" si="11"/>
        <v>0</v>
      </c>
      <c r="U15" s="172"/>
    </row>
    <row r="16" spans="1:25" hidden="1">
      <c r="A16" s="143">
        <v>261</v>
      </c>
      <c r="B16" s="167">
        <f t="shared" si="2"/>
        <v>0</v>
      </c>
      <c r="C16" s="167">
        <f t="shared" si="2"/>
        <v>0</v>
      </c>
      <c r="D16" s="167">
        <f t="shared" si="2"/>
        <v>0</v>
      </c>
      <c r="E16" s="168">
        <f t="shared" si="2"/>
        <v>0</v>
      </c>
      <c r="F16" s="167">
        <f t="shared" si="2"/>
        <v>0</v>
      </c>
      <c r="G16" s="168">
        <f t="shared" si="2"/>
        <v>0</v>
      </c>
      <c r="H16" s="169">
        <f t="shared" si="2"/>
        <v>0</v>
      </c>
      <c r="I16" s="169" t="e">
        <f t="shared" ca="1" si="3"/>
        <v>#VALUE!</v>
      </c>
      <c r="J16" s="169">
        <f t="shared" si="4"/>
        <v>0</v>
      </c>
      <c r="K16" s="170">
        <f t="shared" si="4"/>
        <v>0</v>
      </c>
      <c r="L16" s="169">
        <f t="shared" si="4"/>
        <v>0</v>
      </c>
      <c r="M16" s="169">
        <f t="shared" si="4"/>
        <v>0</v>
      </c>
      <c r="N16" s="169" t="e">
        <f t="shared" ca="1" si="5"/>
        <v>#VALUE!</v>
      </c>
      <c r="O16" s="171" t="str">
        <f t="shared" si="6"/>
        <v/>
      </c>
      <c r="P16" s="171" t="str">
        <f t="shared" ca="1" si="7"/>
        <v/>
      </c>
      <c r="Q16" s="170">
        <f t="shared" ca="1" si="8"/>
        <v>0</v>
      </c>
      <c r="R16" s="170">
        <f t="shared" ca="1" si="9"/>
        <v>0</v>
      </c>
      <c r="S16" s="171" t="b">
        <f t="shared" si="10"/>
        <v>0</v>
      </c>
      <c r="T16" s="171" t="b">
        <f t="shared" ca="1" si="11"/>
        <v>0</v>
      </c>
      <c r="U16" s="172"/>
    </row>
    <row r="17" spans="1:21" hidden="1">
      <c r="A17" s="143">
        <v>275</v>
      </c>
      <c r="B17" s="167">
        <f t="shared" si="2"/>
        <v>0</v>
      </c>
      <c r="C17" s="167">
        <f t="shared" si="2"/>
        <v>0</v>
      </c>
      <c r="D17" s="167">
        <f t="shared" si="2"/>
        <v>0</v>
      </c>
      <c r="E17" s="168">
        <f t="shared" si="2"/>
        <v>0</v>
      </c>
      <c r="F17" s="167">
        <f t="shared" si="2"/>
        <v>0</v>
      </c>
      <c r="G17" s="168">
        <f t="shared" si="2"/>
        <v>0</v>
      </c>
      <c r="H17" s="169">
        <f t="shared" si="2"/>
        <v>0</v>
      </c>
      <c r="I17" s="169" t="e">
        <f t="shared" ca="1" si="3"/>
        <v>#VALUE!</v>
      </c>
      <c r="J17" s="169">
        <f t="shared" si="4"/>
        <v>0</v>
      </c>
      <c r="K17" s="170">
        <f t="shared" si="4"/>
        <v>0</v>
      </c>
      <c r="L17" s="169">
        <f t="shared" si="4"/>
        <v>0</v>
      </c>
      <c r="M17" s="169">
        <f t="shared" si="4"/>
        <v>0</v>
      </c>
      <c r="N17" s="169" t="e">
        <f t="shared" ca="1" si="5"/>
        <v>#VALUE!</v>
      </c>
      <c r="O17" s="171" t="str">
        <f t="shared" si="6"/>
        <v/>
      </c>
      <c r="P17" s="171" t="str">
        <f t="shared" ca="1" si="7"/>
        <v/>
      </c>
      <c r="Q17" s="170">
        <f t="shared" ca="1" si="8"/>
        <v>0</v>
      </c>
      <c r="R17" s="170">
        <f t="shared" ca="1" si="9"/>
        <v>0</v>
      </c>
      <c r="S17" s="171" t="b">
        <f t="shared" si="10"/>
        <v>0</v>
      </c>
      <c r="T17" s="171" t="b">
        <f t="shared" ca="1" si="11"/>
        <v>0</v>
      </c>
      <c r="U17" s="172"/>
    </row>
    <row r="18" spans="1:21" hidden="1">
      <c r="A18" s="143">
        <v>311</v>
      </c>
      <c r="B18" s="167">
        <f t="shared" si="2"/>
        <v>0</v>
      </c>
      <c r="C18" s="167">
        <f t="shared" si="2"/>
        <v>0</v>
      </c>
      <c r="D18" s="167">
        <f t="shared" si="2"/>
        <v>0</v>
      </c>
      <c r="E18" s="168">
        <f t="shared" si="2"/>
        <v>0</v>
      </c>
      <c r="F18" s="167">
        <f t="shared" si="2"/>
        <v>0</v>
      </c>
      <c r="G18" s="168">
        <f t="shared" si="2"/>
        <v>0</v>
      </c>
      <c r="H18" s="169">
        <f t="shared" si="2"/>
        <v>0</v>
      </c>
      <c r="I18" s="169" t="e">
        <f t="shared" ca="1" si="3"/>
        <v>#VALUE!</v>
      </c>
      <c r="J18" s="169">
        <f t="shared" si="4"/>
        <v>0</v>
      </c>
      <c r="K18" s="170">
        <f t="shared" si="4"/>
        <v>0</v>
      </c>
      <c r="L18" s="169">
        <f t="shared" si="4"/>
        <v>0</v>
      </c>
      <c r="M18" s="169">
        <f t="shared" si="4"/>
        <v>0</v>
      </c>
      <c r="N18" s="169" t="e">
        <f t="shared" ca="1" si="5"/>
        <v>#VALUE!</v>
      </c>
      <c r="O18" s="171" t="str">
        <f t="shared" si="6"/>
        <v/>
      </c>
      <c r="P18" s="171" t="str">
        <f t="shared" ca="1" si="7"/>
        <v/>
      </c>
      <c r="Q18" s="170">
        <f t="shared" ca="1" si="8"/>
        <v>0</v>
      </c>
      <c r="R18" s="170">
        <f t="shared" ca="1" si="9"/>
        <v>0</v>
      </c>
      <c r="S18" s="171" t="b">
        <f t="shared" si="10"/>
        <v>0</v>
      </c>
      <c r="T18" s="171" t="b">
        <f t="shared" ca="1" si="11"/>
        <v>0</v>
      </c>
      <c r="U18" s="172"/>
    </row>
    <row r="19" spans="1:21" hidden="1">
      <c r="A19" s="143">
        <v>325</v>
      </c>
      <c r="B19" s="167">
        <f t="shared" si="2"/>
        <v>0</v>
      </c>
      <c r="C19" s="167">
        <f t="shared" si="2"/>
        <v>0</v>
      </c>
      <c r="D19" s="167">
        <f t="shared" si="2"/>
        <v>0</v>
      </c>
      <c r="E19" s="168">
        <f t="shared" si="2"/>
        <v>0</v>
      </c>
      <c r="F19" s="167">
        <f t="shared" si="2"/>
        <v>0</v>
      </c>
      <c r="G19" s="168">
        <f t="shared" si="2"/>
        <v>0</v>
      </c>
      <c r="H19" s="169">
        <f t="shared" si="2"/>
        <v>0</v>
      </c>
      <c r="I19" s="169" t="e">
        <f t="shared" ca="1" si="3"/>
        <v>#VALUE!</v>
      </c>
      <c r="J19" s="169">
        <f t="shared" si="4"/>
        <v>0</v>
      </c>
      <c r="K19" s="170">
        <f t="shared" si="4"/>
        <v>0</v>
      </c>
      <c r="L19" s="169">
        <f t="shared" si="4"/>
        <v>0</v>
      </c>
      <c r="M19" s="169">
        <f t="shared" si="4"/>
        <v>0</v>
      </c>
      <c r="N19" s="169" t="e">
        <f t="shared" ca="1" si="5"/>
        <v>#VALUE!</v>
      </c>
      <c r="O19" s="171" t="str">
        <f t="shared" si="6"/>
        <v/>
      </c>
      <c r="P19" s="171" t="str">
        <f t="shared" ca="1" si="7"/>
        <v/>
      </c>
      <c r="Q19" s="170">
        <f t="shared" ca="1" si="8"/>
        <v>0</v>
      </c>
      <c r="R19" s="170">
        <f t="shared" ca="1" si="9"/>
        <v>0</v>
      </c>
      <c r="S19" s="171" t="b">
        <f t="shared" si="10"/>
        <v>0</v>
      </c>
      <c r="T19" s="171" t="b">
        <f t="shared" ca="1" si="11"/>
        <v>0</v>
      </c>
      <c r="U19" s="172"/>
    </row>
    <row r="20" spans="1:21" hidden="1">
      <c r="A20" s="143">
        <v>349</v>
      </c>
      <c r="B20" s="167">
        <f t="shared" si="2"/>
        <v>0</v>
      </c>
      <c r="C20" s="167">
        <f t="shared" si="2"/>
        <v>0</v>
      </c>
      <c r="D20" s="167">
        <f t="shared" si="2"/>
        <v>0</v>
      </c>
      <c r="E20" s="168">
        <f t="shared" si="2"/>
        <v>0</v>
      </c>
      <c r="F20" s="167">
        <f t="shared" si="2"/>
        <v>0</v>
      </c>
      <c r="G20" s="168">
        <f t="shared" si="2"/>
        <v>0</v>
      </c>
      <c r="H20" s="169">
        <f t="shared" si="2"/>
        <v>0</v>
      </c>
      <c r="I20" s="169" t="e">
        <f t="shared" ca="1" si="3"/>
        <v>#VALUE!</v>
      </c>
      <c r="J20" s="169">
        <f t="shared" si="4"/>
        <v>0</v>
      </c>
      <c r="K20" s="170">
        <f t="shared" si="4"/>
        <v>0</v>
      </c>
      <c r="L20" s="169">
        <f t="shared" si="4"/>
        <v>0</v>
      </c>
      <c r="M20" s="169">
        <f t="shared" si="4"/>
        <v>0</v>
      </c>
      <c r="N20" s="169" t="e">
        <f t="shared" ca="1" si="5"/>
        <v>#VALUE!</v>
      </c>
      <c r="O20" s="171" t="str">
        <f t="shared" si="6"/>
        <v/>
      </c>
      <c r="P20" s="171" t="str">
        <f t="shared" ca="1" si="7"/>
        <v/>
      </c>
      <c r="Q20" s="170">
        <f t="shared" ca="1" si="8"/>
        <v>0</v>
      </c>
      <c r="R20" s="170">
        <f t="shared" ca="1" si="9"/>
        <v>0</v>
      </c>
      <c r="S20" s="171" t="b">
        <f t="shared" si="10"/>
        <v>0</v>
      </c>
      <c r="T20" s="171" t="b">
        <f t="shared" ca="1" si="11"/>
        <v>0</v>
      </c>
      <c r="U20" s="172"/>
    </row>
    <row r="21" spans="1:21" hidden="1">
      <c r="A21" s="143">
        <v>363</v>
      </c>
      <c r="B21" s="167">
        <f t="shared" ref="B21:H30" si="12">IF($A21&lt;=$A$8,INDEX(Import.PO,$A21,B$8),0)</f>
        <v>0</v>
      </c>
      <c r="C21" s="167">
        <f t="shared" si="12"/>
        <v>0</v>
      </c>
      <c r="D21" s="167">
        <f t="shared" si="12"/>
        <v>0</v>
      </c>
      <c r="E21" s="168">
        <f t="shared" si="12"/>
        <v>0</v>
      </c>
      <c r="F21" s="167">
        <f t="shared" si="12"/>
        <v>0</v>
      </c>
      <c r="G21" s="168">
        <f t="shared" si="12"/>
        <v>0</v>
      </c>
      <c r="H21" s="169">
        <f t="shared" si="12"/>
        <v>0</v>
      </c>
      <c r="I21" s="169" t="e">
        <f t="shared" ca="1" si="3"/>
        <v>#VALUE!</v>
      </c>
      <c r="J21" s="169">
        <f t="shared" si="4"/>
        <v>0</v>
      </c>
      <c r="K21" s="170">
        <f t="shared" si="4"/>
        <v>0</v>
      </c>
      <c r="L21" s="169">
        <f t="shared" si="4"/>
        <v>0</v>
      </c>
      <c r="M21" s="169">
        <f t="shared" si="4"/>
        <v>0</v>
      </c>
      <c r="N21" s="169" t="e">
        <f t="shared" ca="1" si="5"/>
        <v>#VALUE!</v>
      </c>
      <c r="O21" s="171" t="str">
        <f t="shared" si="6"/>
        <v/>
      </c>
      <c r="P21" s="171" t="str">
        <f t="shared" ca="1" si="7"/>
        <v/>
      </c>
      <c r="Q21" s="170">
        <f t="shared" ca="1" si="8"/>
        <v>0</v>
      </c>
      <c r="R21" s="170">
        <f t="shared" ca="1" si="9"/>
        <v>0</v>
      </c>
      <c r="S21" s="171" t="b">
        <f t="shared" si="10"/>
        <v>0</v>
      </c>
      <c r="T21" s="171" t="b">
        <f t="shared" ca="1" si="11"/>
        <v>0</v>
      </c>
      <c r="U21" s="172"/>
    </row>
    <row r="22" spans="1:21" hidden="1">
      <c r="A22" s="143">
        <v>377</v>
      </c>
      <c r="B22" s="167">
        <f t="shared" si="12"/>
        <v>0</v>
      </c>
      <c r="C22" s="167">
        <f t="shared" si="12"/>
        <v>0</v>
      </c>
      <c r="D22" s="167">
        <f t="shared" si="12"/>
        <v>0</v>
      </c>
      <c r="E22" s="168">
        <f t="shared" si="12"/>
        <v>0</v>
      </c>
      <c r="F22" s="167">
        <f t="shared" si="12"/>
        <v>0</v>
      </c>
      <c r="G22" s="168">
        <f t="shared" si="12"/>
        <v>0</v>
      </c>
      <c r="H22" s="169">
        <f t="shared" si="12"/>
        <v>0</v>
      </c>
      <c r="I22" s="169" t="e">
        <f t="shared" ca="1" si="3"/>
        <v>#VALUE!</v>
      </c>
      <c r="J22" s="169">
        <f t="shared" si="4"/>
        <v>0</v>
      </c>
      <c r="K22" s="170">
        <f t="shared" si="4"/>
        <v>0</v>
      </c>
      <c r="L22" s="169">
        <f t="shared" si="4"/>
        <v>0</v>
      </c>
      <c r="M22" s="169">
        <f t="shared" si="4"/>
        <v>0</v>
      </c>
      <c r="N22" s="169" t="e">
        <f t="shared" ca="1" si="5"/>
        <v>#VALUE!</v>
      </c>
      <c r="O22" s="171" t="str">
        <f t="shared" si="6"/>
        <v/>
      </c>
      <c r="P22" s="171" t="str">
        <f t="shared" ca="1" si="7"/>
        <v/>
      </c>
      <c r="Q22" s="170">
        <f t="shared" ca="1" si="8"/>
        <v>0</v>
      </c>
      <c r="R22" s="170">
        <f t="shared" ca="1" si="9"/>
        <v>0</v>
      </c>
      <c r="S22" s="171" t="b">
        <f t="shared" si="10"/>
        <v>0</v>
      </c>
      <c r="T22" s="171" t="b">
        <f t="shared" ca="1" si="11"/>
        <v>0</v>
      </c>
      <c r="U22" s="172"/>
    </row>
    <row r="23" spans="1:21" hidden="1">
      <c r="A23" s="143">
        <v>391</v>
      </c>
      <c r="B23" s="167">
        <f t="shared" si="12"/>
        <v>0</v>
      </c>
      <c r="C23" s="167">
        <f t="shared" si="12"/>
        <v>0</v>
      </c>
      <c r="D23" s="167">
        <f t="shared" si="12"/>
        <v>0</v>
      </c>
      <c r="E23" s="168">
        <f t="shared" si="12"/>
        <v>0</v>
      </c>
      <c r="F23" s="167">
        <f t="shared" si="12"/>
        <v>0</v>
      </c>
      <c r="G23" s="168">
        <f t="shared" si="12"/>
        <v>0</v>
      </c>
      <c r="H23" s="169">
        <f t="shared" si="12"/>
        <v>0</v>
      </c>
      <c r="I23" s="169" t="e">
        <f t="shared" ca="1" si="3"/>
        <v>#VALUE!</v>
      </c>
      <c r="J23" s="169">
        <f t="shared" si="4"/>
        <v>0</v>
      </c>
      <c r="K23" s="170">
        <f t="shared" si="4"/>
        <v>0</v>
      </c>
      <c r="L23" s="169">
        <f t="shared" si="4"/>
        <v>0</v>
      </c>
      <c r="M23" s="169">
        <f t="shared" si="4"/>
        <v>0</v>
      </c>
      <c r="N23" s="169" t="e">
        <f t="shared" ca="1" si="5"/>
        <v>#VALUE!</v>
      </c>
      <c r="O23" s="171" t="str">
        <f t="shared" si="6"/>
        <v/>
      </c>
      <c r="P23" s="171" t="str">
        <f t="shared" ca="1" si="7"/>
        <v/>
      </c>
      <c r="Q23" s="170">
        <f t="shared" ca="1" si="8"/>
        <v>0</v>
      </c>
      <c r="R23" s="170">
        <f t="shared" ca="1" si="9"/>
        <v>0</v>
      </c>
      <c r="S23" s="171" t="b">
        <f t="shared" si="10"/>
        <v>0</v>
      </c>
      <c r="T23" s="171" t="b">
        <f t="shared" ca="1" si="11"/>
        <v>0</v>
      </c>
      <c r="U23" s="172"/>
    </row>
    <row r="24" spans="1:21" hidden="1">
      <c r="A24" s="143">
        <v>405</v>
      </c>
      <c r="B24" s="167">
        <f t="shared" si="12"/>
        <v>0</v>
      </c>
      <c r="C24" s="167">
        <f t="shared" si="12"/>
        <v>0</v>
      </c>
      <c r="D24" s="167">
        <f t="shared" si="12"/>
        <v>0</v>
      </c>
      <c r="E24" s="168">
        <f t="shared" si="12"/>
        <v>0</v>
      </c>
      <c r="F24" s="167">
        <f t="shared" si="12"/>
        <v>0</v>
      </c>
      <c r="G24" s="168">
        <f t="shared" si="12"/>
        <v>0</v>
      </c>
      <c r="H24" s="169">
        <f t="shared" si="12"/>
        <v>0</v>
      </c>
      <c r="I24" s="169" t="e">
        <f t="shared" ca="1" si="3"/>
        <v>#VALUE!</v>
      </c>
      <c r="J24" s="169">
        <f t="shared" si="4"/>
        <v>0</v>
      </c>
      <c r="K24" s="170">
        <f t="shared" si="4"/>
        <v>0</v>
      </c>
      <c r="L24" s="169">
        <f t="shared" si="4"/>
        <v>0</v>
      </c>
      <c r="M24" s="169">
        <f t="shared" si="4"/>
        <v>0</v>
      </c>
      <c r="N24" s="169" t="e">
        <f t="shared" ca="1" si="5"/>
        <v>#VALUE!</v>
      </c>
      <c r="O24" s="171" t="str">
        <f t="shared" si="6"/>
        <v/>
      </c>
      <c r="P24" s="171" t="str">
        <f t="shared" ca="1" si="7"/>
        <v/>
      </c>
      <c r="Q24" s="170">
        <f t="shared" ca="1" si="8"/>
        <v>0</v>
      </c>
      <c r="R24" s="170">
        <f t="shared" ca="1" si="9"/>
        <v>0</v>
      </c>
      <c r="S24" s="171" t="b">
        <f t="shared" si="10"/>
        <v>0</v>
      </c>
      <c r="T24" s="171" t="b">
        <f t="shared" ca="1" si="11"/>
        <v>0</v>
      </c>
      <c r="U24" s="172"/>
    </row>
    <row r="25" spans="1:21" hidden="1">
      <c r="A25" s="143">
        <v>419</v>
      </c>
      <c r="B25" s="167">
        <f t="shared" si="12"/>
        <v>0</v>
      </c>
      <c r="C25" s="167">
        <f t="shared" si="12"/>
        <v>0</v>
      </c>
      <c r="D25" s="167">
        <f t="shared" si="12"/>
        <v>0</v>
      </c>
      <c r="E25" s="168">
        <f t="shared" si="12"/>
        <v>0</v>
      </c>
      <c r="F25" s="167">
        <f t="shared" si="12"/>
        <v>0</v>
      </c>
      <c r="G25" s="168">
        <f t="shared" si="12"/>
        <v>0</v>
      </c>
      <c r="H25" s="169">
        <f t="shared" si="12"/>
        <v>0</v>
      </c>
      <c r="I25" s="169" t="e">
        <f t="shared" ca="1" si="3"/>
        <v>#VALUE!</v>
      </c>
      <c r="J25" s="169">
        <f t="shared" si="4"/>
        <v>0</v>
      </c>
      <c r="K25" s="170">
        <f t="shared" si="4"/>
        <v>0</v>
      </c>
      <c r="L25" s="169">
        <f t="shared" si="4"/>
        <v>0</v>
      </c>
      <c r="M25" s="169">
        <f t="shared" si="4"/>
        <v>0</v>
      </c>
      <c r="N25" s="169" t="e">
        <f t="shared" ca="1" si="5"/>
        <v>#VALUE!</v>
      </c>
      <c r="O25" s="171" t="str">
        <f t="shared" si="6"/>
        <v/>
      </c>
      <c r="P25" s="171" t="str">
        <f t="shared" ca="1" si="7"/>
        <v/>
      </c>
      <c r="Q25" s="170">
        <f t="shared" ca="1" si="8"/>
        <v>0</v>
      </c>
      <c r="R25" s="170">
        <f t="shared" ca="1" si="9"/>
        <v>0</v>
      </c>
      <c r="S25" s="171" t="b">
        <f t="shared" si="10"/>
        <v>0</v>
      </c>
      <c r="T25" s="171" t="b">
        <f t="shared" ca="1" si="11"/>
        <v>0</v>
      </c>
      <c r="U25" s="172"/>
    </row>
    <row r="26" spans="1:21" hidden="1">
      <c r="A26" s="143">
        <v>437</v>
      </c>
      <c r="B26" s="167">
        <f t="shared" si="12"/>
        <v>0</v>
      </c>
      <c r="C26" s="167">
        <f t="shared" si="12"/>
        <v>0</v>
      </c>
      <c r="D26" s="167">
        <f t="shared" si="12"/>
        <v>0</v>
      </c>
      <c r="E26" s="168">
        <f t="shared" si="12"/>
        <v>0</v>
      </c>
      <c r="F26" s="167">
        <f t="shared" si="12"/>
        <v>0</v>
      </c>
      <c r="G26" s="168">
        <f t="shared" si="12"/>
        <v>0</v>
      </c>
      <c r="H26" s="169">
        <f t="shared" si="12"/>
        <v>0</v>
      </c>
      <c r="I26" s="169" t="e">
        <f t="shared" ca="1" si="3"/>
        <v>#VALUE!</v>
      </c>
      <c r="J26" s="169">
        <f t="shared" si="4"/>
        <v>0</v>
      </c>
      <c r="K26" s="170">
        <f t="shared" si="4"/>
        <v>0</v>
      </c>
      <c r="L26" s="169">
        <f t="shared" si="4"/>
        <v>0</v>
      </c>
      <c r="M26" s="169">
        <f t="shared" si="4"/>
        <v>0</v>
      </c>
      <c r="N26" s="169" t="e">
        <f t="shared" ca="1" si="5"/>
        <v>#VALUE!</v>
      </c>
      <c r="O26" s="171" t="str">
        <f t="shared" si="6"/>
        <v/>
      </c>
      <c r="P26" s="171" t="str">
        <f t="shared" ca="1" si="7"/>
        <v/>
      </c>
      <c r="Q26" s="170">
        <f t="shared" ca="1" si="8"/>
        <v>0</v>
      </c>
      <c r="R26" s="170">
        <f t="shared" ca="1" si="9"/>
        <v>0</v>
      </c>
      <c r="S26" s="171" t="b">
        <f t="shared" si="10"/>
        <v>0</v>
      </c>
      <c r="T26" s="171" t="b">
        <f t="shared" ca="1" si="11"/>
        <v>0</v>
      </c>
      <c r="U26" s="172"/>
    </row>
    <row r="27" spans="1:21" hidden="1">
      <c r="A27" s="143">
        <v>30</v>
      </c>
      <c r="B27" s="167">
        <f t="shared" si="12"/>
        <v>0</v>
      </c>
      <c r="C27" s="167">
        <f t="shared" si="12"/>
        <v>0</v>
      </c>
      <c r="D27" s="167">
        <f t="shared" si="12"/>
        <v>0</v>
      </c>
      <c r="E27" s="168">
        <f t="shared" si="12"/>
        <v>0</v>
      </c>
      <c r="F27" s="167">
        <f t="shared" si="12"/>
        <v>0</v>
      </c>
      <c r="G27" s="168">
        <f t="shared" si="12"/>
        <v>0</v>
      </c>
      <c r="H27" s="169">
        <f t="shared" si="12"/>
        <v>0</v>
      </c>
      <c r="I27" s="169" t="e">
        <f t="shared" ca="1" si="3"/>
        <v>#VALUE!</v>
      </c>
      <c r="J27" s="169">
        <f t="shared" si="4"/>
        <v>0</v>
      </c>
      <c r="K27" s="170">
        <f t="shared" si="4"/>
        <v>0</v>
      </c>
      <c r="L27" s="169">
        <f t="shared" si="4"/>
        <v>0</v>
      </c>
      <c r="M27" s="169">
        <f t="shared" si="4"/>
        <v>0</v>
      </c>
      <c r="N27" s="169" t="e">
        <f t="shared" ca="1" si="5"/>
        <v>#VALUE!</v>
      </c>
      <c r="O27" s="171" t="str">
        <f t="shared" si="6"/>
        <v/>
      </c>
      <c r="P27" s="171" t="str">
        <f t="shared" ca="1" si="7"/>
        <v/>
      </c>
      <c r="Q27" s="170">
        <f t="shared" ca="1" si="8"/>
        <v>0</v>
      </c>
      <c r="R27" s="170">
        <f t="shared" ca="1" si="9"/>
        <v>0</v>
      </c>
      <c r="S27" s="171" t="b">
        <f t="shared" si="10"/>
        <v>0</v>
      </c>
      <c r="T27" s="171" t="b">
        <f t="shared" ca="1" si="11"/>
        <v>0</v>
      </c>
      <c r="U27" s="172"/>
    </row>
    <row r="28" spans="1:21" hidden="1">
      <c r="A28" s="143">
        <v>39</v>
      </c>
      <c r="B28" s="167">
        <f t="shared" si="12"/>
        <v>0</v>
      </c>
      <c r="C28" s="167">
        <f t="shared" si="12"/>
        <v>0</v>
      </c>
      <c r="D28" s="167">
        <f t="shared" si="12"/>
        <v>0</v>
      </c>
      <c r="E28" s="168">
        <f t="shared" si="12"/>
        <v>0</v>
      </c>
      <c r="F28" s="167">
        <f t="shared" si="12"/>
        <v>0</v>
      </c>
      <c r="G28" s="168">
        <f t="shared" si="12"/>
        <v>0</v>
      </c>
      <c r="H28" s="169">
        <f t="shared" si="12"/>
        <v>0</v>
      </c>
      <c r="I28" s="169" t="e">
        <f t="shared" ca="1" si="3"/>
        <v>#VALUE!</v>
      </c>
      <c r="J28" s="169">
        <f t="shared" si="4"/>
        <v>0</v>
      </c>
      <c r="K28" s="170">
        <f t="shared" si="4"/>
        <v>0</v>
      </c>
      <c r="L28" s="169">
        <f t="shared" si="4"/>
        <v>0</v>
      </c>
      <c r="M28" s="169">
        <f t="shared" si="4"/>
        <v>0</v>
      </c>
      <c r="N28" s="169" t="e">
        <f t="shared" ca="1" si="5"/>
        <v>#VALUE!</v>
      </c>
      <c r="O28" s="171" t="str">
        <f t="shared" si="6"/>
        <v/>
      </c>
      <c r="P28" s="171" t="str">
        <f t="shared" ca="1" si="7"/>
        <v/>
      </c>
      <c r="Q28" s="170">
        <f t="shared" ca="1" si="8"/>
        <v>0</v>
      </c>
      <c r="R28" s="170">
        <f t="shared" ca="1" si="9"/>
        <v>0</v>
      </c>
      <c r="S28" s="171" t="b">
        <f t="shared" si="10"/>
        <v>0</v>
      </c>
      <c r="T28" s="171" t="b">
        <f t="shared" ca="1" si="11"/>
        <v>0</v>
      </c>
      <c r="U28" s="172"/>
    </row>
    <row r="29" spans="1:21" hidden="1">
      <c r="A29" s="143">
        <v>44</v>
      </c>
      <c r="B29" s="167">
        <f t="shared" si="12"/>
        <v>0</v>
      </c>
      <c r="C29" s="167">
        <f t="shared" si="12"/>
        <v>0</v>
      </c>
      <c r="D29" s="167">
        <f t="shared" si="12"/>
        <v>0</v>
      </c>
      <c r="E29" s="168">
        <f t="shared" si="12"/>
        <v>0</v>
      </c>
      <c r="F29" s="167">
        <f t="shared" si="12"/>
        <v>0</v>
      </c>
      <c r="G29" s="168">
        <f t="shared" si="12"/>
        <v>0</v>
      </c>
      <c r="H29" s="169">
        <f t="shared" si="12"/>
        <v>0</v>
      </c>
      <c r="I29" s="169" t="e">
        <f t="shared" ca="1" si="3"/>
        <v>#VALUE!</v>
      </c>
      <c r="J29" s="169">
        <f t="shared" si="4"/>
        <v>0</v>
      </c>
      <c r="K29" s="170">
        <f t="shared" si="4"/>
        <v>0</v>
      </c>
      <c r="L29" s="169">
        <f t="shared" si="4"/>
        <v>0</v>
      </c>
      <c r="M29" s="169">
        <f t="shared" si="4"/>
        <v>0</v>
      </c>
      <c r="N29" s="169" t="e">
        <f t="shared" ca="1" si="5"/>
        <v>#VALUE!</v>
      </c>
      <c r="O29" s="171" t="str">
        <f t="shared" si="6"/>
        <v/>
      </c>
      <c r="P29" s="171" t="str">
        <f t="shared" ca="1" si="7"/>
        <v/>
      </c>
      <c r="Q29" s="170">
        <f t="shared" ca="1" si="8"/>
        <v>0</v>
      </c>
      <c r="R29" s="170">
        <f t="shared" ca="1" si="9"/>
        <v>0</v>
      </c>
      <c r="S29" s="171" t="b">
        <f t="shared" si="10"/>
        <v>0</v>
      </c>
      <c r="T29" s="171" t="b">
        <f t="shared" ca="1" si="11"/>
        <v>0</v>
      </c>
      <c r="U29" s="172"/>
    </row>
    <row r="30" spans="1:21" hidden="1">
      <c r="A30" s="143">
        <v>49</v>
      </c>
      <c r="B30" s="167">
        <f t="shared" si="12"/>
        <v>0</v>
      </c>
      <c r="C30" s="167">
        <f t="shared" si="12"/>
        <v>0</v>
      </c>
      <c r="D30" s="167">
        <f t="shared" si="12"/>
        <v>0</v>
      </c>
      <c r="E30" s="168">
        <f t="shared" si="12"/>
        <v>0</v>
      </c>
      <c r="F30" s="167">
        <f t="shared" si="12"/>
        <v>0</v>
      </c>
      <c r="G30" s="168">
        <f t="shared" si="12"/>
        <v>0</v>
      </c>
      <c r="H30" s="169">
        <f t="shared" si="12"/>
        <v>0</v>
      </c>
      <c r="I30" s="169" t="e">
        <f t="shared" ca="1" si="3"/>
        <v>#VALUE!</v>
      </c>
      <c r="J30" s="169">
        <f t="shared" si="4"/>
        <v>0</v>
      </c>
      <c r="K30" s="170">
        <f t="shared" si="4"/>
        <v>0</v>
      </c>
      <c r="L30" s="169">
        <f t="shared" si="4"/>
        <v>0</v>
      </c>
      <c r="M30" s="169">
        <f t="shared" si="4"/>
        <v>0</v>
      </c>
      <c r="N30" s="169" t="e">
        <f t="shared" ca="1" si="5"/>
        <v>#VALUE!</v>
      </c>
      <c r="O30" s="171" t="str">
        <f t="shared" si="6"/>
        <v/>
      </c>
      <c r="P30" s="171" t="str">
        <f t="shared" ca="1" si="7"/>
        <v/>
      </c>
      <c r="Q30" s="170">
        <f t="shared" ca="1" si="8"/>
        <v>0</v>
      </c>
      <c r="R30" s="170">
        <f t="shared" ca="1" si="9"/>
        <v>0</v>
      </c>
      <c r="S30" s="171" t="b">
        <f t="shared" si="10"/>
        <v>0</v>
      </c>
      <c r="T30" s="171" t="b">
        <f t="shared" ca="1" si="11"/>
        <v>0</v>
      </c>
      <c r="U30" s="172"/>
    </row>
    <row r="31" spans="1:21" hidden="1">
      <c r="A31" s="143">
        <v>62</v>
      </c>
      <c r="B31" s="167">
        <f t="shared" ref="B31:H40" si="13">IF($A31&lt;=$A$8,INDEX(Import.PO,$A31,B$8),0)</f>
        <v>0</v>
      </c>
      <c r="C31" s="167">
        <f t="shared" si="13"/>
        <v>0</v>
      </c>
      <c r="D31" s="167">
        <f t="shared" si="13"/>
        <v>0</v>
      </c>
      <c r="E31" s="168">
        <f t="shared" si="13"/>
        <v>0</v>
      </c>
      <c r="F31" s="167">
        <f t="shared" si="13"/>
        <v>0</v>
      </c>
      <c r="G31" s="168">
        <f t="shared" si="13"/>
        <v>0</v>
      </c>
      <c r="H31" s="169">
        <f t="shared" si="13"/>
        <v>0</v>
      </c>
      <c r="I31" s="169" t="e">
        <f t="shared" ca="1" si="3"/>
        <v>#VALUE!</v>
      </c>
      <c r="J31" s="169">
        <f t="shared" ref="J31:M50" si="14">IF($A31&lt;=$A$8,INDEX(Import.PO,$A31,J$8),0)</f>
        <v>0</v>
      </c>
      <c r="K31" s="170">
        <f t="shared" si="14"/>
        <v>0</v>
      </c>
      <c r="L31" s="169">
        <f t="shared" si="14"/>
        <v>0</v>
      </c>
      <c r="M31" s="169">
        <f t="shared" si="14"/>
        <v>0</v>
      </c>
      <c r="N31" s="169" t="e">
        <f t="shared" ca="1" si="5"/>
        <v>#VALUE!</v>
      </c>
      <c r="O31" s="171" t="str">
        <f t="shared" si="6"/>
        <v/>
      </c>
      <c r="P31" s="171" t="str">
        <f t="shared" ca="1" si="7"/>
        <v/>
      </c>
      <c r="Q31" s="170">
        <f t="shared" ca="1" si="8"/>
        <v>0</v>
      </c>
      <c r="R31" s="170">
        <f t="shared" ca="1" si="9"/>
        <v>0</v>
      </c>
      <c r="S31" s="171" t="b">
        <f t="shared" si="10"/>
        <v>0</v>
      </c>
      <c r="T31" s="171" t="b">
        <f t="shared" ca="1" si="11"/>
        <v>0</v>
      </c>
      <c r="U31" s="172"/>
    </row>
    <row r="32" spans="1:21" hidden="1">
      <c r="A32" s="143">
        <v>80</v>
      </c>
      <c r="B32" s="167">
        <f t="shared" si="13"/>
        <v>0</v>
      </c>
      <c r="C32" s="167">
        <f t="shared" si="13"/>
        <v>0</v>
      </c>
      <c r="D32" s="167">
        <f t="shared" si="13"/>
        <v>0</v>
      </c>
      <c r="E32" s="168">
        <f t="shared" si="13"/>
        <v>0</v>
      </c>
      <c r="F32" s="167">
        <f t="shared" si="13"/>
        <v>0</v>
      </c>
      <c r="G32" s="168">
        <f t="shared" si="13"/>
        <v>0</v>
      </c>
      <c r="H32" s="169">
        <f t="shared" si="13"/>
        <v>0</v>
      </c>
      <c r="I32" s="169" t="e">
        <f t="shared" ca="1" si="3"/>
        <v>#VALUE!</v>
      </c>
      <c r="J32" s="169">
        <f t="shared" si="14"/>
        <v>0</v>
      </c>
      <c r="K32" s="170">
        <f t="shared" si="14"/>
        <v>0</v>
      </c>
      <c r="L32" s="169">
        <f t="shared" si="14"/>
        <v>0</v>
      </c>
      <c r="M32" s="169">
        <f t="shared" si="14"/>
        <v>0</v>
      </c>
      <c r="N32" s="169" t="e">
        <f t="shared" ca="1" si="5"/>
        <v>#VALUE!</v>
      </c>
      <c r="O32" s="171" t="str">
        <f t="shared" si="6"/>
        <v/>
      </c>
      <c r="P32" s="171" t="str">
        <f t="shared" ca="1" si="7"/>
        <v/>
      </c>
      <c r="Q32" s="170">
        <f t="shared" ca="1" si="8"/>
        <v>0</v>
      </c>
      <c r="R32" s="170">
        <f t="shared" ca="1" si="9"/>
        <v>0</v>
      </c>
      <c r="S32" s="171" t="b">
        <f t="shared" si="10"/>
        <v>0</v>
      </c>
      <c r="T32" s="171" t="b">
        <f t="shared" ca="1" si="11"/>
        <v>0</v>
      </c>
      <c r="U32" s="172"/>
    </row>
    <row r="33" spans="1:21" hidden="1">
      <c r="A33" s="143">
        <v>93</v>
      </c>
      <c r="B33" s="167">
        <f t="shared" si="13"/>
        <v>0</v>
      </c>
      <c r="C33" s="167">
        <f t="shared" si="13"/>
        <v>0</v>
      </c>
      <c r="D33" s="167">
        <f t="shared" si="13"/>
        <v>0</v>
      </c>
      <c r="E33" s="168">
        <f t="shared" si="13"/>
        <v>0</v>
      </c>
      <c r="F33" s="167">
        <f t="shared" si="13"/>
        <v>0</v>
      </c>
      <c r="G33" s="168">
        <f t="shared" si="13"/>
        <v>0</v>
      </c>
      <c r="H33" s="169">
        <f t="shared" si="13"/>
        <v>0</v>
      </c>
      <c r="I33" s="169" t="e">
        <f t="shared" ca="1" si="3"/>
        <v>#VALUE!</v>
      </c>
      <c r="J33" s="169">
        <f t="shared" si="14"/>
        <v>0</v>
      </c>
      <c r="K33" s="170">
        <f t="shared" si="14"/>
        <v>0</v>
      </c>
      <c r="L33" s="169">
        <f t="shared" si="14"/>
        <v>0</v>
      </c>
      <c r="M33" s="169">
        <f t="shared" si="14"/>
        <v>0</v>
      </c>
      <c r="N33" s="169" t="e">
        <f t="shared" ca="1" si="5"/>
        <v>#VALUE!</v>
      </c>
      <c r="O33" s="171" t="str">
        <f t="shared" si="6"/>
        <v/>
      </c>
      <c r="P33" s="171" t="str">
        <f t="shared" ca="1" si="7"/>
        <v/>
      </c>
      <c r="Q33" s="170">
        <f t="shared" ca="1" si="8"/>
        <v>0</v>
      </c>
      <c r="R33" s="170">
        <f t="shared" ca="1" si="9"/>
        <v>0</v>
      </c>
      <c r="S33" s="171" t="b">
        <f t="shared" si="10"/>
        <v>0</v>
      </c>
      <c r="T33" s="171" t="b">
        <f t="shared" ca="1" si="11"/>
        <v>0</v>
      </c>
      <c r="U33" s="172"/>
    </row>
    <row r="34" spans="1:21" hidden="1">
      <c r="A34" s="143">
        <v>105</v>
      </c>
      <c r="B34" s="167">
        <f t="shared" si="13"/>
        <v>0</v>
      </c>
      <c r="C34" s="167">
        <f t="shared" si="13"/>
        <v>0</v>
      </c>
      <c r="D34" s="167">
        <f t="shared" si="13"/>
        <v>0</v>
      </c>
      <c r="E34" s="168">
        <f t="shared" si="13"/>
        <v>0</v>
      </c>
      <c r="F34" s="167">
        <f t="shared" si="13"/>
        <v>0</v>
      </c>
      <c r="G34" s="168">
        <f t="shared" si="13"/>
        <v>0</v>
      </c>
      <c r="H34" s="169">
        <f t="shared" si="13"/>
        <v>0</v>
      </c>
      <c r="I34" s="169" t="e">
        <f t="shared" ca="1" si="3"/>
        <v>#VALUE!</v>
      </c>
      <c r="J34" s="169">
        <f t="shared" si="14"/>
        <v>0</v>
      </c>
      <c r="K34" s="170">
        <f t="shared" si="14"/>
        <v>0</v>
      </c>
      <c r="L34" s="169">
        <f t="shared" si="14"/>
        <v>0</v>
      </c>
      <c r="M34" s="169">
        <f t="shared" si="14"/>
        <v>0</v>
      </c>
      <c r="N34" s="169" t="e">
        <f t="shared" ca="1" si="5"/>
        <v>#VALUE!</v>
      </c>
      <c r="O34" s="171" t="str">
        <f t="shared" si="6"/>
        <v/>
      </c>
      <c r="P34" s="171" t="str">
        <f t="shared" ca="1" si="7"/>
        <v/>
      </c>
      <c r="Q34" s="170">
        <f t="shared" ca="1" si="8"/>
        <v>0</v>
      </c>
      <c r="R34" s="170">
        <f t="shared" ca="1" si="9"/>
        <v>0</v>
      </c>
      <c r="S34" s="171" t="b">
        <f t="shared" si="10"/>
        <v>0</v>
      </c>
      <c r="T34" s="171" t="b">
        <f t="shared" ca="1" si="11"/>
        <v>0</v>
      </c>
      <c r="U34" s="172"/>
    </row>
    <row r="35" spans="1:21" hidden="1">
      <c r="A35" s="143">
        <v>116</v>
      </c>
      <c r="B35" s="167">
        <f t="shared" si="13"/>
        <v>0</v>
      </c>
      <c r="C35" s="167">
        <f t="shared" si="13"/>
        <v>0</v>
      </c>
      <c r="D35" s="167">
        <f t="shared" si="13"/>
        <v>0</v>
      </c>
      <c r="E35" s="168">
        <f t="shared" si="13"/>
        <v>0</v>
      </c>
      <c r="F35" s="167">
        <f t="shared" si="13"/>
        <v>0</v>
      </c>
      <c r="G35" s="168">
        <f t="shared" si="13"/>
        <v>0</v>
      </c>
      <c r="H35" s="169">
        <f t="shared" si="13"/>
        <v>0</v>
      </c>
      <c r="I35" s="169" t="e">
        <f t="shared" ca="1" si="3"/>
        <v>#VALUE!</v>
      </c>
      <c r="J35" s="169">
        <f t="shared" si="14"/>
        <v>0</v>
      </c>
      <c r="K35" s="170">
        <f t="shared" si="14"/>
        <v>0</v>
      </c>
      <c r="L35" s="169">
        <f t="shared" si="14"/>
        <v>0</v>
      </c>
      <c r="M35" s="169">
        <f t="shared" si="14"/>
        <v>0</v>
      </c>
      <c r="N35" s="169" t="e">
        <f t="shared" ca="1" si="5"/>
        <v>#VALUE!</v>
      </c>
      <c r="O35" s="171" t="str">
        <f t="shared" si="6"/>
        <v/>
      </c>
      <c r="P35" s="171" t="str">
        <f t="shared" ca="1" si="7"/>
        <v/>
      </c>
      <c r="Q35" s="170">
        <f t="shared" ca="1" si="8"/>
        <v>0</v>
      </c>
      <c r="R35" s="170">
        <f t="shared" ca="1" si="9"/>
        <v>0</v>
      </c>
      <c r="S35" s="171" t="b">
        <f t="shared" si="10"/>
        <v>0</v>
      </c>
      <c r="T35" s="171" t="b">
        <f t="shared" ca="1" si="11"/>
        <v>0</v>
      </c>
      <c r="U35" s="172"/>
    </row>
    <row r="36" spans="1:21" hidden="1">
      <c r="A36" s="143">
        <v>120</v>
      </c>
      <c r="B36" s="167">
        <f t="shared" si="13"/>
        <v>0</v>
      </c>
      <c r="C36" s="167">
        <f t="shared" si="13"/>
        <v>0</v>
      </c>
      <c r="D36" s="167">
        <f t="shared" si="13"/>
        <v>0</v>
      </c>
      <c r="E36" s="168">
        <f t="shared" si="13"/>
        <v>0</v>
      </c>
      <c r="F36" s="167">
        <f t="shared" si="13"/>
        <v>0</v>
      </c>
      <c r="G36" s="168">
        <f t="shared" si="13"/>
        <v>0</v>
      </c>
      <c r="H36" s="169">
        <f t="shared" si="13"/>
        <v>0</v>
      </c>
      <c r="I36" s="169" t="e">
        <f t="shared" ca="1" si="3"/>
        <v>#VALUE!</v>
      </c>
      <c r="J36" s="169">
        <f t="shared" si="14"/>
        <v>0</v>
      </c>
      <c r="K36" s="170">
        <f t="shared" si="14"/>
        <v>0</v>
      </c>
      <c r="L36" s="169">
        <f t="shared" si="14"/>
        <v>0</v>
      </c>
      <c r="M36" s="169">
        <f t="shared" si="14"/>
        <v>0</v>
      </c>
      <c r="N36" s="169" t="e">
        <f t="shared" ca="1" si="5"/>
        <v>#VALUE!</v>
      </c>
      <c r="O36" s="171" t="str">
        <f t="shared" si="6"/>
        <v/>
      </c>
      <c r="P36" s="171" t="str">
        <f t="shared" ca="1" si="7"/>
        <v/>
      </c>
      <c r="Q36" s="170">
        <f t="shared" ca="1" si="8"/>
        <v>0</v>
      </c>
      <c r="R36" s="170">
        <f t="shared" ca="1" si="9"/>
        <v>0</v>
      </c>
      <c r="S36" s="171" t="b">
        <f t="shared" si="10"/>
        <v>0</v>
      </c>
      <c r="T36" s="171" t="b">
        <f t="shared" ca="1" si="11"/>
        <v>0</v>
      </c>
      <c r="U36" s="172"/>
    </row>
    <row r="37" spans="1:21" hidden="1">
      <c r="A37" s="143">
        <v>141</v>
      </c>
      <c r="B37" s="167">
        <f t="shared" si="13"/>
        <v>0</v>
      </c>
      <c r="C37" s="167">
        <f t="shared" si="13"/>
        <v>0</v>
      </c>
      <c r="D37" s="167">
        <f t="shared" si="13"/>
        <v>0</v>
      </c>
      <c r="E37" s="168">
        <f t="shared" si="13"/>
        <v>0</v>
      </c>
      <c r="F37" s="167">
        <f t="shared" si="13"/>
        <v>0</v>
      </c>
      <c r="G37" s="168">
        <f t="shared" si="13"/>
        <v>0</v>
      </c>
      <c r="H37" s="169">
        <f t="shared" si="13"/>
        <v>0</v>
      </c>
      <c r="I37" s="169" t="e">
        <f t="shared" ca="1" si="3"/>
        <v>#VALUE!</v>
      </c>
      <c r="J37" s="169">
        <f t="shared" si="14"/>
        <v>0</v>
      </c>
      <c r="K37" s="170">
        <f t="shared" si="14"/>
        <v>0</v>
      </c>
      <c r="L37" s="169">
        <f t="shared" si="14"/>
        <v>0</v>
      </c>
      <c r="M37" s="169">
        <f t="shared" si="14"/>
        <v>0</v>
      </c>
      <c r="N37" s="169" t="e">
        <f t="shared" ca="1" si="5"/>
        <v>#VALUE!</v>
      </c>
      <c r="O37" s="171" t="str">
        <f t="shared" si="6"/>
        <v/>
      </c>
      <c r="P37" s="171" t="str">
        <f t="shared" ca="1" si="7"/>
        <v/>
      </c>
      <c r="Q37" s="170">
        <f t="shared" ca="1" si="8"/>
        <v>0</v>
      </c>
      <c r="R37" s="170">
        <f t="shared" ca="1" si="9"/>
        <v>0</v>
      </c>
      <c r="S37" s="171" t="b">
        <f t="shared" si="10"/>
        <v>0</v>
      </c>
      <c r="T37" s="171" t="b">
        <f t="shared" ca="1" si="11"/>
        <v>0</v>
      </c>
      <c r="U37" s="172"/>
    </row>
    <row r="38" spans="1:21" hidden="1">
      <c r="A38" s="143">
        <v>145</v>
      </c>
      <c r="B38" s="167">
        <f t="shared" si="13"/>
        <v>0</v>
      </c>
      <c r="C38" s="167">
        <f t="shared" si="13"/>
        <v>0</v>
      </c>
      <c r="D38" s="167">
        <f t="shared" si="13"/>
        <v>0</v>
      </c>
      <c r="E38" s="168">
        <f t="shared" si="13"/>
        <v>0</v>
      </c>
      <c r="F38" s="167">
        <f t="shared" si="13"/>
        <v>0</v>
      </c>
      <c r="G38" s="168">
        <f t="shared" si="13"/>
        <v>0</v>
      </c>
      <c r="H38" s="169">
        <f t="shared" si="13"/>
        <v>0</v>
      </c>
      <c r="I38" s="169" t="e">
        <f t="shared" ca="1" si="3"/>
        <v>#VALUE!</v>
      </c>
      <c r="J38" s="169">
        <f t="shared" si="14"/>
        <v>0</v>
      </c>
      <c r="K38" s="170">
        <f t="shared" si="14"/>
        <v>0</v>
      </c>
      <c r="L38" s="169">
        <f t="shared" si="14"/>
        <v>0</v>
      </c>
      <c r="M38" s="169">
        <f t="shared" si="14"/>
        <v>0</v>
      </c>
      <c r="N38" s="169" t="e">
        <f t="shared" ca="1" si="5"/>
        <v>#VALUE!</v>
      </c>
      <c r="O38" s="171" t="str">
        <f t="shared" si="6"/>
        <v/>
      </c>
      <c r="P38" s="171" t="str">
        <f t="shared" ca="1" si="7"/>
        <v/>
      </c>
      <c r="Q38" s="170">
        <f t="shared" ca="1" si="8"/>
        <v>0</v>
      </c>
      <c r="R38" s="170">
        <f t="shared" ca="1" si="9"/>
        <v>0</v>
      </c>
      <c r="S38" s="171" t="b">
        <f t="shared" si="10"/>
        <v>0</v>
      </c>
      <c r="T38" s="171" t="b">
        <f t="shared" ca="1" si="11"/>
        <v>0</v>
      </c>
      <c r="U38" s="172"/>
    </row>
    <row r="39" spans="1:21" hidden="1">
      <c r="A39" s="143">
        <v>157</v>
      </c>
      <c r="B39" s="167">
        <f t="shared" si="13"/>
        <v>0</v>
      </c>
      <c r="C39" s="167">
        <f t="shared" si="13"/>
        <v>0</v>
      </c>
      <c r="D39" s="167">
        <f t="shared" si="13"/>
        <v>0</v>
      </c>
      <c r="E39" s="168">
        <f t="shared" si="13"/>
        <v>0</v>
      </c>
      <c r="F39" s="167">
        <f t="shared" si="13"/>
        <v>0</v>
      </c>
      <c r="G39" s="168">
        <f t="shared" si="13"/>
        <v>0</v>
      </c>
      <c r="H39" s="169">
        <f t="shared" si="13"/>
        <v>0</v>
      </c>
      <c r="I39" s="169" t="e">
        <f t="shared" ca="1" si="3"/>
        <v>#VALUE!</v>
      </c>
      <c r="J39" s="169">
        <f t="shared" si="14"/>
        <v>0</v>
      </c>
      <c r="K39" s="170">
        <f t="shared" si="14"/>
        <v>0</v>
      </c>
      <c r="L39" s="169">
        <f t="shared" si="14"/>
        <v>0</v>
      </c>
      <c r="M39" s="169">
        <f t="shared" si="14"/>
        <v>0</v>
      </c>
      <c r="N39" s="169" t="e">
        <f t="shared" ca="1" si="5"/>
        <v>#VALUE!</v>
      </c>
      <c r="O39" s="171" t="str">
        <f t="shared" si="6"/>
        <v/>
      </c>
      <c r="P39" s="171" t="str">
        <f t="shared" ca="1" si="7"/>
        <v/>
      </c>
      <c r="Q39" s="170">
        <f t="shared" ca="1" si="8"/>
        <v>0</v>
      </c>
      <c r="R39" s="170">
        <f t="shared" ca="1" si="9"/>
        <v>0</v>
      </c>
      <c r="S39" s="171" t="b">
        <f t="shared" si="10"/>
        <v>0</v>
      </c>
      <c r="T39" s="171" t="b">
        <f t="shared" ca="1" si="11"/>
        <v>0</v>
      </c>
      <c r="U39" s="172"/>
    </row>
    <row r="40" spans="1:21" hidden="1">
      <c r="A40" s="143">
        <v>177</v>
      </c>
      <c r="B40" s="167">
        <f t="shared" si="13"/>
        <v>0</v>
      </c>
      <c r="C40" s="167">
        <f t="shared" si="13"/>
        <v>0</v>
      </c>
      <c r="D40" s="167">
        <f t="shared" si="13"/>
        <v>0</v>
      </c>
      <c r="E40" s="168">
        <f t="shared" si="13"/>
        <v>0</v>
      </c>
      <c r="F40" s="167">
        <f t="shared" si="13"/>
        <v>0</v>
      </c>
      <c r="G40" s="168">
        <f t="shared" si="13"/>
        <v>0</v>
      </c>
      <c r="H40" s="169">
        <f t="shared" si="13"/>
        <v>0</v>
      </c>
      <c r="I40" s="169" t="e">
        <f t="shared" ca="1" si="3"/>
        <v>#VALUE!</v>
      </c>
      <c r="J40" s="169">
        <f t="shared" si="14"/>
        <v>0</v>
      </c>
      <c r="K40" s="170">
        <f t="shared" si="14"/>
        <v>0</v>
      </c>
      <c r="L40" s="169">
        <f t="shared" si="14"/>
        <v>0</v>
      </c>
      <c r="M40" s="169">
        <f t="shared" si="14"/>
        <v>0</v>
      </c>
      <c r="N40" s="169" t="e">
        <f t="shared" ca="1" si="5"/>
        <v>#VALUE!</v>
      </c>
      <c r="O40" s="171" t="str">
        <f t="shared" si="6"/>
        <v/>
      </c>
      <c r="P40" s="171" t="str">
        <f t="shared" ca="1" si="7"/>
        <v/>
      </c>
      <c r="Q40" s="170">
        <f t="shared" ca="1" si="8"/>
        <v>0</v>
      </c>
      <c r="R40" s="170">
        <f t="shared" ca="1" si="9"/>
        <v>0</v>
      </c>
      <c r="S40" s="171" t="b">
        <f t="shared" si="10"/>
        <v>0</v>
      </c>
      <c r="T40" s="171" t="b">
        <f t="shared" ca="1" si="11"/>
        <v>0</v>
      </c>
      <c r="U40" s="172"/>
    </row>
    <row r="41" spans="1:21" hidden="1">
      <c r="A41" s="143">
        <v>181</v>
      </c>
      <c r="B41" s="167">
        <f t="shared" ref="B41:H50" si="15">IF($A41&lt;=$A$8,INDEX(Import.PO,$A41,B$8),0)</f>
        <v>0</v>
      </c>
      <c r="C41" s="167">
        <f t="shared" si="15"/>
        <v>0</v>
      </c>
      <c r="D41" s="167">
        <f t="shared" si="15"/>
        <v>0</v>
      </c>
      <c r="E41" s="168">
        <f t="shared" si="15"/>
        <v>0</v>
      </c>
      <c r="F41" s="167">
        <f t="shared" si="15"/>
        <v>0</v>
      </c>
      <c r="G41" s="168">
        <f t="shared" si="15"/>
        <v>0</v>
      </c>
      <c r="H41" s="169">
        <f t="shared" si="15"/>
        <v>0</v>
      </c>
      <c r="I41" s="169" t="e">
        <f t="shared" ca="1" si="3"/>
        <v>#VALUE!</v>
      </c>
      <c r="J41" s="169">
        <f t="shared" si="14"/>
        <v>0</v>
      </c>
      <c r="K41" s="170">
        <f t="shared" si="14"/>
        <v>0</v>
      </c>
      <c r="L41" s="169">
        <f t="shared" si="14"/>
        <v>0</v>
      </c>
      <c r="M41" s="169">
        <f t="shared" si="14"/>
        <v>0</v>
      </c>
      <c r="N41" s="169" t="e">
        <f t="shared" ca="1" si="5"/>
        <v>#VALUE!</v>
      </c>
      <c r="O41" s="171" t="str">
        <f t="shared" si="6"/>
        <v/>
      </c>
      <c r="P41" s="171" t="str">
        <f t="shared" ca="1" si="7"/>
        <v/>
      </c>
      <c r="Q41" s="170">
        <f t="shared" ca="1" si="8"/>
        <v>0</v>
      </c>
      <c r="R41" s="170">
        <f t="shared" ca="1" si="9"/>
        <v>0</v>
      </c>
      <c r="S41" s="171" t="b">
        <f t="shared" si="10"/>
        <v>0</v>
      </c>
      <c r="T41" s="171" t="b">
        <f t="shared" ca="1" si="11"/>
        <v>0</v>
      </c>
      <c r="U41" s="172"/>
    </row>
    <row r="42" spans="1:21" hidden="1">
      <c r="A42" s="143">
        <v>202</v>
      </c>
      <c r="B42" s="167">
        <f t="shared" si="15"/>
        <v>0</v>
      </c>
      <c r="C42" s="167">
        <f t="shared" si="15"/>
        <v>0</v>
      </c>
      <c r="D42" s="167">
        <f t="shared" si="15"/>
        <v>0</v>
      </c>
      <c r="E42" s="168">
        <f t="shared" si="15"/>
        <v>0</v>
      </c>
      <c r="F42" s="167">
        <f t="shared" si="15"/>
        <v>0</v>
      </c>
      <c r="G42" s="168">
        <f t="shared" si="15"/>
        <v>0</v>
      </c>
      <c r="H42" s="169">
        <f t="shared" si="15"/>
        <v>0</v>
      </c>
      <c r="I42" s="169" t="e">
        <f t="shared" ca="1" si="3"/>
        <v>#VALUE!</v>
      </c>
      <c r="J42" s="169">
        <f t="shared" si="14"/>
        <v>0</v>
      </c>
      <c r="K42" s="170">
        <f t="shared" si="14"/>
        <v>0</v>
      </c>
      <c r="L42" s="169">
        <f t="shared" si="14"/>
        <v>0</v>
      </c>
      <c r="M42" s="169">
        <f t="shared" si="14"/>
        <v>0</v>
      </c>
      <c r="N42" s="169" t="e">
        <f t="shared" ca="1" si="5"/>
        <v>#VALUE!</v>
      </c>
      <c r="O42" s="171" t="str">
        <f t="shared" si="6"/>
        <v/>
      </c>
      <c r="P42" s="171" t="str">
        <f t="shared" ca="1" si="7"/>
        <v/>
      </c>
      <c r="Q42" s="170">
        <f t="shared" ca="1" si="8"/>
        <v>0</v>
      </c>
      <c r="R42" s="170">
        <f t="shared" ca="1" si="9"/>
        <v>0</v>
      </c>
      <c r="S42" s="171" t="b">
        <f t="shared" si="10"/>
        <v>0</v>
      </c>
      <c r="T42" s="171" t="b">
        <f t="shared" ca="1" si="11"/>
        <v>0</v>
      </c>
      <c r="U42" s="172"/>
    </row>
    <row r="43" spans="1:21" hidden="1">
      <c r="A43" s="143">
        <v>215</v>
      </c>
      <c r="B43" s="167">
        <f t="shared" si="15"/>
        <v>0</v>
      </c>
      <c r="C43" s="167">
        <f t="shared" si="15"/>
        <v>0</v>
      </c>
      <c r="D43" s="167">
        <f t="shared" si="15"/>
        <v>0</v>
      </c>
      <c r="E43" s="168">
        <f t="shared" si="15"/>
        <v>0</v>
      </c>
      <c r="F43" s="167">
        <f t="shared" si="15"/>
        <v>0</v>
      </c>
      <c r="G43" s="168">
        <f t="shared" si="15"/>
        <v>0</v>
      </c>
      <c r="H43" s="169">
        <f t="shared" si="15"/>
        <v>0</v>
      </c>
      <c r="I43" s="169" t="e">
        <f t="shared" ca="1" si="3"/>
        <v>#VALUE!</v>
      </c>
      <c r="J43" s="169">
        <f t="shared" si="14"/>
        <v>0</v>
      </c>
      <c r="K43" s="170">
        <f t="shared" si="14"/>
        <v>0</v>
      </c>
      <c r="L43" s="169">
        <f t="shared" si="14"/>
        <v>0</v>
      </c>
      <c r="M43" s="169">
        <f t="shared" si="14"/>
        <v>0</v>
      </c>
      <c r="N43" s="169" t="e">
        <f t="shared" ca="1" si="5"/>
        <v>#VALUE!</v>
      </c>
      <c r="O43" s="171" t="str">
        <f t="shared" si="6"/>
        <v/>
      </c>
      <c r="P43" s="171" t="str">
        <f t="shared" ca="1" si="7"/>
        <v/>
      </c>
      <c r="Q43" s="170">
        <f t="shared" ca="1" si="8"/>
        <v>0</v>
      </c>
      <c r="R43" s="170">
        <f t="shared" ca="1" si="9"/>
        <v>0</v>
      </c>
      <c r="S43" s="171" t="b">
        <f t="shared" si="10"/>
        <v>0</v>
      </c>
      <c r="T43" s="171" t="b">
        <f t="shared" ca="1" si="11"/>
        <v>0</v>
      </c>
      <c r="U43" s="172"/>
    </row>
    <row r="44" spans="1:21" hidden="1">
      <c r="A44" s="143">
        <v>227</v>
      </c>
      <c r="B44" s="167">
        <f t="shared" si="15"/>
        <v>0</v>
      </c>
      <c r="C44" s="167">
        <f t="shared" si="15"/>
        <v>0</v>
      </c>
      <c r="D44" s="167">
        <f t="shared" si="15"/>
        <v>0</v>
      </c>
      <c r="E44" s="168">
        <f t="shared" si="15"/>
        <v>0</v>
      </c>
      <c r="F44" s="167">
        <f t="shared" si="15"/>
        <v>0</v>
      </c>
      <c r="G44" s="168">
        <f t="shared" si="15"/>
        <v>0</v>
      </c>
      <c r="H44" s="169">
        <f t="shared" si="15"/>
        <v>0</v>
      </c>
      <c r="I44" s="169" t="e">
        <f t="shared" ca="1" si="3"/>
        <v>#VALUE!</v>
      </c>
      <c r="J44" s="169">
        <f t="shared" si="14"/>
        <v>0</v>
      </c>
      <c r="K44" s="170">
        <f t="shared" si="14"/>
        <v>0</v>
      </c>
      <c r="L44" s="169">
        <f t="shared" si="14"/>
        <v>0</v>
      </c>
      <c r="M44" s="169">
        <f t="shared" si="14"/>
        <v>0</v>
      </c>
      <c r="N44" s="169" t="e">
        <f t="shared" ca="1" si="5"/>
        <v>#VALUE!</v>
      </c>
      <c r="O44" s="171" t="str">
        <f t="shared" si="6"/>
        <v/>
      </c>
      <c r="P44" s="171" t="str">
        <f t="shared" ca="1" si="7"/>
        <v/>
      </c>
      <c r="Q44" s="170">
        <f t="shared" ca="1" si="8"/>
        <v>0</v>
      </c>
      <c r="R44" s="170">
        <f t="shared" ca="1" si="9"/>
        <v>0</v>
      </c>
      <c r="S44" s="171" t="b">
        <f t="shared" si="10"/>
        <v>0</v>
      </c>
      <c r="T44" s="171" t="b">
        <f t="shared" ca="1" si="11"/>
        <v>0</v>
      </c>
      <c r="U44" s="172"/>
    </row>
    <row r="45" spans="1:21" hidden="1">
      <c r="A45" s="143">
        <v>238</v>
      </c>
      <c r="B45" s="167">
        <f t="shared" si="15"/>
        <v>0</v>
      </c>
      <c r="C45" s="167">
        <f t="shared" si="15"/>
        <v>0</v>
      </c>
      <c r="D45" s="167">
        <f t="shared" si="15"/>
        <v>0</v>
      </c>
      <c r="E45" s="168">
        <f t="shared" si="15"/>
        <v>0</v>
      </c>
      <c r="F45" s="167">
        <f t="shared" si="15"/>
        <v>0</v>
      </c>
      <c r="G45" s="168">
        <f t="shared" si="15"/>
        <v>0</v>
      </c>
      <c r="H45" s="169">
        <f t="shared" si="15"/>
        <v>0</v>
      </c>
      <c r="I45" s="169" t="e">
        <f t="shared" ca="1" si="3"/>
        <v>#VALUE!</v>
      </c>
      <c r="J45" s="169">
        <f t="shared" si="14"/>
        <v>0</v>
      </c>
      <c r="K45" s="170">
        <f t="shared" si="14"/>
        <v>0</v>
      </c>
      <c r="L45" s="169">
        <f t="shared" si="14"/>
        <v>0</v>
      </c>
      <c r="M45" s="169">
        <f t="shared" si="14"/>
        <v>0</v>
      </c>
      <c r="N45" s="169" t="e">
        <f t="shared" ca="1" si="5"/>
        <v>#VALUE!</v>
      </c>
      <c r="O45" s="171" t="str">
        <f t="shared" si="6"/>
        <v/>
      </c>
      <c r="P45" s="171" t="str">
        <f t="shared" ca="1" si="7"/>
        <v/>
      </c>
      <c r="Q45" s="170">
        <f t="shared" ca="1" si="8"/>
        <v>0</v>
      </c>
      <c r="R45" s="170">
        <f t="shared" ca="1" si="9"/>
        <v>0</v>
      </c>
      <c r="S45" s="171" t="b">
        <f t="shared" si="10"/>
        <v>0</v>
      </c>
      <c r="T45" s="171" t="b">
        <f t="shared" ca="1" si="11"/>
        <v>0</v>
      </c>
      <c r="U45" s="172"/>
    </row>
    <row r="46" spans="1:21" hidden="1">
      <c r="A46" s="143">
        <v>244</v>
      </c>
      <c r="B46" s="167">
        <f t="shared" si="15"/>
        <v>0</v>
      </c>
      <c r="C46" s="167">
        <f t="shared" si="15"/>
        <v>0</v>
      </c>
      <c r="D46" s="167">
        <f t="shared" si="15"/>
        <v>0</v>
      </c>
      <c r="E46" s="168">
        <f t="shared" si="15"/>
        <v>0</v>
      </c>
      <c r="F46" s="167">
        <f t="shared" si="15"/>
        <v>0</v>
      </c>
      <c r="G46" s="168">
        <f t="shared" si="15"/>
        <v>0</v>
      </c>
      <c r="H46" s="169">
        <f t="shared" si="15"/>
        <v>0</v>
      </c>
      <c r="I46" s="169" t="e">
        <f t="shared" ca="1" si="3"/>
        <v>#VALUE!</v>
      </c>
      <c r="J46" s="169">
        <f t="shared" si="14"/>
        <v>0</v>
      </c>
      <c r="K46" s="170">
        <f t="shared" si="14"/>
        <v>0</v>
      </c>
      <c r="L46" s="169">
        <f t="shared" si="14"/>
        <v>0</v>
      </c>
      <c r="M46" s="169">
        <f t="shared" si="14"/>
        <v>0</v>
      </c>
      <c r="N46" s="169" t="e">
        <f t="shared" ca="1" si="5"/>
        <v>#VALUE!</v>
      </c>
      <c r="O46" s="171" t="str">
        <f t="shared" si="6"/>
        <v/>
      </c>
      <c r="P46" s="171" t="str">
        <f t="shared" ca="1" si="7"/>
        <v/>
      </c>
      <c r="Q46" s="170">
        <f t="shared" ca="1" si="8"/>
        <v>0</v>
      </c>
      <c r="R46" s="170">
        <f t="shared" ca="1" si="9"/>
        <v>0</v>
      </c>
      <c r="S46" s="171" t="b">
        <f t="shared" si="10"/>
        <v>0</v>
      </c>
      <c r="T46" s="171" t="b">
        <f t="shared" ca="1" si="11"/>
        <v>0</v>
      </c>
      <c r="U46" s="172"/>
    </row>
    <row r="47" spans="1:21" hidden="1">
      <c r="A47" s="143">
        <v>265</v>
      </c>
      <c r="B47" s="167">
        <f t="shared" si="15"/>
        <v>0</v>
      </c>
      <c r="C47" s="167">
        <f t="shared" si="15"/>
        <v>0</v>
      </c>
      <c r="D47" s="167">
        <f t="shared" si="15"/>
        <v>0</v>
      </c>
      <c r="E47" s="168">
        <f t="shared" si="15"/>
        <v>0</v>
      </c>
      <c r="F47" s="167">
        <f t="shared" si="15"/>
        <v>0</v>
      </c>
      <c r="G47" s="168">
        <f t="shared" si="15"/>
        <v>0</v>
      </c>
      <c r="H47" s="169">
        <f t="shared" si="15"/>
        <v>0</v>
      </c>
      <c r="I47" s="169" t="e">
        <f t="shared" ca="1" si="3"/>
        <v>#VALUE!</v>
      </c>
      <c r="J47" s="169">
        <f t="shared" si="14"/>
        <v>0</v>
      </c>
      <c r="K47" s="170">
        <f t="shared" si="14"/>
        <v>0</v>
      </c>
      <c r="L47" s="169">
        <f t="shared" si="14"/>
        <v>0</v>
      </c>
      <c r="M47" s="169">
        <f t="shared" si="14"/>
        <v>0</v>
      </c>
      <c r="N47" s="169" t="e">
        <f t="shared" ca="1" si="5"/>
        <v>#VALUE!</v>
      </c>
      <c r="O47" s="171" t="str">
        <f t="shared" si="6"/>
        <v/>
      </c>
      <c r="P47" s="171" t="str">
        <f t="shared" ca="1" si="7"/>
        <v/>
      </c>
      <c r="Q47" s="170">
        <f t="shared" ca="1" si="8"/>
        <v>0</v>
      </c>
      <c r="R47" s="170">
        <f t="shared" ca="1" si="9"/>
        <v>0</v>
      </c>
      <c r="S47" s="171" t="b">
        <f t="shared" si="10"/>
        <v>0</v>
      </c>
      <c r="T47" s="171" t="b">
        <f t="shared" ca="1" si="11"/>
        <v>0</v>
      </c>
      <c r="U47" s="172"/>
    </row>
    <row r="48" spans="1:21" hidden="1">
      <c r="A48" s="143">
        <v>279</v>
      </c>
      <c r="B48" s="167">
        <f t="shared" si="15"/>
        <v>0</v>
      </c>
      <c r="C48" s="167">
        <f t="shared" si="15"/>
        <v>0</v>
      </c>
      <c r="D48" s="167">
        <f t="shared" si="15"/>
        <v>0</v>
      </c>
      <c r="E48" s="168">
        <f t="shared" si="15"/>
        <v>0</v>
      </c>
      <c r="F48" s="167">
        <f t="shared" si="15"/>
        <v>0</v>
      </c>
      <c r="G48" s="168">
        <f t="shared" si="15"/>
        <v>0</v>
      </c>
      <c r="H48" s="169">
        <f t="shared" si="15"/>
        <v>0</v>
      </c>
      <c r="I48" s="169" t="e">
        <f t="shared" ca="1" si="3"/>
        <v>#VALUE!</v>
      </c>
      <c r="J48" s="169">
        <f t="shared" si="14"/>
        <v>0</v>
      </c>
      <c r="K48" s="170">
        <f t="shared" si="14"/>
        <v>0</v>
      </c>
      <c r="L48" s="169">
        <f t="shared" si="14"/>
        <v>0</v>
      </c>
      <c r="M48" s="169">
        <f t="shared" si="14"/>
        <v>0</v>
      </c>
      <c r="N48" s="169" t="e">
        <f t="shared" ca="1" si="5"/>
        <v>#VALUE!</v>
      </c>
      <c r="O48" s="171" t="str">
        <f t="shared" si="6"/>
        <v/>
      </c>
      <c r="P48" s="171" t="str">
        <f t="shared" ca="1" si="7"/>
        <v/>
      </c>
      <c r="Q48" s="170">
        <f t="shared" ca="1" si="8"/>
        <v>0</v>
      </c>
      <c r="R48" s="170">
        <f t="shared" ca="1" si="9"/>
        <v>0</v>
      </c>
      <c r="S48" s="171" t="b">
        <f t="shared" si="10"/>
        <v>0</v>
      </c>
      <c r="T48" s="171" t="b">
        <f t="shared" ca="1" si="11"/>
        <v>0</v>
      </c>
      <c r="U48" s="172"/>
    </row>
    <row r="49" spans="1:21" hidden="1">
      <c r="A49" s="143">
        <v>282</v>
      </c>
      <c r="B49" s="167">
        <f t="shared" si="15"/>
        <v>0</v>
      </c>
      <c r="C49" s="167">
        <f t="shared" si="15"/>
        <v>0</v>
      </c>
      <c r="D49" s="167">
        <f t="shared" si="15"/>
        <v>0</v>
      </c>
      <c r="E49" s="168">
        <f t="shared" si="15"/>
        <v>0</v>
      </c>
      <c r="F49" s="167">
        <f t="shared" si="15"/>
        <v>0</v>
      </c>
      <c r="G49" s="168">
        <f t="shared" si="15"/>
        <v>0</v>
      </c>
      <c r="H49" s="169">
        <f t="shared" si="15"/>
        <v>0</v>
      </c>
      <c r="I49" s="169" t="e">
        <f t="shared" ca="1" si="3"/>
        <v>#VALUE!</v>
      </c>
      <c r="J49" s="169">
        <f t="shared" si="14"/>
        <v>0</v>
      </c>
      <c r="K49" s="170">
        <f t="shared" si="14"/>
        <v>0</v>
      </c>
      <c r="L49" s="169">
        <f t="shared" si="14"/>
        <v>0</v>
      </c>
      <c r="M49" s="169">
        <f t="shared" si="14"/>
        <v>0</v>
      </c>
      <c r="N49" s="169" t="e">
        <f t="shared" ca="1" si="5"/>
        <v>#VALUE!</v>
      </c>
      <c r="O49" s="171" t="str">
        <f t="shared" si="6"/>
        <v/>
      </c>
      <c r="P49" s="171" t="str">
        <f t="shared" ca="1" si="7"/>
        <v/>
      </c>
      <c r="Q49" s="170">
        <f t="shared" ca="1" si="8"/>
        <v>0</v>
      </c>
      <c r="R49" s="170">
        <f t="shared" ca="1" si="9"/>
        <v>0</v>
      </c>
      <c r="S49" s="171" t="b">
        <f t="shared" si="10"/>
        <v>0</v>
      </c>
      <c r="T49" s="171" t="b">
        <f t="shared" ca="1" si="11"/>
        <v>0</v>
      </c>
      <c r="U49" s="172"/>
    </row>
    <row r="50" spans="1:21" hidden="1">
      <c r="A50" s="143">
        <v>292</v>
      </c>
      <c r="B50" s="167">
        <f t="shared" si="15"/>
        <v>0</v>
      </c>
      <c r="C50" s="167">
        <f t="shared" si="15"/>
        <v>0</v>
      </c>
      <c r="D50" s="167">
        <f t="shared" si="15"/>
        <v>0</v>
      </c>
      <c r="E50" s="168">
        <f t="shared" si="15"/>
        <v>0</v>
      </c>
      <c r="F50" s="167">
        <f t="shared" si="15"/>
        <v>0</v>
      </c>
      <c r="G50" s="168">
        <f t="shared" si="15"/>
        <v>0</v>
      </c>
      <c r="H50" s="169">
        <f t="shared" si="15"/>
        <v>0</v>
      </c>
      <c r="I50" s="169" t="e">
        <f t="shared" ca="1" si="3"/>
        <v>#VALUE!</v>
      </c>
      <c r="J50" s="169">
        <f t="shared" si="14"/>
        <v>0</v>
      </c>
      <c r="K50" s="170">
        <f t="shared" si="14"/>
        <v>0</v>
      </c>
      <c r="L50" s="169">
        <f t="shared" si="14"/>
        <v>0</v>
      </c>
      <c r="M50" s="169">
        <f t="shared" si="14"/>
        <v>0</v>
      </c>
      <c r="N50" s="169" t="e">
        <f t="shared" ca="1" si="5"/>
        <v>#VALUE!</v>
      </c>
      <c r="O50" s="171" t="str">
        <f t="shared" si="6"/>
        <v/>
      </c>
      <c r="P50" s="171" t="str">
        <f t="shared" ca="1" si="7"/>
        <v/>
      </c>
      <c r="Q50" s="170">
        <f t="shared" ca="1" si="8"/>
        <v>0</v>
      </c>
      <c r="R50" s="170">
        <f t="shared" ca="1" si="9"/>
        <v>0</v>
      </c>
      <c r="S50" s="171" t="b">
        <f t="shared" si="10"/>
        <v>0</v>
      </c>
      <c r="T50" s="171" t="b">
        <f t="shared" ca="1" si="11"/>
        <v>0</v>
      </c>
      <c r="U50" s="172"/>
    </row>
    <row r="51" spans="1:21" hidden="1">
      <c r="A51" s="143">
        <v>315</v>
      </c>
      <c r="B51" s="167">
        <f t="shared" ref="B51:H60" si="16">IF($A51&lt;=$A$8,INDEX(Import.PO,$A51,B$8),0)</f>
        <v>0</v>
      </c>
      <c r="C51" s="167">
        <f t="shared" si="16"/>
        <v>0</v>
      </c>
      <c r="D51" s="167">
        <f t="shared" si="16"/>
        <v>0</v>
      </c>
      <c r="E51" s="168">
        <f t="shared" si="16"/>
        <v>0</v>
      </c>
      <c r="F51" s="167">
        <f t="shared" si="16"/>
        <v>0</v>
      </c>
      <c r="G51" s="168">
        <f t="shared" si="16"/>
        <v>0</v>
      </c>
      <c r="H51" s="169">
        <f t="shared" si="16"/>
        <v>0</v>
      </c>
      <c r="I51" s="169" t="e">
        <f t="shared" ca="1" si="3"/>
        <v>#VALUE!</v>
      </c>
      <c r="J51" s="169">
        <f t="shared" ref="J51:M70" si="17">IF($A51&lt;=$A$8,INDEX(Import.PO,$A51,J$8),0)</f>
        <v>0</v>
      </c>
      <c r="K51" s="170">
        <f t="shared" si="17"/>
        <v>0</v>
      </c>
      <c r="L51" s="169">
        <f t="shared" si="17"/>
        <v>0</v>
      </c>
      <c r="M51" s="169">
        <f t="shared" si="17"/>
        <v>0</v>
      </c>
      <c r="N51" s="169" t="e">
        <f t="shared" ca="1" si="5"/>
        <v>#VALUE!</v>
      </c>
      <c r="O51" s="171" t="str">
        <f t="shared" si="6"/>
        <v/>
      </c>
      <c r="P51" s="171" t="str">
        <f t="shared" ca="1" si="7"/>
        <v/>
      </c>
      <c r="Q51" s="170">
        <f t="shared" ca="1" si="8"/>
        <v>0</v>
      </c>
      <c r="R51" s="170">
        <f t="shared" ca="1" si="9"/>
        <v>0</v>
      </c>
      <c r="S51" s="171" t="b">
        <f t="shared" si="10"/>
        <v>0</v>
      </c>
      <c r="T51" s="171" t="b">
        <f t="shared" ca="1" si="11"/>
        <v>0</v>
      </c>
      <c r="U51" s="172"/>
    </row>
    <row r="52" spans="1:21" hidden="1">
      <c r="A52" s="143">
        <v>329</v>
      </c>
      <c r="B52" s="167">
        <f t="shared" si="16"/>
        <v>0</v>
      </c>
      <c r="C52" s="167">
        <f t="shared" si="16"/>
        <v>0</v>
      </c>
      <c r="D52" s="167">
        <f t="shared" si="16"/>
        <v>0</v>
      </c>
      <c r="E52" s="168">
        <f t="shared" si="16"/>
        <v>0</v>
      </c>
      <c r="F52" s="167">
        <f t="shared" si="16"/>
        <v>0</v>
      </c>
      <c r="G52" s="168">
        <f t="shared" si="16"/>
        <v>0</v>
      </c>
      <c r="H52" s="169">
        <f t="shared" si="16"/>
        <v>0</v>
      </c>
      <c r="I52" s="169" t="e">
        <f t="shared" ca="1" si="3"/>
        <v>#VALUE!</v>
      </c>
      <c r="J52" s="169">
        <f t="shared" si="17"/>
        <v>0</v>
      </c>
      <c r="K52" s="170">
        <f t="shared" si="17"/>
        <v>0</v>
      </c>
      <c r="L52" s="169">
        <f t="shared" si="17"/>
        <v>0</v>
      </c>
      <c r="M52" s="169">
        <f t="shared" si="17"/>
        <v>0</v>
      </c>
      <c r="N52" s="169" t="e">
        <f t="shared" ca="1" si="5"/>
        <v>#VALUE!</v>
      </c>
      <c r="O52" s="171" t="str">
        <f t="shared" si="6"/>
        <v/>
      </c>
      <c r="P52" s="171" t="str">
        <f t="shared" ca="1" si="7"/>
        <v/>
      </c>
      <c r="Q52" s="170">
        <f t="shared" ca="1" si="8"/>
        <v>0</v>
      </c>
      <c r="R52" s="170">
        <f t="shared" ca="1" si="9"/>
        <v>0</v>
      </c>
      <c r="S52" s="171" t="b">
        <f t="shared" si="10"/>
        <v>0</v>
      </c>
      <c r="T52" s="171" t="b">
        <f t="shared" ca="1" si="11"/>
        <v>0</v>
      </c>
      <c r="U52" s="172"/>
    </row>
    <row r="53" spans="1:21" hidden="1">
      <c r="A53" s="143">
        <v>332</v>
      </c>
      <c r="B53" s="167">
        <f t="shared" si="16"/>
        <v>0</v>
      </c>
      <c r="C53" s="167">
        <f t="shared" si="16"/>
        <v>0</v>
      </c>
      <c r="D53" s="167">
        <f t="shared" si="16"/>
        <v>0</v>
      </c>
      <c r="E53" s="168">
        <f t="shared" si="16"/>
        <v>0</v>
      </c>
      <c r="F53" s="167">
        <f t="shared" si="16"/>
        <v>0</v>
      </c>
      <c r="G53" s="168">
        <f t="shared" si="16"/>
        <v>0</v>
      </c>
      <c r="H53" s="169">
        <f t="shared" si="16"/>
        <v>0</v>
      </c>
      <c r="I53" s="169" t="e">
        <f t="shared" ca="1" si="3"/>
        <v>#VALUE!</v>
      </c>
      <c r="J53" s="169">
        <f t="shared" si="17"/>
        <v>0</v>
      </c>
      <c r="K53" s="170">
        <f t="shared" si="17"/>
        <v>0</v>
      </c>
      <c r="L53" s="169">
        <f t="shared" si="17"/>
        <v>0</v>
      </c>
      <c r="M53" s="169">
        <f t="shared" si="17"/>
        <v>0</v>
      </c>
      <c r="N53" s="169" t="e">
        <f t="shared" ca="1" si="5"/>
        <v>#VALUE!</v>
      </c>
      <c r="O53" s="171" t="str">
        <f t="shared" si="6"/>
        <v/>
      </c>
      <c r="P53" s="171" t="str">
        <f t="shared" ca="1" si="7"/>
        <v/>
      </c>
      <c r="Q53" s="170">
        <f t="shared" ca="1" si="8"/>
        <v>0</v>
      </c>
      <c r="R53" s="170">
        <f t="shared" ca="1" si="9"/>
        <v>0</v>
      </c>
      <c r="S53" s="171" t="b">
        <f t="shared" si="10"/>
        <v>0</v>
      </c>
      <c r="T53" s="171" t="b">
        <f t="shared" ca="1" si="11"/>
        <v>0</v>
      </c>
      <c r="U53" s="172"/>
    </row>
    <row r="54" spans="1:21" hidden="1">
      <c r="A54" s="143">
        <v>353</v>
      </c>
      <c r="B54" s="167">
        <f t="shared" si="16"/>
        <v>0</v>
      </c>
      <c r="C54" s="167">
        <f t="shared" si="16"/>
        <v>0</v>
      </c>
      <c r="D54" s="167">
        <f t="shared" si="16"/>
        <v>0</v>
      </c>
      <c r="E54" s="168">
        <f t="shared" si="16"/>
        <v>0</v>
      </c>
      <c r="F54" s="167">
        <f t="shared" si="16"/>
        <v>0</v>
      </c>
      <c r="G54" s="168">
        <f t="shared" si="16"/>
        <v>0</v>
      </c>
      <c r="H54" s="169">
        <f t="shared" si="16"/>
        <v>0</v>
      </c>
      <c r="I54" s="169" t="e">
        <f t="shared" ca="1" si="3"/>
        <v>#VALUE!</v>
      </c>
      <c r="J54" s="169">
        <f t="shared" si="17"/>
        <v>0</v>
      </c>
      <c r="K54" s="170">
        <f t="shared" si="17"/>
        <v>0</v>
      </c>
      <c r="L54" s="169">
        <f t="shared" si="17"/>
        <v>0</v>
      </c>
      <c r="M54" s="169">
        <f t="shared" si="17"/>
        <v>0</v>
      </c>
      <c r="N54" s="169" t="e">
        <f t="shared" ca="1" si="5"/>
        <v>#VALUE!</v>
      </c>
      <c r="O54" s="171" t="str">
        <f t="shared" si="6"/>
        <v/>
      </c>
      <c r="P54" s="171" t="str">
        <f t="shared" ca="1" si="7"/>
        <v/>
      </c>
      <c r="Q54" s="170">
        <f t="shared" ca="1" si="8"/>
        <v>0</v>
      </c>
      <c r="R54" s="170">
        <f t="shared" ca="1" si="9"/>
        <v>0</v>
      </c>
      <c r="S54" s="171" t="b">
        <f t="shared" si="10"/>
        <v>0</v>
      </c>
      <c r="T54" s="171" t="b">
        <f t="shared" ca="1" si="11"/>
        <v>0</v>
      </c>
      <c r="U54" s="172"/>
    </row>
    <row r="55" spans="1:21" hidden="1">
      <c r="A55" s="143">
        <v>367</v>
      </c>
      <c r="B55" s="167">
        <f t="shared" si="16"/>
        <v>0</v>
      </c>
      <c r="C55" s="167">
        <f t="shared" si="16"/>
        <v>0</v>
      </c>
      <c r="D55" s="167">
        <f t="shared" si="16"/>
        <v>0</v>
      </c>
      <c r="E55" s="168">
        <f t="shared" si="16"/>
        <v>0</v>
      </c>
      <c r="F55" s="167">
        <f t="shared" si="16"/>
        <v>0</v>
      </c>
      <c r="G55" s="168">
        <f t="shared" si="16"/>
        <v>0</v>
      </c>
      <c r="H55" s="169">
        <f t="shared" si="16"/>
        <v>0</v>
      </c>
      <c r="I55" s="169" t="e">
        <f t="shared" ca="1" si="3"/>
        <v>#VALUE!</v>
      </c>
      <c r="J55" s="169">
        <f t="shared" si="17"/>
        <v>0</v>
      </c>
      <c r="K55" s="170">
        <f t="shared" si="17"/>
        <v>0</v>
      </c>
      <c r="L55" s="169">
        <f t="shared" si="17"/>
        <v>0</v>
      </c>
      <c r="M55" s="169">
        <f t="shared" si="17"/>
        <v>0</v>
      </c>
      <c r="N55" s="169" t="e">
        <f t="shared" ca="1" si="5"/>
        <v>#VALUE!</v>
      </c>
      <c r="O55" s="171" t="str">
        <f t="shared" si="6"/>
        <v/>
      </c>
      <c r="P55" s="171" t="str">
        <f t="shared" ca="1" si="7"/>
        <v/>
      </c>
      <c r="Q55" s="170">
        <f t="shared" ca="1" si="8"/>
        <v>0</v>
      </c>
      <c r="R55" s="170">
        <f t="shared" ca="1" si="9"/>
        <v>0</v>
      </c>
      <c r="S55" s="171" t="b">
        <f t="shared" si="10"/>
        <v>0</v>
      </c>
      <c r="T55" s="171" t="b">
        <f t="shared" ca="1" si="11"/>
        <v>0</v>
      </c>
      <c r="U55" s="172"/>
    </row>
    <row r="56" spans="1:21" hidden="1">
      <c r="A56" s="143">
        <v>381</v>
      </c>
      <c r="B56" s="167">
        <f t="shared" si="16"/>
        <v>0</v>
      </c>
      <c r="C56" s="167">
        <f t="shared" si="16"/>
        <v>0</v>
      </c>
      <c r="D56" s="167">
        <f t="shared" si="16"/>
        <v>0</v>
      </c>
      <c r="E56" s="168">
        <f t="shared" si="16"/>
        <v>0</v>
      </c>
      <c r="F56" s="167">
        <f t="shared" si="16"/>
        <v>0</v>
      </c>
      <c r="G56" s="168">
        <f t="shared" si="16"/>
        <v>0</v>
      </c>
      <c r="H56" s="169">
        <f t="shared" si="16"/>
        <v>0</v>
      </c>
      <c r="I56" s="169" t="e">
        <f t="shared" ca="1" si="3"/>
        <v>#VALUE!</v>
      </c>
      <c r="J56" s="169">
        <f t="shared" si="17"/>
        <v>0</v>
      </c>
      <c r="K56" s="170">
        <f t="shared" si="17"/>
        <v>0</v>
      </c>
      <c r="L56" s="169">
        <f t="shared" si="17"/>
        <v>0</v>
      </c>
      <c r="M56" s="169">
        <f t="shared" si="17"/>
        <v>0</v>
      </c>
      <c r="N56" s="169" t="e">
        <f t="shared" ca="1" si="5"/>
        <v>#VALUE!</v>
      </c>
      <c r="O56" s="171" t="str">
        <f t="shared" si="6"/>
        <v/>
      </c>
      <c r="P56" s="171" t="str">
        <f t="shared" ca="1" si="7"/>
        <v/>
      </c>
      <c r="Q56" s="170">
        <f t="shared" ca="1" si="8"/>
        <v>0</v>
      </c>
      <c r="R56" s="170">
        <f t="shared" ca="1" si="9"/>
        <v>0</v>
      </c>
      <c r="S56" s="171" t="b">
        <f t="shared" si="10"/>
        <v>0</v>
      </c>
      <c r="T56" s="171" t="b">
        <f t="shared" ca="1" si="11"/>
        <v>0</v>
      </c>
      <c r="U56" s="172"/>
    </row>
    <row r="57" spans="1:21" hidden="1">
      <c r="A57" s="143">
        <v>395</v>
      </c>
      <c r="B57" s="167">
        <f t="shared" si="16"/>
        <v>0</v>
      </c>
      <c r="C57" s="167">
        <f t="shared" si="16"/>
        <v>0</v>
      </c>
      <c r="D57" s="167">
        <f t="shared" si="16"/>
        <v>0</v>
      </c>
      <c r="E57" s="168">
        <f t="shared" si="16"/>
        <v>0</v>
      </c>
      <c r="F57" s="167">
        <f t="shared" si="16"/>
        <v>0</v>
      </c>
      <c r="G57" s="168">
        <f t="shared" si="16"/>
        <v>0</v>
      </c>
      <c r="H57" s="169">
        <f t="shared" si="16"/>
        <v>0</v>
      </c>
      <c r="I57" s="169" t="e">
        <f t="shared" ca="1" si="3"/>
        <v>#VALUE!</v>
      </c>
      <c r="J57" s="169">
        <f t="shared" si="17"/>
        <v>0</v>
      </c>
      <c r="K57" s="170">
        <f t="shared" si="17"/>
        <v>0</v>
      </c>
      <c r="L57" s="169">
        <f t="shared" si="17"/>
        <v>0</v>
      </c>
      <c r="M57" s="169">
        <f t="shared" si="17"/>
        <v>0</v>
      </c>
      <c r="N57" s="169" t="e">
        <f t="shared" ca="1" si="5"/>
        <v>#VALUE!</v>
      </c>
      <c r="O57" s="171" t="str">
        <f t="shared" si="6"/>
        <v/>
      </c>
      <c r="P57" s="171" t="str">
        <f t="shared" ca="1" si="7"/>
        <v/>
      </c>
      <c r="Q57" s="170">
        <f t="shared" ca="1" si="8"/>
        <v>0</v>
      </c>
      <c r="R57" s="170">
        <f t="shared" ca="1" si="9"/>
        <v>0</v>
      </c>
      <c r="S57" s="171" t="b">
        <f t="shared" si="10"/>
        <v>0</v>
      </c>
      <c r="T57" s="171" t="b">
        <f t="shared" ca="1" si="11"/>
        <v>0</v>
      </c>
      <c r="U57" s="172"/>
    </row>
    <row r="58" spans="1:21" hidden="1">
      <c r="A58" s="143">
        <v>409</v>
      </c>
      <c r="B58" s="167">
        <f t="shared" si="16"/>
        <v>0</v>
      </c>
      <c r="C58" s="167">
        <f t="shared" si="16"/>
        <v>0</v>
      </c>
      <c r="D58" s="167">
        <f t="shared" si="16"/>
        <v>0</v>
      </c>
      <c r="E58" s="168">
        <f t="shared" si="16"/>
        <v>0</v>
      </c>
      <c r="F58" s="167">
        <f t="shared" si="16"/>
        <v>0</v>
      </c>
      <c r="G58" s="168">
        <f t="shared" si="16"/>
        <v>0</v>
      </c>
      <c r="H58" s="169">
        <f t="shared" si="16"/>
        <v>0</v>
      </c>
      <c r="I58" s="169" t="e">
        <f t="shared" ca="1" si="3"/>
        <v>#VALUE!</v>
      </c>
      <c r="J58" s="169">
        <f t="shared" si="17"/>
        <v>0</v>
      </c>
      <c r="K58" s="170">
        <f t="shared" si="17"/>
        <v>0</v>
      </c>
      <c r="L58" s="169">
        <f t="shared" si="17"/>
        <v>0</v>
      </c>
      <c r="M58" s="169">
        <f t="shared" si="17"/>
        <v>0</v>
      </c>
      <c r="N58" s="169" t="e">
        <f t="shared" ca="1" si="5"/>
        <v>#VALUE!</v>
      </c>
      <c r="O58" s="171" t="str">
        <f t="shared" si="6"/>
        <v/>
      </c>
      <c r="P58" s="171" t="str">
        <f t="shared" ca="1" si="7"/>
        <v/>
      </c>
      <c r="Q58" s="170">
        <f t="shared" ca="1" si="8"/>
        <v>0</v>
      </c>
      <c r="R58" s="170">
        <f t="shared" ca="1" si="9"/>
        <v>0</v>
      </c>
      <c r="S58" s="171" t="b">
        <f t="shared" si="10"/>
        <v>0</v>
      </c>
      <c r="T58" s="171" t="b">
        <f t="shared" ca="1" si="11"/>
        <v>0</v>
      </c>
      <c r="U58" s="172"/>
    </row>
    <row r="59" spans="1:21" hidden="1">
      <c r="A59" s="143">
        <v>423</v>
      </c>
      <c r="B59" s="167">
        <f t="shared" si="16"/>
        <v>0</v>
      </c>
      <c r="C59" s="167">
        <f t="shared" si="16"/>
        <v>0</v>
      </c>
      <c r="D59" s="167">
        <f t="shared" si="16"/>
        <v>0</v>
      </c>
      <c r="E59" s="168">
        <f t="shared" si="16"/>
        <v>0</v>
      </c>
      <c r="F59" s="167">
        <f t="shared" si="16"/>
        <v>0</v>
      </c>
      <c r="G59" s="168">
        <f t="shared" si="16"/>
        <v>0</v>
      </c>
      <c r="H59" s="169">
        <f t="shared" si="16"/>
        <v>0</v>
      </c>
      <c r="I59" s="169" t="e">
        <f t="shared" ca="1" si="3"/>
        <v>#VALUE!</v>
      </c>
      <c r="J59" s="169">
        <f t="shared" si="17"/>
        <v>0</v>
      </c>
      <c r="K59" s="170">
        <f t="shared" si="17"/>
        <v>0</v>
      </c>
      <c r="L59" s="169">
        <f t="shared" si="17"/>
        <v>0</v>
      </c>
      <c r="M59" s="169">
        <f t="shared" si="17"/>
        <v>0</v>
      </c>
      <c r="N59" s="169" t="e">
        <f t="shared" ca="1" si="5"/>
        <v>#VALUE!</v>
      </c>
      <c r="O59" s="171" t="str">
        <f t="shared" si="6"/>
        <v/>
      </c>
      <c r="P59" s="171" t="str">
        <f t="shared" ca="1" si="7"/>
        <v/>
      </c>
      <c r="Q59" s="170">
        <f t="shared" ca="1" si="8"/>
        <v>0</v>
      </c>
      <c r="R59" s="170">
        <f t="shared" ca="1" si="9"/>
        <v>0</v>
      </c>
      <c r="S59" s="171" t="b">
        <f t="shared" si="10"/>
        <v>0</v>
      </c>
      <c r="T59" s="171" t="b">
        <f t="shared" ca="1" si="11"/>
        <v>0</v>
      </c>
      <c r="U59" s="172"/>
    </row>
    <row r="60" spans="1:21" hidden="1">
      <c r="A60" s="143">
        <v>428</v>
      </c>
      <c r="B60" s="167">
        <f t="shared" si="16"/>
        <v>0</v>
      </c>
      <c r="C60" s="167">
        <f t="shared" si="16"/>
        <v>0</v>
      </c>
      <c r="D60" s="167">
        <f t="shared" si="16"/>
        <v>0</v>
      </c>
      <c r="E60" s="168">
        <f t="shared" si="16"/>
        <v>0</v>
      </c>
      <c r="F60" s="167">
        <f t="shared" si="16"/>
        <v>0</v>
      </c>
      <c r="G60" s="168">
        <f t="shared" si="16"/>
        <v>0</v>
      </c>
      <c r="H60" s="169">
        <f t="shared" si="16"/>
        <v>0</v>
      </c>
      <c r="I60" s="169" t="e">
        <f t="shared" ca="1" si="3"/>
        <v>#VALUE!</v>
      </c>
      <c r="J60" s="169">
        <f t="shared" si="17"/>
        <v>0</v>
      </c>
      <c r="K60" s="170">
        <f t="shared" si="17"/>
        <v>0</v>
      </c>
      <c r="L60" s="169">
        <f t="shared" si="17"/>
        <v>0</v>
      </c>
      <c r="M60" s="169">
        <f t="shared" si="17"/>
        <v>0</v>
      </c>
      <c r="N60" s="169" t="e">
        <f t="shared" ca="1" si="5"/>
        <v>#VALUE!</v>
      </c>
      <c r="O60" s="171" t="str">
        <f t="shared" si="6"/>
        <v/>
      </c>
      <c r="P60" s="171" t="str">
        <f t="shared" ca="1" si="7"/>
        <v/>
      </c>
      <c r="Q60" s="170">
        <f t="shared" ca="1" si="8"/>
        <v>0</v>
      </c>
      <c r="R60" s="170">
        <f t="shared" ca="1" si="9"/>
        <v>0</v>
      </c>
      <c r="S60" s="171" t="b">
        <f t="shared" si="10"/>
        <v>0</v>
      </c>
      <c r="T60" s="171" t="b">
        <f t="shared" ca="1" si="11"/>
        <v>0</v>
      </c>
      <c r="U60" s="172"/>
    </row>
    <row r="61" spans="1:21" hidden="1">
      <c r="A61" s="143">
        <v>441</v>
      </c>
      <c r="B61" s="167">
        <f t="shared" ref="B61:H70" si="18">IF($A61&lt;=$A$8,INDEX(Import.PO,$A61,B$8),0)</f>
        <v>0</v>
      </c>
      <c r="C61" s="167">
        <f t="shared" si="18"/>
        <v>0</v>
      </c>
      <c r="D61" s="167">
        <f t="shared" si="18"/>
        <v>0</v>
      </c>
      <c r="E61" s="168">
        <f t="shared" si="18"/>
        <v>0</v>
      </c>
      <c r="F61" s="167">
        <f t="shared" si="18"/>
        <v>0</v>
      </c>
      <c r="G61" s="168">
        <f t="shared" si="18"/>
        <v>0</v>
      </c>
      <c r="H61" s="169">
        <f t="shared" si="18"/>
        <v>0</v>
      </c>
      <c r="I61" s="169" t="e">
        <f t="shared" ca="1" si="3"/>
        <v>#VALUE!</v>
      </c>
      <c r="J61" s="169">
        <f t="shared" si="17"/>
        <v>0</v>
      </c>
      <c r="K61" s="170">
        <f t="shared" si="17"/>
        <v>0</v>
      </c>
      <c r="L61" s="169">
        <f t="shared" si="17"/>
        <v>0</v>
      </c>
      <c r="M61" s="169">
        <f t="shared" si="17"/>
        <v>0</v>
      </c>
      <c r="N61" s="169" t="e">
        <f t="shared" ca="1" si="5"/>
        <v>#VALUE!</v>
      </c>
      <c r="O61" s="171" t="str">
        <f t="shared" si="6"/>
        <v/>
      </c>
      <c r="P61" s="171" t="str">
        <f t="shared" ca="1" si="7"/>
        <v/>
      </c>
      <c r="Q61" s="170">
        <f t="shared" ca="1" si="8"/>
        <v>0</v>
      </c>
      <c r="R61" s="170">
        <f t="shared" ca="1" si="9"/>
        <v>0</v>
      </c>
      <c r="S61" s="171" t="b">
        <f t="shared" si="10"/>
        <v>0</v>
      </c>
      <c r="T61" s="171" t="b">
        <f t="shared" ca="1" si="11"/>
        <v>0</v>
      </c>
      <c r="U61" s="172"/>
    </row>
    <row r="62" spans="1:21" hidden="1">
      <c r="A62" s="143">
        <v>459</v>
      </c>
      <c r="B62" s="167">
        <f t="shared" si="18"/>
        <v>0</v>
      </c>
      <c r="C62" s="167">
        <f t="shared" si="18"/>
        <v>0</v>
      </c>
      <c r="D62" s="167">
        <f t="shared" si="18"/>
        <v>0</v>
      </c>
      <c r="E62" s="168">
        <f t="shared" si="18"/>
        <v>0</v>
      </c>
      <c r="F62" s="167">
        <f t="shared" si="18"/>
        <v>0</v>
      </c>
      <c r="G62" s="168">
        <f t="shared" si="18"/>
        <v>0</v>
      </c>
      <c r="H62" s="169">
        <f t="shared" si="18"/>
        <v>0</v>
      </c>
      <c r="I62" s="169" t="e">
        <f t="shared" ca="1" si="3"/>
        <v>#VALUE!</v>
      </c>
      <c r="J62" s="169">
        <f t="shared" si="17"/>
        <v>0</v>
      </c>
      <c r="K62" s="170">
        <f t="shared" si="17"/>
        <v>0</v>
      </c>
      <c r="L62" s="169">
        <f t="shared" si="17"/>
        <v>0</v>
      </c>
      <c r="M62" s="169">
        <f t="shared" si="17"/>
        <v>0</v>
      </c>
      <c r="N62" s="169" t="e">
        <f t="shared" ca="1" si="5"/>
        <v>#VALUE!</v>
      </c>
      <c r="O62" s="171" t="str">
        <f t="shared" si="6"/>
        <v/>
      </c>
      <c r="P62" s="171" t="str">
        <f t="shared" ca="1" si="7"/>
        <v/>
      </c>
      <c r="Q62" s="170">
        <f t="shared" ca="1" si="8"/>
        <v>0</v>
      </c>
      <c r="R62" s="170">
        <f t="shared" ca="1" si="9"/>
        <v>0</v>
      </c>
      <c r="S62" s="171" t="b">
        <f t="shared" si="10"/>
        <v>0</v>
      </c>
      <c r="T62" s="171" t="b">
        <f t="shared" ca="1" si="11"/>
        <v>0</v>
      </c>
      <c r="U62" s="172"/>
    </row>
    <row r="63" spans="1:21" hidden="1">
      <c r="A63" s="143">
        <v>463</v>
      </c>
      <c r="B63" s="167">
        <f t="shared" si="18"/>
        <v>0</v>
      </c>
      <c r="C63" s="167">
        <f t="shared" si="18"/>
        <v>0</v>
      </c>
      <c r="D63" s="167">
        <f t="shared" si="18"/>
        <v>0</v>
      </c>
      <c r="E63" s="168">
        <f t="shared" si="18"/>
        <v>0</v>
      </c>
      <c r="F63" s="167">
        <f t="shared" si="18"/>
        <v>0</v>
      </c>
      <c r="G63" s="168">
        <f t="shared" si="18"/>
        <v>0</v>
      </c>
      <c r="H63" s="169">
        <f t="shared" si="18"/>
        <v>0</v>
      </c>
      <c r="I63" s="169" t="e">
        <f t="shared" ca="1" si="3"/>
        <v>#VALUE!</v>
      </c>
      <c r="J63" s="169">
        <f t="shared" si="17"/>
        <v>0</v>
      </c>
      <c r="K63" s="170">
        <f t="shared" si="17"/>
        <v>0</v>
      </c>
      <c r="L63" s="169">
        <f t="shared" si="17"/>
        <v>0</v>
      </c>
      <c r="M63" s="169">
        <f t="shared" si="17"/>
        <v>0</v>
      </c>
      <c r="N63" s="169" t="e">
        <f t="shared" ca="1" si="5"/>
        <v>#VALUE!</v>
      </c>
      <c r="O63" s="171" t="str">
        <f t="shared" si="6"/>
        <v/>
      </c>
      <c r="P63" s="171" t="str">
        <f t="shared" ca="1" si="7"/>
        <v/>
      </c>
      <c r="Q63" s="170">
        <f t="shared" ca="1" si="8"/>
        <v>0</v>
      </c>
      <c r="R63" s="170">
        <f t="shared" ca="1" si="9"/>
        <v>0</v>
      </c>
      <c r="S63" s="171" t="b">
        <f t="shared" si="10"/>
        <v>0</v>
      </c>
      <c r="T63" s="171" t="b">
        <f t="shared" ca="1" si="11"/>
        <v>0</v>
      </c>
      <c r="U63" s="172"/>
    </row>
    <row r="64" spans="1:21" hidden="1">
      <c r="A64" s="143">
        <v>470</v>
      </c>
      <c r="B64" s="167">
        <f t="shared" si="18"/>
        <v>0</v>
      </c>
      <c r="C64" s="167">
        <f t="shared" si="18"/>
        <v>0</v>
      </c>
      <c r="D64" s="167">
        <f t="shared" si="18"/>
        <v>0</v>
      </c>
      <c r="E64" s="168">
        <f t="shared" si="18"/>
        <v>0</v>
      </c>
      <c r="F64" s="167">
        <f t="shared" si="18"/>
        <v>0</v>
      </c>
      <c r="G64" s="168">
        <f t="shared" si="18"/>
        <v>0</v>
      </c>
      <c r="H64" s="169">
        <f t="shared" si="18"/>
        <v>0</v>
      </c>
      <c r="I64" s="169" t="e">
        <f t="shared" ca="1" si="3"/>
        <v>#VALUE!</v>
      </c>
      <c r="J64" s="169">
        <f t="shared" si="17"/>
        <v>0</v>
      </c>
      <c r="K64" s="170">
        <f t="shared" si="17"/>
        <v>0</v>
      </c>
      <c r="L64" s="169">
        <f t="shared" si="17"/>
        <v>0</v>
      </c>
      <c r="M64" s="169">
        <f t="shared" si="17"/>
        <v>0</v>
      </c>
      <c r="N64" s="169" t="e">
        <f t="shared" ca="1" si="5"/>
        <v>#VALUE!</v>
      </c>
      <c r="O64" s="171" t="str">
        <f t="shared" si="6"/>
        <v/>
      </c>
      <c r="P64" s="171" t="str">
        <f t="shared" ca="1" si="7"/>
        <v/>
      </c>
      <c r="Q64" s="170">
        <f t="shared" ca="1" si="8"/>
        <v>0</v>
      </c>
      <c r="R64" s="170">
        <f t="shared" ca="1" si="9"/>
        <v>0</v>
      </c>
      <c r="S64" s="171" t="b">
        <f t="shared" si="10"/>
        <v>0</v>
      </c>
      <c r="T64" s="171" t="b">
        <f t="shared" ca="1" si="11"/>
        <v>0</v>
      </c>
      <c r="U64" s="172"/>
    </row>
    <row r="65" spans="1:21" hidden="1">
      <c r="A65" s="143">
        <v>159</v>
      </c>
      <c r="B65" s="167">
        <f t="shared" si="18"/>
        <v>0</v>
      </c>
      <c r="C65" s="167">
        <f t="shared" si="18"/>
        <v>0</v>
      </c>
      <c r="D65" s="167">
        <f t="shared" si="18"/>
        <v>0</v>
      </c>
      <c r="E65" s="168">
        <f t="shared" si="18"/>
        <v>0</v>
      </c>
      <c r="F65" s="167">
        <f t="shared" si="18"/>
        <v>0</v>
      </c>
      <c r="G65" s="168">
        <f t="shared" si="18"/>
        <v>0</v>
      </c>
      <c r="H65" s="169">
        <f t="shared" si="18"/>
        <v>0</v>
      </c>
      <c r="I65" s="169" t="e">
        <f t="shared" ca="1" si="3"/>
        <v>#VALUE!</v>
      </c>
      <c r="J65" s="169">
        <f t="shared" si="17"/>
        <v>0</v>
      </c>
      <c r="K65" s="170">
        <f t="shared" si="17"/>
        <v>0</v>
      </c>
      <c r="L65" s="169">
        <f t="shared" si="17"/>
        <v>0</v>
      </c>
      <c r="M65" s="169">
        <f t="shared" si="17"/>
        <v>0</v>
      </c>
      <c r="N65" s="169" t="e">
        <f t="shared" ca="1" si="5"/>
        <v>#VALUE!</v>
      </c>
      <c r="O65" s="171" t="str">
        <f t="shared" si="6"/>
        <v/>
      </c>
      <c r="P65" s="171" t="str">
        <f t="shared" ca="1" si="7"/>
        <v/>
      </c>
      <c r="Q65" s="170">
        <f t="shared" ca="1" si="8"/>
        <v>0</v>
      </c>
      <c r="R65" s="170">
        <f t="shared" ca="1" si="9"/>
        <v>0</v>
      </c>
      <c r="S65" s="171" t="b">
        <f t="shared" si="10"/>
        <v>0</v>
      </c>
      <c r="T65" s="171" t="b">
        <f t="shared" ca="1" si="11"/>
        <v>0</v>
      </c>
      <c r="U65" s="172"/>
    </row>
    <row r="66" spans="1:21" hidden="1">
      <c r="A66" s="143">
        <v>229</v>
      </c>
      <c r="B66" s="167">
        <f t="shared" si="18"/>
        <v>0</v>
      </c>
      <c r="C66" s="167">
        <f t="shared" si="18"/>
        <v>0</v>
      </c>
      <c r="D66" s="167">
        <f t="shared" si="18"/>
        <v>0</v>
      </c>
      <c r="E66" s="168">
        <f t="shared" si="18"/>
        <v>0</v>
      </c>
      <c r="F66" s="167">
        <f t="shared" si="18"/>
        <v>0</v>
      </c>
      <c r="G66" s="168">
        <f t="shared" si="18"/>
        <v>0</v>
      </c>
      <c r="H66" s="169">
        <f t="shared" si="18"/>
        <v>0</v>
      </c>
      <c r="I66" s="169" t="e">
        <f t="shared" ca="1" si="3"/>
        <v>#VALUE!</v>
      </c>
      <c r="J66" s="169">
        <f t="shared" si="17"/>
        <v>0</v>
      </c>
      <c r="K66" s="170">
        <f t="shared" si="17"/>
        <v>0</v>
      </c>
      <c r="L66" s="169">
        <f t="shared" si="17"/>
        <v>0</v>
      </c>
      <c r="M66" s="169">
        <f t="shared" si="17"/>
        <v>0</v>
      </c>
      <c r="N66" s="169" t="e">
        <f t="shared" ca="1" si="5"/>
        <v>#VALUE!</v>
      </c>
      <c r="O66" s="171" t="str">
        <f t="shared" si="6"/>
        <v/>
      </c>
      <c r="P66" s="171" t="str">
        <f t="shared" ca="1" si="7"/>
        <v/>
      </c>
      <c r="Q66" s="170">
        <f t="shared" ca="1" si="8"/>
        <v>0</v>
      </c>
      <c r="R66" s="170">
        <f t="shared" ca="1" si="9"/>
        <v>0</v>
      </c>
      <c r="S66" s="171" t="b">
        <f t="shared" si="10"/>
        <v>0</v>
      </c>
      <c r="T66" s="171" t="b">
        <f t="shared" ca="1" si="11"/>
        <v>0</v>
      </c>
      <c r="U66" s="172"/>
    </row>
    <row r="67" spans="1:21" hidden="1">
      <c r="A67" s="143">
        <v>284</v>
      </c>
      <c r="B67" s="167">
        <f t="shared" si="18"/>
        <v>0</v>
      </c>
      <c r="C67" s="167">
        <f t="shared" si="18"/>
        <v>0</v>
      </c>
      <c r="D67" s="167">
        <f t="shared" si="18"/>
        <v>0</v>
      </c>
      <c r="E67" s="168">
        <f t="shared" si="18"/>
        <v>0</v>
      </c>
      <c r="F67" s="167">
        <f t="shared" si="18"/>
        <v>0</v>
      </c>
      <c r="G67" s="168">
        <f t="shared" si="18"/>
        <v>0</v>
      </c>
      <c r="H67" s="169">
        <f t="shared" si="18"/>
        <v>0</v>
      </c>
      <c r="I67" s="169" t="e">
        <f t="shared" ca="1" si="3"/>
        <v>#VALUE!</v>
      </c>
      <c r="J67" s="169">
        <f t="shared" si="17"/>
        <v>0</v>
      </c>
      <c r="K67" s="170">
        <f t="shared" si="17"/>
        <v>0</v>
      </c>
      <c r="L67" s="169">
        <f t="shared" si="17"/>
        <v>0</v>
      </c>
      <c r="M67" s="169">
        <f t="shared" si="17"/>
        <v>0</v>
      </c>
      <c r="N67" s="169" t="e">
        <f t="shared" ca="1" si="5"/>
        <v>#VALUE!</v>
      </c>
      <c r="O67" s="171" t="str">
        <f t="shared" si="6"/>
        <v/>
      </c>
      <c r="P67" s="171" t="str">
        <f t="shared" ca="1" si="7"/>
        <v/>
      </c>
      <c r="Q67" s="170">
        <f t="shared" ca="1" si="8"/>
        <v>0</v>
      </c>
      <c r="R67" s="170">
        <f t="shared" ca="1" si="9"/>
        <v>0</v>
      </c>
      <c r="S67" s="171" t="b">
        <f t="shared" si="10"/>
        <v>0</v>
      </c>
      <c r="T67" s="171" t="b">
        <f t="shared" ca="1" si="11"/>
        <v>0</v>
      </c>
      <c r="U67" s="172"/>
    </row>
    <row r="68" spans="1:21" hidden="1">
      <c r="A68" s="143">
        <v>334</v>
      </c>
      <c r="B68" s="167">
        <f t="shared" si="18"/>
        <v>0</v>
      </c>
      <c r="C68" s="167">
        <f t="shared" si="18"/>
        <v>0</v>
      </c>
      <c r="D68" s="167">
        <f t="shared" si="18"/>
        <v>0</v>
      </c>
      <c r="E68" s="168">
        <f t="shared" si="18"/>
        <v>0</v>
      </c>
      <c r="F68" s="167">
        <f t="shared" si="18"/>
        <v>0</v>
      </c>
      <c r="G68" s="168">
        <f t="shared" si="18"/>
        <v>0</v>
      </c>
      <c r="H68" s="169">
        <f t="shared" si="18"/>
        <v>0</v>
      </c>
      <c r="I68" s="169" t="e">
        <f t="shared" ca="1" si="3"/>
        <v>#VALUE!</v>
      </c>
      <c r="J68" s="169">
        <f t="shared" si="17"/>
        <v>0</v>
      </c>
      <c r="K68" s="170">
        <f t="shared" si="17"/>
        <v>0</v>
      </c>
      <c r="L68" s="169">
        <f t="shared" si="17"/>
        <v>0</v>
      </c>
      <c r="M68" s="169">
        <f t="shared" si="17"/>
        <v>0</v>
      </c>
      <c r="N68" s="169" t="e">
        <f t="shared" ca="1" si="5"/>
        <v>#VALUE!</v>
      </c>
      <c r="O68" s="171" t="str">
        <f t="shared" si="6"/>
        <v/>
      </c>
      <c r="P68" s="171" t="str">
        <f t="shared" ca="1" si="7"/>
        <v/>
      </c>
      <c r="Q68" s="170">
        <f t="shared" ca="1" si="8"/>
        <v>0</v>
      </c>
      <c r="R68" s="170">
        <f t="shared" ca="1" si="9"/>
        <v>0</v>
      </c>
      <c r="S68" s="171" t="b">
        <f t="shared" si="10"/>
        <v>0</v>
      </c>
      <c r="T68" s="171" t="b">
        <f t="shared" ca="1" si="11"/>
        <v>0</v>
      </c>
      <c r="U68" s="172"/>
    </row>
    <row r="69" spans="1:21" hidden="1">
      <c r="A69" s="143">
        <v>75</v>
      </c>
      <c r="B69" s="167">
        <f t="shared" si="18"/>
        <v>0</v>
      </c>
      <c r="C69" s="167">
        <f t="shared" si="18"/>
        <v>0</v>
      </c>
      <c r="D69" s="167">
        <f t="shared" si="18"/>
        <v>0</v>
      </c>
      <c r="E69" s="168">
        <f t="shared" si="18"/>
        <v>0</v>
      </c>
      <c r="F69" s="167">
        <f t="shared" si="18"/>
        <v>0</v>
      </c>
      <c r="G69" s="168">
        <f t="shared" si="18"/>
        <v>0</v>
      </c>
      <c r="H69" s="169">
        <f t="shared" si="18"/>
        <v>0</v>
      </c>
      <c r="I69" s="169" t="e">
        <f t="shared" ca="1" si="3"/>
        <v>#VALUE!</v>
      </c>
      <c r="J69" s="169">
        <f t="shared" si="17"/>
        <v>0</v>
      </c>
      <c r="K69" s="170">
        <f t="shared" si="17"/>
        <v>0</v>
      </c>
      <c r="L69" s="169">
        <f t="shared" si="17"/>
        <v>0</v>
      </c>
      <c r="M69" s="169">
        <f t="shared" si="17"/>
        <v>0</v>
      </c>
      <c r="N69" s="169" t="e">
        <f t="shared" ca="1" si="5"/>
        <v>#VALUE!</v>
      </c>
      <c r="O69" s="171" t="str">
        <f t="shared" si="6"/>
        <v/>
      </c>
      <c r="P69" s="171" t="str">
        <f t="shared" ca="1" si="7"/>
        <v/>
      </c>
      <c r="Q69" s="170">
        <f t="shared" ca="1" si="8"/>
        <v>0</v>
      </c>
      <c r="R69" s="170">
        <f t="shared" ca="1" si="9"/>
        <v>0</v>
      </c>
      <c r="S69" s="171" t="b">
        <f t="shared" si="10"/>
        <v>0</v>
      </c>
      <c r="T69" s="171" t="b">
        <f t="shared" ca="1" si="11"/>
        <v>0</v>
      </c>
      <c r="U69" s="172"/>
    </row>
    <row r="70" spans="1:21" hidden="1">
      <c r="A70" s="143">
        <v>89</v>
      </c>
      <c r="B70" s="167">
        <f t="shared" si="18"/>
        <v>0</v>
      </c>
      <c r="C70" s="167">
        <f t="shared" si="18"/>
        <v>0</v>
      </c>
      <c r="D70" s="167">
        <f t="shared" si="18"/>
        <v>0</v>
      </c>
      <c r="E70" s="168">
        <f t="shared" si="18"/>
        <v>0</v>
      </c>
      <c r="F70" s="167">
        <f t="shared" si="18"/>
        <v>0</v>
      </c>
      <c r="G70" s="168">
        <f t="shared" si="18"/>
        <v>0</v>
      </c>
      <c r="H70" s="169">
        <f t="shared" si="18"/>
        <v>0</v>
      </c>
      <c r="I70" s="169" t="e">
        <f t="shared" ca="1" si="3"/>
        <v>#VALUE!</v>
      </c>
      <c r="J70" s="169">
        <f t="shared" si="17"/>
        <v>0</v>
      </c>
      <c r="K70" s="170">
        <f t="shared" si="17"/>
        <v>0</v>
      </c>
      <c r="L70" s="169">
        <f t="shared" si="17"/>
        <v>0</v>
      </c>
      <c r="M70" s="169">
        <f t="shared" si="17"/>
        <v>0</v>
      </c>
      <c r="N70" s="169" t="e">
        <f t="shared" ca="1" si="5"/>
        <v>#VALUE!</v>
      </c>
      <c r="O70" s="171" t="str">
        <f t="shared" si="6"/>
        <v/>
      </c>
      <c r="P70" s="171" t="str">
        <f t="shared" ca="1" si="7"/>
        <v/>
      </c>
      <c r="Q70" s="170">
        <f t="shared" ca="1" si="8"/>
        <v>0</v>
      </c>
      <c r="R70" s="170">
        <f t="shared" ca="1" si="9"/>
        <v>0</v>
      </c>
      <c r="S70" s="171" t="b">
        <f t="shared" si="10"/>
        <v>0</v>
      </c>
      <c r="T70" s="171" t="b">
        <f t="shared" ca="1" si="11"/>
        <v>0</v>
      </c>
      <c r="U70" s="172"/>
    </row>
    <row r="71" spans="1:21" hidden="1">
      <c r="A71" s="143">
        <v>129</v>
      </c>
      <c r="B71" s="167">
        <f t="shared" ref="B71:H80" si="19">IF($A71&lt;=$A$8,INDEX(Import.PO,$A71,B$8),0)</f>
        <v>0</v>
      </c>
      <c r="C71" s="167">
        <f t="shared" si="19"/>
        <v>0</v>
      </c>
      <c r="D71" s="167">
        <f t="shared" si="19"/>
        <v>0</v>
      </c>
      <c r="E71" s="168">
        <f t="shared" si="19"/>
        <v>0</v>
      </c>
      <c r="F71" s="167">
        <f t="shared" si="19"/>
        <v>0</v>
      </c>
      <c r="G71" s="168">
        <f t="shared" si="19"/>
        <v>0</v>
      </c>
      <c r="H71" s="169">
        <f t="shared" si="19"/>
        <v>0</v>
      </c>
      <c r="I71" s="169" t="e">
        <f t="shared" ca="1" si="3"/>
        <v>#VALUE!</v>
      </c>
      <c r="J71" s="169">
        <f t="shared" ref="J71:M90" si="20">IF($A71&lt;=$A$8,INDEX(Import.PO,$A71,J$8),0)</f>
        <v>0</v>
      </c>
      <c r="K71" s="170">
        <f t="shared" si="20"/>
        <v>0</v>
      </c>
      <c r="L71" s="169">
        <f t="shared" si="20"/>
        <v>0</v>
      </c>
      <c r="M71" s="169">
        <f t="shared" si="20"/>
        <v>0</v>
      </c>
      <c r="N71" s="169" t="e">
        <f t="shared" ca="1" si="5"/>
        <v>#VALUE!</v>
      </c>
      <c r="O71" s="171" t="str">
        <f t="shared" si="6"/>
        <v/>
      </c>
      <c r="P71" s="171" t="str">
        <f t="shared" ca="1" si="7"/>
        <v/>
      </c>
      <c r="Q71" s="170">
        <f t="shared" ca="1" si="8"/>
        <v>0</v>
      </c>
      <c r="R71" s="170">
        <f t="shared" ca="1" si="9"/>
        <v>0</v>
      </c>
      <c r="S71" s="171" t="b">
        <f t="shared" si="10"/>
        <v>0</v>
      </c>
      <c r="T71" s="171" t="b">
        <f t="shared" ca="1" si="11"/>
        <v>0</v>
      </c>
      <c r="U71" s="172"/>
    </row>
    <row r="72" spans="1:21" hidden="1">
      <c r="A72" s="143">
        <v>136</v>
      </c>
      <c r="B72" s="167">
        <f t="shared" si="19"/>
        <v>0</v>
      </c>
      <c r="C72" s="167">
        <f t="shared" si="19"/>
        <v>0</v>
      </c>
      <c r="D72" s="167">
        <f t="shared" si="19"/>
        <v>0</v>
      </c>
      <c r="E72" s="168">
        <f t="shared" si="19"/>
        <v>0</v>
      </c>
      <c r="F72" s="167">
        <f t="shared" si="19"/>
        <v>0</v>
      </c>
      <c r="G72" s="168">
        <f t="shared" si="19"/>
        <v>0</v>
      </c>
      <c r="H72" s="169">
        <f t="shared" si="19"/>
        <v>0</v>
      </c>
      <c r="I72" s="169" t="e">
        <f t="shared" ca="1" si="3"/>
        <v>#VALUE!</v>
      </c>
      <c r="J72" s="169">
        <f t="shared" si="20"/>
        <v>0</v>
      </c>
      <c r="K72" s="170">
        <f t="shared" si="20"/>
        <v>0</v>
      </c>
      <c r="L72" s="169">
        <f t="shared" si="20"/>
        <v>0</v>
      </c>
      <c r="M72" s="169">
        <f t="shared" si="20"/>
        <v>0</v>
      </c>
      <c r="N72" s="169" t="e">
        <f t="shared" ca="1" si="5"/>
        <v>#VALUE!</v>
      </c>
      <c r="O72" s="171" t="str">
        <f t="shared" si="6"/>
        <v/>
      </c>
      <c r="P72" s="171" t="str">
        <f t="shared" ca="1" si="7"/>
        <v/>
      </c>
      <c r="Q72" s="170">
        <f t="shared" ca="1" si="8"/>
        <v>0</v>
      </c>
      <c r="R72" s="170">
        <f t="shared" ca="1" si="9"/>
        <v>0</v>
      </c>
      <c r="S72" s="171" t="b">
        <f t="shared" si="10"/>
        <v>0</v>
      </c>
      <c r="T72" s="171" t="b">
        <f t="shared" ca="1" si="11"/>
        <v>0</v>
      </c>
      <c r="U72" s="172"/>
    </row>
    <row r="73" spans="1:21" hidden="1">
      <c r="A73" s="143">
        <v>172</v>
      </c>
      <c r="B73" s="167">
        <f t="shared" si="19"/>
        <v>0</v>
      </c>
      <c r="C73" s="167">
        <f t="shared" si="19"/>
        <v>0</v>
      </c>
      <c r="D73" s="167">
        <f t="shared" si="19"/>
        <v>0</v>
      </c>
      <c r="E73" s="168">
        <f t="shared" si="19"/>
        <v>0</v>
      </c>
      <c r="F73" s="167">
        <f t="shared" si="19"/>
        <v>0</v>
      </c>
      <c r="G73" s="168">
        <f t="shared" si="19"/>
        <v>0</v>
      </c>
      <c r="H73" s="169">
        <f t="shared" si="19"/>
        <v>0</v>
      </c>
      <c r="I73" s="169" t="e">
        <f t="shared" ca="1" si="3"/>
        <v>#VALUE!</v>
      </c>
      <c r="J73" s="169">
        <f t="shared" si="20"/>
        <v>0</v>
      </c>
      <c r="K73" s="170">
        <f t="shared" si="20"/>
        <v>0</v>
      </c>
      <c r="L73" s="169">
        <f t="shared" si="20"/>
        <v>0</v>
      </c>
      <c r="M73" s="169">
        <f t="shared" si="20"/>
        <v>0</v>
      </c>
      <c r="N73" s="169" t="e">
        <f t="shared" ca="1" si="5"/>
        <v>#VALUE!</v>
      </c>
      <c r="O73" s="171" t="str">
        <f t="shared" si="6"/>
        <v/>
      </c>
      <c r="P73" s="171" t="str">
        <f t="shared" ca="1" si="7"/>
        <v/>
      </c>
      <c r="Q73" s="170">
        <f t="shared" ca="1" si="8"/>
        <v>0</v>
      </c>
      <c r="R73" s="170">
        <f t="shared" ca="1" si="9"/>
        <v>0</v>
      </c>
      <c r="S73" s="171" t="b">
        <f t="shared" si="10"/>
        <v>0</v>
      </c>
      <c r="T73" s="171" t="b">
        <f t="shared" ca="1" si="11"/>
        <v>0</v>
      </c>
      <c r="U73" s="172"/>
    </row>
    <row r="74" spans="1:21" hidden="1">
      <c r="A74" s="143">
        <v>190</v>
      </c>
      <c r="B74" s="167">
        <f t="shared" si="19"/>
        <v>0</v>
      </c>
      <c r="C74" s="167">
        <f t="shared" si="19"/>
        <v>0</v>
      </c>
      <c r="D74" s="167">
        <f t="shared" si="19"/>
        <v>0</v>
      </c>
      <c r="E74" s="168">
        <f t="shared" si="19"/>
        <v>0</v>
      </c>
      <c r="F74" s="167">
        <f t="shared" si="19"/>
        <v>0</v>
      </c>
      <c r="G74" s="168">
        <f t="shared" si="19"/>
        <v>0</v>
      </c>
      <c r="H74" s="169">
        <f t="shared" si="19"/>
        <v>0</v>
      </c>
      <c r="I74" s="169" t="e">
        <f t="shared" ca="1" si="3"/>
        <v>#VALUE!</v>
      </c>
      <c r="J74" s="169">
        <f t="shared" si="20"/>
        <v>0</v>
      </c>
      <c r="K74" s="170">
        <f t="shared" si="20"/>
        <v>0</v>
      </c>
      <c r="L74" s="169">
        <f t="shared" si="20"/>
        <v>0</v>
      </c>
      <c r="M74" s="169">
        <f t="shared" si="20"/>
        <v>0</v>
      </c>
      <c r="N74" s="169" t="e">
        <f t="shared" ca="1" si="5"/>
        <v>#VALUE!</v>
      </c>
      <c r="O74" s="171" t="str">
        <f t="shared" si="6"/>
        <v/>
      </c>
      <c r="P74" s="171" t="str">
        <f t="shared" ca="1" si="7"/>
        <v/>
      </c>
      <c r="Q74" s="170">
        <f t="shared" ca="1" si="8"/>
        <v>0</v>
      </c>
      <c r="R74" s="170">
        <f t="shared" ca="1" si="9"/>
        <v>0</v>
      </c>
      <c r="S74" s="171" t="b">
        <f t="shared" si="10"/>
        <v>0</v>
      </c>
      <c r="T74" s="171" t="b">
        <f t="shared" ca="1" si="11"/>
        <v>0</v>
      </c>
      <c r="U74" s="172"/>
    </row>
    <row r="75" spans="1:21" hidden="1">
      <c r="A75" s="143">
        <v>197</v>
      </c>
      <c r="B75" s="167">
        <f t="shared" si="19"/>
        <v>0</v>
      </c>
      <c r="C75" s="167">
        <f t="shared" si="19"/>
        <v>0</v>
      </c>
      <c r="D75" s="167">
        <f t="shared" si="19"/>
        <v>0</v>
      </c>
      <c r="E75" s="168">
        <f t="shared" si="19"/>
        <v>0</v>
      </c>
      <c r="F75" s="167">
        <f t="shared" si="19"/>
        <v>0</v>
      </c>
      <c r="G75" s="168">
        <f t="shared" si="19"/>
        <v>0</v>
      </c>
      <c r="H75" s="169">
        <f t="shared" si="19"/>
        <v>0</v>
      </c>
      <c r="I75" s="169" t="e">
        <f t="shared" ref="I75:I138" ca="1" si="21">IF($P75=ROW($P75)-ROW($P$10),SUMIF(OFFSET($P$10,1,0,$A$7),$P75,OFFSET($H$10,1,0,$A$7)),OFFSET($I$10,$P75,0))</f>
        <v>#VALUE!</v>
      </c>
      <c r="J75" s="169">
        <f t="shared" si="20"/>
        <v>0</v>
      </c>
      <c r="K75" s="170">
        <f t="shared" si="20"/>
        <v>0</v>
      </c>
      <c r="L75" s="169">
        <f t="shared" si="20"/>
        <v>0</v>
      </c>
      <c r="M75" s="169">
        <f t="shared" si="20"/>
        <v>0</v>
      </c>
      <c r="N75" s="169" t="e">
        <f t="shared" ref="N75:N138" ca="1" si="22">IF($P75=ROW($P75)-ROW($P$10),SUMIF(OFFSET($P$10,1,0,$A$7),$P75,OFFSET($M$10,1,0,$A$7)),OFFSET($N$10,$P75,0))</f>
        <v>#VALUE!</v>
      </c>
      <c r="O75" s="171" t="str">
        <f t="shared" ref="O75:O138" si="23">IF($S75,D75&amp;"-"&amp;E75,"")</f>
        <v/>
      </c>
      <c r="P75" s="171" t="str">
        <f t="shared" ref="P75:P138" ca="1" si="24">IF($S75,MATCH(O75,OFFSET($O$10,1,0,$A$7),0),"")</f>
        <v/>
      </c>
      <c r="Q75" s="170">
        <f t="shared" ref="Q75:Q138" ca="1" si="25">IF($P75=ROW($P75)-ROW($P$10),$N75/$M$7,IF(ISNUMBER($P75),TEXT(OFFSET($Q$10,$P75,0)," 0,00% "),0))</f>
        <v>0</v>
      </c>
      <c r="R75" s="170">
        <f t="shared" ref="R75:R138" ca="1" si="26">SUMIF(OFFSET($Q$10,1,0,$A$7),"&gt;="&amp;$N75/$M$7,OFFSET($Q$10,1,0,$A$7))</f>
        <v>0</v>
      </c>
      <c r="S75" s="171" t="b">
        <f t="shared" ref="S75:S138" si="27">E75&lt;&gt;0</f>
        <v>0</v>
      </c>
      <c r="T75" s="171" t="b">
        <f t="shared" ref="T75:T138" ca="1" si="28">IF($P75=ROW($P75)-ROW($P$10),R75&lt;=$Q$8,IF(ISNUMBER($P75),OFFSET($T$10,VALUE($P75),0),FALSE))</f>
        <v>0</v>
      </c>
      <c r="U75" s="172"/>
    </row>
    <row r="76" spans="1:21" hidden="1">
      <c r="A76" s="143">
        <v>211</v>
      </c>
      <c r="B76" s="167">
        <f t="shared" si="19"/>
        <v>0</v>
      </c>
      <c r="C76" s="167">
        <f t="shared" si="19"/>
        <v>0</v>
      </c>
      <c r="D76" s="167">
        <f t="shared" si="19"/>
        <v>0</v>
      </c>
      <c r="E76" s="168">
        <f t="shared" si="19"/>
        <v>0</v>
      </c>
      <c r="F76" s="167">
        <f t="shared" si="19"/>
        <v>0</v>
      </c>
      <c r="G76" s="168">
        <f t="shared" si="19"/>
        <v>0</v>
      </c>
      <c r="H76" s="169">
        <f t="shared" si="19"/>
        <v>0</v>
      </c>
      <c r="I76" s="169" t="e">
        <f t="shared" ca="1" si="21"/>
        <v>#VALUE!</v>
      </c>
      <c r="J76" s="169">
        <f t="shared" si="20"/>
        <v>0</v>
      </c>
      <c r="K76" s="170">
        <f t="shared" si="20"/>
        <v>0</v>
      </c>
      <c r="L76" s="169">
        <f t="shared" si="20"/>
        <v>0</v>
      </c>
      <c r="M76" s="169">
        <f t="shared" si="20"/>
        <v>0</v>
      </c>
      <c r="N76" s="169" t="e">
        <f t="shared" ca="1" si="22"/>
        <v>#VALUE!</v>
      </c>
      <c r="O76" s="171" t="str">
        <f t="shared" si="23"/>
        <v/>
      </c>
      <c r="P76" s="171" t="str">
        <f t="shared" ca="1" si="24"/>
        <v/>
      </c>
      <c r="Q76" s="170">
        <f t="shared" ca="1" si="25"/>
        <v>0</v>
      </c>
      <c r="R76" s="170">
        <f t="shared" ca="1" si="26"/>
        <v>0</v>
      </c>
      <c r="S76" s="171" t="b">
        <f t="shared" si="27"/>
        <v>0</v>
      </c>
      <c r="T76" s="171" t="b">
        <f t="shared" ca="1" si="28"/>
        <v>0</v>
      </c>
      <c r="U76" s="172"/>
    </row>
    <row r="77" spans="1:21" hidden="1">
      <c r="A77" s="143">
        <v>253</v>
      </c>
      <c r="B77" s="167">
        <f t="shared" si="19"/>
        <v>0</v>
      </c>
      <c r="C77" s="167">
        <f t="shared" si="19"/>
        <v>0</v>
      </c>
      <c r="D77" s="167">
        <f t="shared" si="19"/>
        <v>0</v>
      </c>
      <c r="E77" s="168">
        <f t="shared" si="19"/>
        <v>0</v>
      </c>
      <c r="F77" s="167">
        <f t="shared" si="19"/>
        <v>0</v>
      </c>
      <c r="G77" s="168">
        <f t="shared" si="19"/>
        <v>0</v>
      </c>
      <c r="H77" s="169">
        <f t="shared" si="19"/>
        <v>0</v>
      </c>
      <c r="I77" s="169" t="e">
        <f t="shared" ca="1" si="21"/>
        <v>#VALUE!</v>
      </c>
      <c r="J77" s="169">
        <f t="shared" si="20"/>
        <v>0</v>
      </c>
      <c r="K77" s="170">
        <f t="shared" si="20"/>
        <v>0</v>
      </c>
      <c r="L77" s="169">
        <f t="shared" si="20"/>
        <v>0</v>
      </c>
      <c r="M77" s="169">
        <f t="shared" si="20"/>
        <v>0</v>
      </c>
      <c r="N77" s="169" t="e">
        <f t="shared" ca="1" si="22"/>
        <v>#VALUE!</v>
      </c>
      <c r="O77" s="171" t="str">
        <f t="shared" si="23"/>
        <v/>
      </c>
      <c r="P77" s="171" t="str">
        <f t="shared" ca="1" si="24"/>
        <v/>
      </c>
      <c r="Q77" s="170">
        <f t="shared" ca="1" si="25"/>
        <v>0</v>
      </c>
      <c r="R77" s="170">
        <f t="shared" ca="1" si="26"/>
        <v>0</v>
      </c>
      <c r="S77" s="171" t="b">
        <f t="shared" si="27"/>
        <v>0</v>
      </c>
      <c r="T77" s="171" t="b">
        <f t="shared" ca="1" si="28"/>
        <v>0</v>
      </c>
      <c r="U77" s="172"/>
    </row>
    <row r="78" spans="1:21" hidden="1">
      <c r="A78" s="143">
        <v>260</v>
      </c>
      <c r="B78" s="167">
        <f t="shared" si="19"/>
        <v>0</v>
      </c>
      <c r="C78" s="167">
        <f t="shared" si="19"/>
        <v>0</v>
      </c>
      <c r="D78" s="167">
        <f t="shared" si="19"/>
        <v>0</v>
      </c>
      <c r="E78" s="168">
        <f t="shared" si="19"/>
        <v>0</v>
      </c>
      <c r="F78" s="167">
        <f t="shared" si="19"/>
        <v>0</v>
      </c>
      <c r="G78" s="168">
        <f t="shared" si="19"/>
        <v>0</v>
      </c>
      <c r="H78" s="169">
        <f t="shared" si="19"/>
        <v>0</v>
      </c>
      <c r="I78" s="169" t="e">
        <f t="shared" ca="1" si="21"/>
        <v>#VALUE!</v>
      </c>
      <c r="J78" s="169">
        <f t="shared" si="20"/>
        <v>0</v>
      </c>
      <c r="K78" s="170">
        <f t="shared" si="20"/>
        <v>0</v>
      </c>
      <c r="L78" s="169">
        <f t="shared" si="20"/>
        <v>0</v>
      </c>
      <c r="M78" s="169">
        <f t="shared" si="20"/>
        <v>0</v>
      </c>
      <c r="N78" s="169" t="e">
        <f t="shared" ca="1" si="22"/>
        <v>#VALUE!</v>
      </c>
      <c r="O78" s="171" t="str">
        <f t="shared" si="23"/>
        <v/>
      </c>
      <c r="P78" s="171" t="str">
        <f t="shared" ca="1" si="24"/>
        <v/>
      </c>
      <c r="Q78" s="170">
        <f t="shared" ca="1" si="25"/>
        <v>0</v>
      </c>
      <c r="R78" s="170">
        <f t="shared" ca="1" si="26"/>
        <v>0</v>
      </c>
      <c r="S78" s="171" t="b">
        <f t="shared" si="27"/>
        <v>0</v>
      </c>
      <c r="T78" s="171" t="b">
        <f t="shared" ca="1" si="28"/>
        <v>0</v>
      </c>
      <c r="U78" s="172"/>
    </row>
    <row r="79" spans="1:21" hidden="1">
      <c r="A79" s="143">
        <v>274</v>
      </c>
      <c r="B79" s="167">
        <f t="shared" si="19"/>
        <v>0</v>
      </c>
      <c r="C79" s="167">
        <f t="shared" si="19"/>
        <v>0</v>
      </c>
      <c r="D79" s="167">
        <f t="shared" si="19"/>
        <v>0</v>
      </c>
      <c r="E79" s="168">
        <f t="shared" si="19"/>
        <v>0</v>
      </c>
      <c r="F79" s="167">
        <f t="shared" si="19"/>
        <v>0</v>
      </c>
      <c r="G79" s="168">
        <f t="shared" si="19"/>
        <v>0</v>
      </c>
      <c r="H79" s="169">
        <f t="shared" si="19"/>
        <v>0</v>
      </c>
      <c r="I79" s="169" t="e">
        <f t="shared" ca="1" si="21"/>
        <v>#VALUE!</v>
      </c>
      <c r="J79" s="169">
        <f t="shared" si="20"/>
        <v>0</v>
      </c>
      <c r="K79" s="170">
        <f t="shared" si="20"/>
        <v>0</v>
      </c>
      <c r="L79" s="169">
        <f t="shared" si="20"/>
        <v>0</v>
      </c>
      <c r="M79" s="169">
        <f t="shared" si="20"/>
        <v>0</v>
      </c>
      <c r="N79" s="169" t="e">
        <f t="shared" ca="1" si="22"/>
        <v>#VALUE!</v>
      </c>
      <c r="O79" s="171" t="str">
        <f t="shared" si="23"/>
        <v/>
      </c>
      <c r="P79" s="171" t="str">
        <f t="shared" ca="1" si="24"/>
        <v/>
      </c>
      <c r="Q79" s="170">
        <f t="shared" ca="1" si="25"/>
        <v>0</v>
      </c>
      <c r="R79" s="170">
        <f t="shared" ca="1" si="26"/>
        <v>0</v>
      </c>
      <c r="S79" s="171" t="b">
        <f t="shared" si="27"/>
        <v>0</v>
      </c>
      <c r="T79" s="171" t="b">
        <f t="shared" ca="1" si="28"/>
        <v>0</v>
      </c>
      <c r="U79" s="172"/>
    </row>
    <row r="80" spans="1:21" hidden="1">
      <c r="A80" s="143">
        <v>310</v>
      </c>
      <c r="B80" s="167">
        <f t="shared" si="19"/>
        <v>0</v>
      </c>
      <c r="C80" s="167">
        <f t="shared" si="19"/>
        <v>0</v>
      </c>
      <c r="D80" s="167">
        <f t="shared" si="19"/>
        <v>0</v>
      </c>
      <c r="E80" s="168">
        <f t="shared" si="19"/>
        <v>0</v>
      </c>
      <c r="F80" s="167">
        <f t="shared" si="19"/>
        <v>0</v>
      </c>
      <c r="G80" s="168">
        <f t="shared" si="19"/>
        <v>0</v>
      </c>
      <c r="H80" s="169">
        <f t="shared" si="19"/>
        <v>0</v>
      </c>
      <c r="I80" s="169" t="e">
        <f t="shared" ca="1" si="21"/>
        <v>#VALUE!</v>
      </c>
      <c r="J80" s="169">
        <f t="shared" si="20"/>
        <v>0</v>
      </c>
      <c r="K80" s="170">
        <f t="shared" si="20"/>
        <v>0</v>
      </c>
      <c r="L80" s="169">
        <f t="shared" si="20"/>
        <v>0</v>
      </c>
      <c r="M80" s="169">
        <f t="shared" si="20"/>
        <v>0</v>
      </c>
      <c r="N80" s="169" t="e">
        <f t="shared" ca="1" si="22"/>
        <v>#VALUE!</v>
      </c>
      <c r="O80" s="171" t="str">
        <f t="shared" si="23"/>
        <v/>
      </c>
      <c r="P80" s="171" t="str">
        <f t="shared" ca="1" si="24"/>
        <v/>
      </c>
      <c r="Q80" s="170">
        <f t="shared" ca="1" si="25"/>
        <v>0</v>
      </c>
      <c r="R80" s="170">
        <f t="shared" ca="1" si="26"/>
        <v>0</v>
      </c>
      <c r="S80" s="171" t="b">
        <f t="shared" si="27"/>
        <v>0</v>
      </c>
      <c r="T80" s="171" t="b">
        <f t="shared" ca="1" si="28"/>
        <v>0</v>
      </c>
      <c r="U80" s="172"/>
    </row>
    <row r="81" spans="1:21" hidden="1">
      <c r="A81" s="143">
        <v>324</v>
      </c>
      <c r="B81" s="167">
        <f t="shared" ref="B81:H90" si="29">IF($A81&lt;=$A$8,INDEX(Import.PO,$A81,B$8),0)</f>
        <v>0</v>
      </c>
      <c r="C81" s="167">
        <f t="shared" si="29"/>
        <v>0</v>
      </c>
      <c r="D81" s="167">
        <f t="shared" si="29"/>
        <v>0</v>
      </c>
      <c r="E81" s="168">
        <f t="shared" si="29"/>
        <v>0</v>
      </c>
      <c r="F81" s="167">
        <f t="shared" si="29"/>
        <v>0</v>
      </c>
      <c r="G81" s="168">
        <f t="shared" si="29"/>
        <v>0</v>
      </c>
      <c r="H81" s="169">
        <f t="shared" si="29"/>
        <v>0</v>
      </c>
      <c r="I81" s="169" t="e">
        <f t="shared" ca="1" si="21"/>
        <v>#VALUE!</v>
      </c>
      <c r="J81" s="169">
        <f t="shared" si="20"/>
        <v>0</v>
      </c>
      <c r="K81" s="170">
        <f t="shared" si="20"/>
        <v>0</v>
      </c>
      <c r="L81" s="169">
        <f t="shared" si="20"/>
        <v>0</v>
      </c>
      <c r="M81" s="169">
        <f t="shared" si="20"/>
        <v>0</v>
      </c>
      <c r="N81" s="169" t="e">
        <f t="shared" ca="1" si="22"/>
        <v>#VALUE!</v>
      </c>
      <c r="O81" s="171" t="str">
        <f t="shared" si="23"/>
        <v/>
      </c>
      <c r="P81" s="171" t="str">
        <f t="shared" ca="1" si="24"/>
        <v/>
      </c>
      <c r="Q81" s="170">
        <f t="shared" ca="1" si="25"/>
        <v>0</v>
      </c>
      <c r="R81" s="170">
        <f t="shared" ca="1" si="26"/>
        <v>0</v>
      </c>
      <c r="S81" s="171" t="b">
        <f t="shared" si="27"/>
        <v>0</v>
      </c>
      <c r="T81" s="171" t="b">
        <f t="shared" ca="1" si="28"/>
        <v>0</v>
      </c>
      <c r="U81" s="172"/>
    </row>
    <row r="82" spans="1:21" hidden="1">
      <c r="A82" s="143">
        <v>348</v>
      </c>
      <c r="B82" s="167">
        <f t="shared" si="29"/>
        <v>0</v>
      </c>
      <c r="C82" s="167">
        <f t="shared" si="29"/>
        <v>0</v>
      </c>
      <c r="D82" s="167">
        <f t="shared" si="29"/>
        <v>0</v>
      </c>
      <c r="E82" s="168">
        <f t="shared" si="29"/>
        <v>0</v>
      </c>
      <c r="F82" s="167">
        <f t="shared" si="29"/>
        <v>0</v>
      </c>
      <c r="G82" s="168">
        <f t="shared" si="29"/>
        <v>0</v>
      </c>
      <c r="H82" s="169">
        <f t="shared" si="29"/>
        <v>0</v>
      </c>
      <c r="I82" s="169" t="e">
        <f t="shared" ca="1" si="21"/>
        <v>#VALUE!</v>
      </c>
      <c r="J82" s="169">
        <f t="shared" si="20"/>
        <v>0</v>
      </c>
      <c r="K82" s="170">
        <f t="shared" si="20"/>
        <v>0</v>
      </c>
      <c r="L82" s="169">
        <f t="shared" si="20"/>
        <v>0</v>
      </c>
      <c r="M82" s="169">
        <f t="shared" si="20"/>
        <v>0</v>
      </c>
      <c r="N82" s="169" t="e">
        <f t="shared" ca="1" si="22"/>
        <v>#VALUE!</v>
      </c>
      <c r="O82" s="171" t="str">
        <f t="shared" si="23"/>
        <v/>
      </c>
      <c r="P82" s="171" t="str">
        <f t="shared" ca="1" si="24"/>
        <v/>
      </c>
      <c r="Q82" s="170">
        <f t="shared" ca="1" si="25"/>
        <v>0</v>
      </c>
      <c r="R82" s="170">
        <f t="shared" ca="1" si="26"/>
        <v>0</v>
      </c>
      <c r="S82" s="171" t="b">
        <f t="shared" si="27"/>
        <v>0</v>
      </c>
      <c r="T82" s="171" t="b">
        <f t="shared" ca="1" si="28"/>
        <v>0</v>
      </c>
      <c r="U82" s="172"/>
    </row>
    <row r="83" spans="1:21" hidden="1">
      <c r="A83" s="143">
        <v>362</v>
      </c>
      <c r="B83" s="167">
        <f t="shared" si="29"/>
        <v>0</v>
      </c>
      <c r="C83" s="167">
        <f t="shared" si="29"/>
        <v>0</v>
      </c>
      <c r="D83" s="167">
        <f t="shared" si="29"/>
        <v>0</v>
      </c>
      <c r="E83" s="168">
        <f t="shared" si="29"/>
        <v>0</v>
      </c>
      <c r="F83" s="167">
        <f t="shared" si="29"/>
        <v>0</v>
      </c>
      <c r="G83" s="168">
        <f t="shared" si="29"/>
        <v>0</v>
      </c>
      <c r="H83" s="169">
        <f t="shared" si="29"/>
        <v>0</v>
      </c>
      <c r="I83" s="169" t="e">
        <f t="shared" ca="1" si="21"/>
        <v>#VALUE!</v>
      </c>
      <c r="J83" s="169">
        <f t="shared" si="20"/>
        <v>0</v>
      </c>
      <c r="K83" s="170">
        <f t="shared" si="20"/>
        <v>0</v>
      </c>
      <c r="L83" s="169">
        <f t="shared" si="20"/>
        <v>0</v>
      </c>
      <c r="M83" s="169">
        <f t="shared" si="20"/>
        <v>0</v>
      </c>
      <c r="N83" s="169" t="e">
        <f t="shared" ca="1" si="22"/>
        <v>#VALUE!</v>
      </c>
      <c r="O83" s="171" t="str">
        <f t="shared" si="23"/>
        <v/>
      </c>
      <c r="P83" s="171" t="str">
        <f t="shared" ca="1" si="24"/>
        <v/>
      </c>
      <c r="Q83" s="170">
        <f t="shared" ca="1" si="25"/>
        <v>0</v>
      </c>
      <c r="R83" s="170">
        <f t="shared" ca="1" si="26"/>
        <v>0</v>
      </c>
      <c r="S83" s="171" t="b">
        <f t="shared" si="27"/>
        <v>0</v>
      </c>
      <c r="T83" s="171" t="b">
        <f t="shared" ca="1" si="28"/>
        <v>0</v>
      </c>
      <c r="U83" s="172"/>
    </row>
    <row r="84" spans="1:21" hidden="1">
      <c r="A84" s="143">
        <v>376</v>
      </c>
      <c r="B84" s="167">
        <f t="shared" si="29"/>
        <v>0</v>
      </c>
      <c r="C84" s="167">
        <f t="shared" si="29"/>
        <v>0</v>
      </c>
      <c r="D84" s="167">
        <f t="shared" si="29"/>
        <v>0</v>
      </c>
      <c r="E84" s="168">
        <f t="shared" si="29"/>
        <v>0</v>
      </c>
      <c r="F84" s="167">
        <f t="shared" si="29"/>
        <v>0</v>
      </c>
      <c r="G84" s="168">
        <f t="shared" si="29"/>
        <v>0</v>
      </c>
      <c r="H84" s="169">
        <f t="shared" si="29"/>
        <v>0</v>
      </c>
      <c r="I84" s="169" t="e">
        <f t="shared" ca="1" si="21"/>
        <v>#VALUE!</v>
      </c>
      <c r="J84" s="169">
        <f t="shared" si="20"/>
        <v>0</v>
      </c>
      <c r="K84" s="170">
        <f t="shared" si="20"/>
        <v>0</v>
      </c>
      <c r="L84" s="169">
        <f t="shared" si="20"/>
        <v>0</v>
      </c>
      <c r="M84" s="169">
        <f t="shared" si="20"/>
        <v>0</v>
      </c>
      <c r="N84" s="169" t="e">
        <f t="shared" ca="1" si="22"/>
        <v>#VALUE!</v>
      </c>
      <c r="O84" s="171" t="str">
        <f t="shared" si="23"/>
        <v/>
      </c>
      <c r="P84" s="171" t="str">
        <f t="shared" ca="1" si="24"/>
        <v/>
      </c>
      <c r="Q84" s="170">
        <f t="shared" ca="1" si="25"/>
        <v>0</v>
      </c>
      <c r="R84" s="170">
        <f t="shared" ca="1" si="26"/>
        <v>0</v>
      </c>
      <c r="S84" s="171" t="b">
        <f t="shared" si="27"/>
        <v>0</v>
      </c>
      <c r="T84" s="171" t="b">
        <f t="shared" ca="1" si="28"/>
        <v>0</v>
      </c>
      <c r="U84" s="172"/>
    </row>
    <row r="85" spans="1:21" hidden="1">
      <c r="A85" s="143">
        <v>390</v>
      </c>
      <c r="B85" s="167">
        <f t="shared" si="29"/>
        <v>0</v>
      </c>
      <c r="C85" s="167">
        <f t="shared" si="29"/>
        <v>0</v>
      </c>
      <c r="D85" s="167">
        <f t="shared" si="29"/>
        <v>0</v>
      </c>
      <c r="E85" s="168">
        <f t="shared" si="29"/>
        <v>0</v>
      </c>
      <c r="F85" s="167">
        <f t="shared" si="29"/>
        <v>0</v>
      </c>
      <c r="G85" s="168">
        <f t="shared" si="29"/>
        <v>0</v>
      </c>
      <c r="H85" s="169">
        <f t="shared" si="29"/>
        <v>0</v>
      </c>
      <c r="I85" s="169" t="e">
        <f t="shared" ca="1" si="21"/>
        <v>#VALUE!</v>
      </c>
      <c r="J85" s="169">
        <f t="shared" si="20"/>
        <v>0</v>
      </c>
      <c r="K85" s="170">
        <f t="shared" si="20"/>
        <v>0</v>
      </c>
      <c r="L85" s="169">
        <f t="shared" si="20"/>
        <v>0</v>
      </c>
      <c r="M85" s="169">
        <f t="shared" si="20"/>
        <v>0</v>
      </c>
      <c r="N85" s="169" t="e">
        <f t="shared" ca="1" si="22"/>
        <v>#VALUE!</v>
      </c>
      <c r="O85" s="171" t="str">
        <f t="shared" si="23"/>
        <v/>
      </c>
      <c r="P85" s="171" t="str">
        <f t="shared" ca="1" si="24"/>
        <v/>
      </c>
      <c r="Q85" s="170">
        <f t="shared" ca="1" si="25"/>
        <v>0</v>
      </c>
      <c r="R85" s="170">
        <f t="shared" ca="1" si="26"/>
        <v>0</v>
      </c>
      <c r="S85" s="171" t="b">
        <f t="shared" si="27"/>
        <v>0</v>
      </c>
      <c r="T85" s="171" t="b">
        <f t="shared" ca="1" si="28"/>
        <v>0</v>
      </c>
      <c r="U85" s="172"/>
    </row>
    <row r="86" spans="1:21" hidden="1">
      <c r="A86" s="143">
        <v>404</v>
      </c>
      <c r="B86" s="167">
        <f t="shared" si="29"/>
        <v>0</v>
      </c>
      <c r="C86" s="167">
        <f t="shared" si="29"/>
        <v>0</v>
      </c>
      <c r="D86" s="167">
        <f t="shared" si="29"/>
        <v>0</v>
      </c>
      <c r="E86" s="168">
        <f t="shared" si="29"/>
        <v>0</v>
      </c>
      <c r="F86" s="167">
        <f t="shared" si="29"/>
        <v>0</v>
      </c>
      <c r="G86" s="168">
        <f t="shared" si="29"/>
        <v>0</v>
      </c>
      <c r="H86" s="169">
        <f t="shared" si="29"/>
        <v>0</v>
      </c>
      <c r="I86" s="169" t="e">
        <f t="shared" ca="1" si="21"/>
        <v>#VALUE!</v>
      </c>
      <c r="J86" s="169">
        <f t="shared" si="20"/>
        <v>0</v>
      </c>
      <c r="K86" s="170">
        <f t="shared" si="20"/>
        <v>0</v>
      </c>
      <c r="L86" s="169">
        <f t="shared" si="20"/>
        <v>0</v>
      </c>
      <c r="M86" s="169">
        <f t="shared" si="20"/>
        <v>0</v>
      </c>
      <c r="N86" s="169" t="e">
        <f t="shared" ca="1" si="22"/>
        <v>#VALUE!</v>
      </c>
      <c r="O86" s="171" t="str">
        <f t="shared" si="23"/>
        <v/>
      </c>
      <c r="P86" s="171" t="str">
        <f t="shared" ca="1" si="24"/>
        <v/>
      </c>
      <c r="Q86" s="170">
        <f t="shared" ca="1" si="25"/>
        <v>0</v>
      </c>
      <c r="R86" s="170">
        <f t="shared" ca="1" si="26"/>
        <v>0</v>
      </c>
      <c r="S86" s="171" t="b">
        <f t="shared" si="27"/>
        <v>0</v>
      </c>
      <c r="T86" s="171" t="b">
        <f t="shared" ca="1" si="28"/>
        <v>0</v>
      </c>
      <c r="U86" s="172"/>
    </row>
    <row r="87" spans="1:21" hidden="1">
      <c r="A87" s="143">
        <v>418</v>
      </c>
      <c r="B87" s="167">
        <f t="shared" si="29"/>
        <v>0</v>
      </c>
      <c r="C87" s="167">
        <f t="shared" si="29"/>
        <v>0</v>
      </c>
      <c r="D87" s="167">
        <f t="shared" si="29"/>
        <v>0</v>
      </c>
      <c r="E87" s="168">
        <f t="shared" si="29"/>
        <v>0</v>
      </c>
      <c r="F87" s="167">
        <f t="shared" si="29"/>
        <v>0</v>
      </c>
      <c r="G87" s="168">
        <f t="shared" si="29"/>
        <v>0</v>
      </c>
      <c r="H87" s="169">
        <f t="shared" si="29"/>
        <v>0</v>
      </c>
      <c r="I87" s="169" t="e">
        <f t="shared" ca="1" si="21"/>
        <v>#VALUE!</v>
      </c>
      <c r="J87" s="169">
        <f t="shared" si="20"/>
        <v>0</v>
      </c>
      <c r="K87" s="170">
        <f t="shared" si="20"/>
        <v>0</v>
      </c>
      <c r="L87" s="169">
        <f t="shared" si="20"/>
        <v>0</v>
      </c>
      <c r="M87" s="169">
        <f t="shared" si="20"/>
        <v>0</v>
      </c>
      <c r="N87" s="169" t="e">
        <f t="shared" ca="1" si="22"/>
        <v>#VALUE!</v>
      </c>
      <c r="O87" s="171" t="str">
        <f t="shared" si="23"/>
        <v/>
      </c>
      <c r="P87" s="171" t="str">
        <f t="shared" ca="1" si="24"/>
        <v/>
      </c>
      <c r="Q87" s="170">
        <f t="shared" ca="1" si="25"/>
        <v>0</v>
      </c>
      <c r="R87" s="170">
        <f t="shared" ca="1" si="26"/>
        <v>0</v>
      </c>
      <c r="S87" s="171" t="b">
        <f t="shared" si="27"/>
        <v>0</v>
      </c>
      <c r="T87" s="171" t="b">
        <f t="shared" ca="1" si="28"/>
        <v>0</v>
      </c>
      <c r="U87" s="172"/>
    </row>
    <row r="88" spans="1:21" hidden="1">
      <c r="A88" s="143">
        <v>436</v>
      </c>
      <c r="B88" s="167">
        <f t="shared" si="29"/>
        <v>0</v>
      </c>
      <c r="C88" s="167">
        <f t="shared" si="29"/>
        <v>0</v>
      </c>
      <c r="D88" s="167">
        <f t="shared" si="29"/>
        <v>0</v>
      </c>
      <c r="E88" s="168">
        <f t="shared" si="29"/>
        <v>0</v>
      </c>
      <c r="F88" s="167">
        <f t="shared" si="29"/>
        <v>0</v>
      </c>
      <c r="G88" s="168">
        <f t="shared" si="29"/>
        <v>0</v>
      </c>
      <c r="H88" s="169">
        <f t="shared" si="29"/>
        <v>0</v>
      </c>
      <c r="I88" s="169" t="e">
        <f t="shared" ca="1" si="21"/>
        <v>#VALUE!</v>
      </c>
      <c r="J88" s="169">
        <f t="shared" si="20"/>
        <v>0</v>
      </c>
      <c r="K88" s="170">
        <f t="shared" si="20"/>
        <v>0</v>
      </c>
      <c r="L88" s="169">
        <f t="shared" si="20"/>
        <v>0</v>
      </c>
      <c r="M88" s="169">
        <f t="shared" si="20"/>
        <v>0</v>
      </c>
      <c r="N88" s="169" t="e">
        <f t="shared" ca="1" si="22"/>
        <v>#VALUE!</v>
      </c>
      <c r="O88" s="171" t="str">
        <f t="shared" si="23"/>
        <v/>
      </c>
      <c r="P88" s="171" t="str">
        <f t="shared" ca="1" si="24"/>
        <v/>
      </c>
      <c r="Q88" s="170">
        <f t="shared" ca="1" si="25"/>
        <v>0</v>
      </c>
      <c r="R88" s="170">
        <f t="shared" ca="1" si="26"/>
        <v>0</v>
      </c>
      <c r="S88" s="171" t="b">
        <f t="shared" si="27"/>
        <v>0</v>
      </c>
      <c r="T88" s="171" t="b">
        <f t="shared" ca="1" si="28"/>
        <v>0</v>
      </c>
      <c r="U88" s="172"/>
    </row>
    <row r="89" spans="1:21" hidden="1">
      <c r="A89" s="143">
        <v>91</v>
      </c>
      <c r="B89" s="167">
        <f t="shared" si="29"/>
        <v>0</v>
      </c>
      <c r="C89" s="167">
        <f t="shared" si="29"/>
        <v>0</v>
      </c>
      <c r="D89" s="167">
        <f t="shared" si="29"/>
        <v>0</v>
      </c>
      <c r="E89" s="168">
        <f t="shared" si="29"/>
        <v>0</v>
      </c>
      <c r="F89" s="167">
        <f t="shared" si="29"/>
        <v>0</v>
      </c>
      <c r="G89" s="168">
        <f t="shared" si="29"/>
        <v>0</v>
      </c>
      <c r="H89" s="169">
        <f t="shared" si="29"/>
        <v>0</v>
      </c>
      <c r="I89" s="169" t="e">
        <f t="shared" ca="1" si="21"/>
        <v>#VALUE!</v>
      </c>
      <c r="J89" s="169">
        <f t="shared" si="20"/>
        <v>0</v>
      </c>
      <c r="K89" s="170">
        <f t="shared" si="20"/>
        <v>0</v>
      </c>
      <c r="L89" s="169">
        <f t="shared" si="20"/>
        <v>0</v>
      </c>
      <c r="M89" s="169">
        <f t="shared" si="20"/>
        <v>0</v>
      </c>
      <c r="N89" s="169" t="e">
        <f t="shared" ca="1" si="22"/>
        <v>#VALUE!</v>
      </c>
      <c r="O89" s="171" t="str">
        <f t="shared" si="23"/>
        <v/>
      </c>
      <c r="P89" s="171" t="str">
        <f t="shared" ca="1" si="24"/>
        <v/>
      </c>
      <c r="Q89" s="170">
        <f t="shared" ca="1" si="25"/>
        <v>0</v>
      </c>
      <c r="R89" s="170">
        <f t="shared" ca="1" si="26"/>
        <v>0</v>
      </c>
      <c r="S89" s="171" t="b">
        <f t="shared" si="27"/>
        <v>0</v>
      </c>
      <c r="T89" s="171" t="b">
        <f t="shared" ca="1" si="28"/>
        <v>0</v>
      </c>
      <c r="U89" s="172"/>
    </row>
    <row r="90" spans="1:21" hidden="1">
      <c r="A90" s="143">
        <v>138</v>
      </c>
      <c r="B90" s="167">
        <f t="shared" si="29"/>
        <v>0</v>
      </c>
      <c r="C90" s="167">
        <f t="shared" si="29"/>
        <v>0</v>
      </c>
      <c r="D90" s="167">
        <f t="shared" si="29"/>
        <v>0</v>
      </c>
      <c r="E90" s="168">
        <f t="shared" si="29"/>
        <v>0</v>
      </c>
      <c r="F90" s="167">
        <f t="shared" si="29"/>
        <v>0</v>
      </c>
      <c r="G90" s="168">
        <f t="shared" si="29"/>
        <v>0</v>
      </c>
      <c r="H90" s="169">
        <f t="shared" si="29"/>
        <v>0</v>
      </c>
      <c r="I90" s="169" t="e">
        <f t="shared" ca="1" si="21"/>
        <v>#VALUE!</v>
      </c>
      <c r="J90" s="169">
        <f t="shared" si="20"/>
        <v>0</v>
      </c>
      <c r="K90" s="170">
        <f t="shared" si="20"/>
        <v>0</v>
      </c>
      <c r="L90" s="169">
        <f t="shared" si="20"/>
        <v>0</v>
      </c>
      <c r="M90" s="169">
        <f t="shared" si="20"/>
        <v>0</v>
      </c>
      <c r="N90" s="169" t="e">
        <f t="shared" ca="1" si="22"/>
        <v>#VALUE!</v>
      </c>
      <c r="O90" s="171" t="str">
        <f t="shared" si="23"/>
        <v/>
      </c>
      <c r="P90" s="171" t="str">
        <f t="shared" ca="1" si="24"/>
        <v/>
      </c>
      <c r="Q90" s="170">
        <f t="shared" ca="1" si="25"/>
        <v>0</v>
      </c>
      <c r="R90" s="170">
        <f t="shared" ca="1" si="26"/>
        <v>0</v>
      </c>
      <c r="S90" s="171" t="b">
        <f t="shared" si="27"/>
        <v>0</v>
      </c>
      <c r="T90" s="171" t="b">
        <f t="shared" ca="1" si="28"/>
        <v>0</v>
      </c>
      <c r="U90" s="172"/>
    </row>
    <row r="91" spans="1:21" hidden="1">
      <c r="A91" s="143">
        <v>174</v>
      </c>
      <c r="B91" s="167">
        <f t="shared" ref="B91:H100" si="30">IF($A91&lt;=$A$8,INDEX(Import.PO,$A91,B$8),0)</f>
        <v>0</v>
      </c>
      <c r="C91" s="167">
        <f t="shared" si="30"/>
        <v>0</v>
      </c>
      <c r="D91" s="167">
        <f t="shared" si="30"/>
        <v>0</v>
      </c>
      <c r="E91" s="168">
        <f t="shared" si="30"/>
        <v>0</v>
      </c>
      <c r="F91" s="167">
        <f t="shared" si="30"/>
        <v>0</v>
      </c>
      <c r="G91" s="168">
        <f t="shared" si="30"/>
        <v>0</v>
      </c>
      <c r="H91" s="169">
        <f t="shared" si="30"/>
        <v>0</v>
      </c>
      <c r="I91" s="169" t="e">
        <f t="shared" ca="1" si="21"/>
        <v>#VALUE!</v>
      </c>
      <c r="J91" s="169">
        <f t="shared" ref="J91:M110" si="31">IF($A91&lt;=$A$8,INDEX(Import.PO,$A91,J$8),0)</f>
        <v>0</v>
      </c>
      <c r="K91" s="170">
        <f t="shared" si="31"/>
        <v>0</v>
      </c>
      <c r="L91" s="169">
        <f t="shared" si="31"/>
        <v>0</v>
      </c>
      <c r="M91" s="169">
        <f t="shared" si="31"/>
        <v>0</v>
      </c>
      <c r="N91" s="169" t="e">
        <f t="shared" ca="1" si="22"/>
        <v>#VALUE!</v>
      </c>
      <c r="O91" s="171" t="str">
        <f t="shared" si="23"/>
        <v/>
      </c>
      <c r="P91" s="171" t="str">
        <f t="shared" ca="1" si="24"/>
        <v/>
      </c>
      <c r="Q91" s="170">
        <f t="shared" ca="1" si="25"/>
        <v>0</v>
      </c>
      <c r="R91" s="170">
        <f t="shared" ca="1" si="26"/>
        <v>0</v>
      </c>
      <c r="S91" s="171" t="b">
        <f t="shared" si="27"/>
        <v>0</v>
      </c>
      <c r="T91" s="171" t="b">
        <f t="shared" ca="1" si="28"/>
        <v>0</v>
      </c>
      <c r="U91" s="172"/>
    </row>
    <row r="92" spans="1:21" hidden="1">
      <c r="A92" s="143">
        <v>199</v>
      </c>
      <c r="B92" s="167">
        <f t="shared" si="30"/>
        <v>0</v>
      </c>
      <c r="C92" s="167">
        <f t="shared" si="30"/>
        <v>0</v>
      </c>
      <c r="D92" s="167">
        <f t="shared" si="30"/>
        <v>0</v>
      </c>
      <c r="E92" s="168">
        <f t="shared" si="30"/>
        <v>0</v>
      </c>
      <c r="F92" s="167">
        <f t="shared" si="30"/>
        <v>0</v>
      </c>
      <c r="G92" s="168">
        <f t="shared" si="30"/>
        <v>0</v>
      </c>
      <c r="H92" s="169">
        <f t="shared" si="30"/>
        <v>0</v>
      </c>
      <c r="I92" s="169" t="e">
        <f t="shared" ca="1" si="21"/>
        <v>#VALUE!</v>
      </c>
      <c r="J92" s="169">
        <f t="shared" si="31"/>
        <v>0</v>
      </c>
      <c r="K92" s="170">
        <f t="shared" si="31"/>
        <v>0</v>
      </c>
      <c r="L92" s="169">
        <f t="shared" si="31"/>
        <v>0</v>
      </c>
      <c r="M92" s="169">
        <f t="shared" si="31"/>
        <v>0</v>
      </c>
      <c r="N92" s="169" t="e">
        <f t="shared" ca="1" si="22"/>
        <v>#VALUE!</v>
      </c>
      <c r="O92" s="171" t="str">
        <f t="shared" si="23"/>
        <v/>
      </c>
      <c r="P92" s="171" t="str">
        <f t="shared" ca="1" si="24"/>
        <v/>
      </c>
      <c r="Q92" s="170">
        <f t="shared" ca="1" si="25"/>
        <v>0</v>
      </c>
      <c r="R92" s="170">
        <f t="shared" ca="1" si="26"/>
        <v>0</v>
      </c>
      <c r="S92" s="171" t="b">
        <f t="shared" si="27"/>
        <v>0</v>
      </c>
      <c r="T92" s="171" t="b">
        <f t="shared" ca="1" si="28"/>
        <v>0</v>
      </c>
      <c r="U92" s="172"/>
    </row>
    <row r="93" spans="1:21" hidden="1">
      <c r="A93" s="143">
        <v>213</v>
      </c>
      <c r="B93" s="167">
        <f t="shared" si="30"/>
        <v>0</v>
      </c>
      <c r="C93" s="167">
        <f t="shared" si="30"/>
        <v>0</v>
      </c>
      <c r="D93" s="167">
        <f t="shared" si="30"/>
        <v>0</v>
      </c>
      <c r="E93" s="168">
        <f t="shared" si="30"/>
        <v>0</v>
      </c>
      <c r="F93" s="167">
        <f t="shared" si="30"/>
        <v>0</v>
      </c>
      <c r="G93" s="168">
        <f t="shared" si="30"/>
        <v>0</v>
      </c>
      <c r="H93" s="169">
        <f t="shared" si="30"/>
        <v>0</v>
      </c>
      <c r="I93" s="169" t="e">
        <f t="shared" ca="1" si="21"/>
        <v>#VALUE!</v>
      </c>
      <c r="J93" s="169">
        <f t="shared" si="31"/>
        <v>0</v>
      </c>
      <c r="K93" s="170">
        <f t="shared" si="31"/>
        <v>0</v>
      </c>
      <c r="L93" s="169">
        <f t="shared" si="31"/>
        <v>0</v>
      </c>
      <c r="M93" s="169">
        <f t="shared" si="31"/>
        <v>0</v>
      </c>
      <c r="N93" s="169" t="e">
        <f t="shared" ca="1" si="22"/>
        <v>#VALUE!</v>
      </c>
      <c r="O93" s="171" t="str">
        <f t="shared" si="23"/>
        <v/>
      </c>
      <c r="P93" s="171" t="str">
        <f t="shared" ca="1" si="24"/>
        <v/>
      </c>
      <c r="Q93" s="170">
        <f t="shared" ca="1" si="25"/>
        <v>0</v>
      </c>
      <c r="R93" s="170">
        <f t="shared" ca="1" si="26"/>
        <v>0</v>
      </c>
      <c r="S93" s="171" t="b">
        <f t="shared" si="27"/>
        <v>0</v>
      </c>
      <c r="T93" s="171" t="b">
        <f t="shared" ca="1" si="28"/>
        <v>0</v>
      </c>
      <c r="U93" s="172"/>
    </row>
    <row r="94" spans="1:21" hidden="1">
      <c r="A94" s="143">
        <v>262</v>
      </c>
      <c r="B94" s="167">
        <f t="shared" si="30"/>
        <v>0</v>
      </c>
      <c r="C94" s="167">
        <f t="shared" si="30"/>
        <v>0</v>
      </c>
      <c r="D94" s="167">
        <f t="shared" si="30"/>
        <v>0</v>
      </c>
      <c r="E94" s="168">
        <f t="shared" si="30"/>
        <v>0</v>
      </c>
      <c r="F94" s="167">
        <f t="shared" si="30"/>
        <v>0</v>
      </c>
      <c r="G94" s="168">
        <f t="shared" si="30"/>
        <v>0</v>
      </c>
      <c r="H94" s="169">
        <f t="shared" si="30"/>
        <v>0</v>
      </c>
      <c r="I94" s="169" t="e">
        <f t="shared" ca="1" si="21"/>
        <v>#VALUE!</v>
      </c>
      <c r="J94" s="169">
        <f t="shared" si="31"/>
        <v>0</v>
      </c>
      <c r="K94" s="170">
        <f t="shared" si="31"/>
        <v>0</v>
      </c>
      <c r="L94" s="169">
        <f t="shared" si="31"/>
        <v>0</v>
      </c>
      <c r="M94" s="169">
        <f t="shared" si="31"/>
        <v>0</v>
      </c>
      <c r="N94" s="169" t="e">
        <f t="shared" ca="1" si="22"/>
        <v>#VALUE!</v>
      </c>
      <c r="O94" s="171" t="str">
        <f t="shared" si="23"/>
        <v/>
      </c>
      <c r="P94" s="171" t="str">
        <f t="shared" ca="1" si="24"/>
        <v/>
      </c>
      <c r="Q94" s="170">
        <f t="shared" ca="1" si="25"/>
        <v>0</v>
      </c>
      <c r="R94" s="170">
        <f t="shared" ca="1" si="26"/>
        <v>0</v>
      </c>
      <c r="S94" s="171" t="b">
        <f t="shared" si="27"/>
        <v>0</v>
      </c>
      <c r="T94" s="171" t="b">
        <f t="shared" ca="1" si="28"/>
        <v>0</v>
      </c>
      <c r="U94" s="172"/>
    </row>
    <row r="95" spans="1:21" hidden="1">
      <c r="A95" s="143">
        <v>276</v>
      </c>
      <c r="B95" s="167">
        <f t="shared" si="30"/>
        <v>0</v>
      </c>
      <c r="C95" s="167">
        <f t="shared" si="30"/>
        <v>0</v>
      </c>
      <c r="D95" s="167">
        <f t="shared" si="30"/>
        <v>0</v>
      </c>
      <c r="E95" s="168">
        <f t="shared" si="30"/>
        <v>0</v>
      </c>
      <c r="F95" s="167">
        <f t="shared" si="30"/>
        <v>0</v>
      </c>
      <c r="G95" s="168">
        <f t="shared" si="30"/>
        <v>0</v>
      </c>
      <c r="H95" s="169">
        <f t="shared" si="30"/>
        <v>0</v>
      </c>
      <c r="I95" s="169" t="e">
        <f t="shared" ca="1" si="21"/>
        <v>#VALUE!</v>
      </c>
      <c r="J95" s="169">
        <f t="shared" si="31"/>
        <v>0</v>
      </c>
      <c r="K95" s="170">
        <f t="shared" si="31"/>
        <v>0</v>
      </c>
      <c r="L95" s="169">
        <f t="shared" si="31"/>
        <v>0</v>
      </c>
      <c r="M95" s="169">
        <f t="shared" si="31"/>
        <v>0</v>
      </c>
      <c r="N95" s="169" t="e">
        <f t="shared" ca="1" si="22"/>
        <v>#VALUE!</v>
      </c>
      <c r="O95" s="171" t="str">
        <f t="shared" si="23"/>
        <v/>
      </c>
      <c r="P95" s="171" t="str">
        <f t="shared" ca="1" si="24"/>
        <v/>
      </c>
      <c r="Q95" s="170">
        <f t="shared" ca="1" si="25"/>
        <v>0</v>
      </c>
      <c r="R95" s="170">
        <f t="shared" ca="1" si="26"/>
        <v>0</v>
      </c>
      <c r="S95" s="171" t="b">
        <f t="shared" si="27"/>
        <v>0</v>
      </c>
      <c r="T95" s="171" t="b">
        <f t="shared" ca="1" si="28"/>
        <v>0</v>
      </c>
      <c r="U95" s="172"/>
    </row>
    <row r="96" spans="1:21" hidden="1">
      <c r="A96" s="143">
        <v>312</v>
      </c>
      <c r="B96" s="167">
        <f t="shared" si="30"/>
        <v>0</v>
      </c>
      <c r="C96" s="167">
        <f t="shared" si="30"/>
        <v>0</v>
      </c>
      <c r="D96" s="167">
        <f t="shared" si="30"/>
        <v>0</v>
      </c>
      <c r="E96" s="168">
        <f t="shared" si="30"/>
        <v>0</v>
      </c>
      <c r="F96" s="167">
        <f t="shared" si="30"/>
        <v>0</v>
      </c>
      <c r="G96" s="168">
        <f t="shared" si="30"/>
        <v>0</v>
      </c>
      <c r="H96" s="169">
        <f t="shared" si="30"/>
        <v>0</v>
      </c>
      <c r="I96" s="169" t="e">
        <f t="shared" ca="1" si="21"/>
        <v>#VALUE!</v>
      </c>
      <c r="J96" s="169">
        <f t="shared" si="31"/>
        <v>0</v>
      </c>
      <c r="K96" s="170">
        <f t="shared" si="31"/>
        <v>0</v>
      </c>
      <c r="L96" s="169">
        <f t="shared" si="31"/>
        <v>0</v>
      </c>
      <c r="M96" s="169">
        <f t="shared" si="31"/>
        <v>0</v>
      </c>
      <c r="N96" s="169" t="e">
        <f t="shared" ca="1" si="22"/>
        <v>#VALUE!</v>
      </c>
      <c r="O96" s="171" t="str">
        <f t="shared" si="23"/>
        <v/>
      </c>
      <c r="P96" s="171" t="str">
        <f t="shared" ca="1" si="24"/>
        <v/>
      </c>
      <c r="Q96" s="170">
        <f t="shared" ca="1" si="25"/>
        <v>0</v>
      </c>
      <c r="R96" s="170">
        <f t="shared" ca="1" si="26"/>
        <v>0</v>
      </c>
      <c r="S96" s="171" t="b">
        <f t="shared" si="27"/>
        <v>0</v>
      </c>
      <c r="T96" s="171" t="b">
        <f t="shared" ca="1" si="28"/>
        <v>0</v>
      </c>
      <c r="U96" s="172"/>
    </row>
    <row r="97" spans="1:21" hidden="1">
      <c r="A97" s="143">
        <v>326</v>
      </c>
      <c r="B97" s="167">
        <f t="shared" si="30"/>
        <v>0</v>
      </c>
      <c r="C97" s="167">
        <f t="shared" si="30"/>
        <v>0</v>
      </c>
      <c r="D97" s="167">
        <f t="shared" si="30"/>
        <v>0</v>
      </c>
      <c r="E97" s="168">
        <f t="shared" si="30"/>
        <v>0</v>
      </c>
      <c r="F97" s="167">
        <f t="shared" si="30"/>
        <v>0</v>
      </c>
      <c r="G97" s="168">
        <f t="shared" si="30"/>
        <v>0</v>
      </c>
      <c r="H97" s="169">
        <f t="shared" si="30"/>
        <v>0</v>
      </c>
      <c r="I97" s="169" t="e">
        <f t="shared" ca="1" si="21"/>
        <v>#VALUE!</v>
      </c>
      <c r="J97" s="169">
        <f t="shared" si="31"/>
        <v>0</v>
      </c>
      <c r="K97" s="170">
        <f t="shared" si="31"/>
        <v>0</v>
      </c>
      <c r="L97" s="169">
        <f t="shared" si="31"/>
        <v>0</v>
      </c>
      <c r="M97" s="169">
        <f t="shared" si="31"/>
        <v>0</v>
      </c>
      <c r="N97" s="169" t="e">
        <f t="shared" ca="1" si="22"/>
        <v>#VALUE!</v>
      </c>
      <c r="O97" s="171" t="str">
        <f t="shared" si="23"/>
        <v/>
      </c>
      <c r="P97" s="171" t="str">
        <f t="shared" ca="1" si="24"/>
        <v/>
      </c>
      <c r="Q97" s="170">
        <f t="shared" ca="1" si="25"/>
        <v>0</v>
      </c>
      <c r="R97" s="170">
        <f t="shared" ca="1" si="26"/>
        <v>0</v>
      </c>
      <c r="S97" s="171" t="b">
        <f t="shared" si="27"/>
        <v>0</v>
      </c>
      <c r="T97" s="171" t="b">
        <f t="shared" ca="1" si="28"/>
        <v>0</v>
      </c>
      <c r="U97" s="172"/>
    </row>
    <row r="98" spans="1:21" hidden="1">
      <c r="A98" s="143">
        <v>350</v>
      </c>
      <c r="B98" s="167">
        <f t="shared" si="30"/>
        <v>0</v>
      </c>
      <c r="C98" s="167">
        <f t="shared" si="30"/>
        <v>0</v>
      </c>
      <c r="D98" s="167">
        <f t="shared" si="30"/>
        <v>0</v>
      </c>
      <c r="E98" s="168">
        <f t="shared" si="30"/>
        <v>0</v>
      </c>
      <c r="F98" s="167">
        <f t="shared" si="30"/>
        <v>0</v>
      </c>
      <c r="G98" s="168">
        <f t="shared" si="30"/>
        <v>0</v>
      </c>
      <c r="H98" s="169">
        <f t="shared" si="30"/>
        <v>0</v>
      </c>
      <c r="I98" s="169" t="e">
        <f t="shared" ca="1" si="21"/>
        <v>#VALUE!</v>
      </c>
      <c r="J98" s="169">
        <f t="shared" si="31"/>
        <v>0</v>
      </c>
      <c r="K98" s="170">
        <f t="shared" si="31"/>
        <v>0</v>
      </c>
      <c r="L98" s="169">
        <f t="shared" si="31"/>
        <v>0</v>
      </c>
      <c r="M98" s="169">
        <f t="shared" si="31"/>
        <v>0</v>
      </c>
      <c r="N98" s="169" t="e">
        <f t="shared" ca="1" si="22"/>
        <v>#VALUE!</v>
      </c>
      <c r="O98" s="171" t="str">
        <f t="shared" si="23"/>
        <v/>
      </c>
      <c r="P98" s="171" t="str">
        <f t="shared" ca="1" si="24"/>
        <v/>
      </c>
      <c r="Q98" s="170">
        <f t="shared" ca="1" si="25"/>
        <v>0</v>
      </c>
      <c r="R98" s="170">
        <f t="shared" ca="1" si="26"/>
        <v>0</v>
      </c>
      <c r="S98" s="171" t="b">
        <f t="shared" si="27"/>
        <v>0</v>
      </c>
      <c r="T98" s="171" t="b">
        <f t="shared" ca="1" si="28"/>
        <v>0</v>
      </c>
      <c r="U98" s="172"/>
    </row>
    <row r="99" spans="1:21" hidden="1">
      <c r="A99" s="143">
        <v>364</v>
      </c>
      <c r="B99" s="167">
        <f t="shared" si="30"/>
        <v>0</v>
      </c>
      <c r="C99" s="167">
        <f t="shared" si="30"/>
        <v>0</v>
      </c>
      <c r="D99" s="167">
        <f t="shared" si="30"/>
        <v>0</v>
      </c>
      <c r="E99" s="168">
        <f t="shared" si="30"/>
        <v>0</v>
      </c>
      <c r="F99" s="167">
        <f t="shared" si="30"/>
        <v>0</v>
      </c>
      <c r="G99" s="168">
        <f t="shared" si="30"/>
        <v>0</v>
      </c>
      <c r="H99" s="169">
        <f t="shared" si="30"/>
        <v>0</v>
      </c>
      <c r="I99" s="169" t="e">
        <f t="shared" ca="1" si="21"/>
        <v>#VALUE!</v>
      </c>
      <c r="J99" s="169">
        <f t="shared" si="31"/>
        <v>0</v>
      </c>
      <c r="K99" s="170">
        <f t="shared" si="31"/>
        <v>0</v>
      </c>
      <c r="L99" s="169">
        <f t="shared" si="31"/>
        <v>0</v>
      </c>
      <c r="M99" s="169">
        <f t="shared" si="31"/>
        <v>0</v>
      </c>
      <c r="N99" s="169" t="e">
        <f t="shared" ca="1" si="22"/>
        <v>#VALUE!</v>
      </c>
      <c r="O99" s="171" t="str">
        <f t="shared" si="23"/>
        <v/>
      </c>
      <c r="P99" s="171" t="str">
        <f t="shared" ca="1" si="24"/>
        <v/>
      </c>
      <c r="Q99" s="170">
        <f t="shared" ca="1" si="25"/>
        <v>0</v>
      </c>
      <c r="R99" s="170">
        <f t="shared" ca="1" si="26"/>
        <v>0</v>
      </c>
      <c r="S99" s="171" t="b">
        <f t="shared" si="27"/>
        <v>0</v>
      </c>
      <c r="T99" s="171" t="b">
        <f t="shared" ca="1" si="28"/>
        <v>0</v>
      </c>
      <c r="U99" s="172"/>
    </row>
    <row r="100" spans="1:21" hidden="1">
      <c r="A100" s="143">
        <v>378</v>
      </c>
      <c r="B100" s="167">
        <f t="shared" si="30"/>
        <v>0</v>
      </c>
      <c r="C100" s="167">
        <f t="shared" si="30"/>
        <v>0</v>
      </c>
      <c r="D100" s="167">
        <f t="shared" si="30"/>
        <v>0</v>
      </c>
      <c r="E100" s="168">
        <f t="shared" si="30"/>
        <v>0</v>
      </c>
      <c r="F100" s="167">
        <f t="shared" si="30"/>
        <v>0</v>
      </c>
      <c r="G100" s="168">
        <f t="shared" si="30"/>
        <v>0</v>
      </c>
      <c r="H100" s="169">
        <f t="shared" si="30"/>
        <v>0</v>
      </c>
      <c r="I100" s="169" t="e">
        <f t="shared" ca="1" si="21"/>
        <v>#VALUE!</v>
      </c>
      <c r="J100" s="169">
        <f t="shared" si="31"/>
        <v>0</v>
      </c>
      <c r="K100" s="170">
        <f t="shared" si="31"/>
        <v>0</v>
      </c>
      <c r="L100" s="169">
        <f t="shared" si="31"/>
        <v>0</v>
      </c>
      <c r="M100" s="169">
        <f t="shared" si="31"/>
        <v>0</v>
      </c>
      <c r="N100" s="169" t="e">
        <f t="shared" ca="1" si="22"/>
        <v>#VALUE!</v>
      </c>
      <c r="O100" s="171" t="str">
        <f t="shared" si="23"/>
        <v/>
      </c>
      <c r="P100" s="171" t="str">
        <f t="shared" ca="1" si="24"/>
        <v/>
      </c>
      <c r="Q100" s="170">
        <f t="shared" ca="1" si="25"/>
        <v>0</v>
      </c>
      <c r="R100" s="170">
        <f t="shared" ca="1" si="26"/>
        <v>0</v>
      </c>
      <c r="S100" s="171" t="b">
        <f t="shared" si="27"/>
        <v>0</v>
      </c>
      <c r="T100" s="171" t="b">
        <f t="shared" ca="1" si="28"/>
        <v>0</v>
      </c>
      <c r="U100" s="172"/>
    </row>
    <row r="101" spans="1:21" hidden="1">
      <c r="A101" s="143">
        <v>392</v>
      </c>
      <c r="B101" s="167">
        <f t="shared" ref="B101:H110" si="32">IF($A101&lt;=$A$8,INDEX(Import.PO,$A101,B$8),0)</f>
        <v>0</v>
      </c>
      <c r="C101" s="167">
        <f t="shared" si="32"/>
        <v>0</v>
      </c>
      <c r="D101" s="167">
        <f t="shared" si="32"/>
        <v>0</v>
      </c>
      <c r="E101" s="168">
        <f t="shared" si="32"/>
        <v>0</v>
      </c>
      <c r="F101" s="167">
        <f t="shared" si="32"/>
        <v>0</v>
      </c>
      <c r="G101" s="168">
        <f t="shared" si="32"/>
        <v>0</v>
      </c>
      <c r="H101" s="169">
        <f t="shared" si="32"/>
        <v>0</v>
      </c>
      <c r="I101" s="169" t="e">
        <f t="shared" ca="1" si="21"/>
        <v>#VALUE!</v>
      </c>
      <c r="J101" s="169">
        <f t="shared" si="31"/>
        <v>0</v>
      </c>
      <c r="K101" s="170">
        <f t="shared" si="31"/>
        <v>0</v>
      </c>
      <c r="L101" s="169">
        <f t="shared" si="31"/>
        <v>0</v>
      </c>
      <c r="M101" s="169">
        <f t="shared" si="31"/>
        <v>0</v>
      </c>
      <c r="N101" s="169" t="e">
        <f t="shared" ca="1" si="22"/>
        <v>#VALUE!</v>
      </c>
      <c r="O101" s="171" t="str">
        <f t="shared" si="23"/>
        <v/>
      </c>
      <c r="P101" s="171" t="str">
        <f t="shared" ca="1" si="24"/>
        <v/>
      </c>
      <c r="Q101" s="170">
        <f t="shared" ca="1" si="25"/>
        <v>0</v>
      </c>
      <c r="R101" s="170">
        <f t="shared" ca="1" si="26"/>
        <v>0</v>
      </c>
      <c r="S101" s="171" t="b">
        <f t="shared" si="27"/>
        <v>0</v>
      </c>
      <c r="T101" s="171" t="b">
        <f t="shared" ca="1" si="28"/>
        <v>0</v>
      </c>
      <c r="U101" s="172"/>
    </row>
    <row r="102" spans="1:21" hidden="1">
      <c r="A102" s="143">
        <v>406</v>
      </c>
      <c r="B102" s="167">
        <f t="shared" si="32"/>
        <v>0</v>
      </c>
      <c r="C102" s="167">
        <f t="shared" si="32"/>
        <v>0</v>
      </c>
      <c r="D102" s="167">
        <f t="shared" si="32"/>
        <v>0</v>
      </c>
      <c r="E102" s="168">
        <f t="shared" si="32"/>
        <v>0</v>
      </c>
      <c r="F102" s="167">
        <f t="shared" si="32"/>
        <v>0</v>
      </c>
      <c r="G102" s="168">
        <f t="shared" si="32"/>
        <v>0</v>
      </c>
      <c r="H102" s="169">
        <f t="shared" si="32"/>
        <v>0</v>
      </c>
      <c r="I102" s="169" t="e">
        <f t="shared" ca="1" si="21"/>
        <v>#VALUE!</v>
      </c>
      <c r="J102" s="169">
        <f t="shared" si="31"/>
        <v>0</v>
      </c>
      <c r="K102" s="170">
        <f t="shared" si="31"/>
        <v>0</v>
      </c>
      <c r="L102" s="169">
        <f t="shared" si="31"/>
        <v>0</v>
      </c>
      <c r="M102" s="169">
        <f t="shared" si="31"/>
        <v>0</v>
      </c>
      <c r="N102" s="169" t="e">
        <f t="shared" ca="1" si="22"/>
        <v>#VALUE!</v>
      </c>
      <c r="O102" s="171" t="str">
        <f t="shared" si="23"/>
        <v/>
      </c>
      <c r="P102" s="171" t="str">
        <f t="shared" ca="1" si="24"/>
        <v/>
      </c>
      <c r="Q102" s="170">
        <f t="shared" ca="1" si="25"/>
        <v>0</v>
      </c>
      <c r="R102" s="170">
        <f t="shared" ca="1" si="26"/>
        <v>0</v>
      </c>
      <c r="S102" s="171" t="b">
        <f t="shared" si="27"/>
        <v>0</v>
      </c>
      <c r="T102" s="171" t="b">
        <f t="shared" ca="1" si="28"/>
        <v>0</v>
      </c>
      <c r="U102" s="172"/>
    </row>
    <row r="103" spans="1:21" hidden="1">
      <c r="A103" s="143">
        <v>420</v>
      </c>
      <c r="B103" s="167">
        <f t="shared" si="32"/>
        <v>0</v>
      </c>
      <c r="C103" s="167">
        <f t="shared" si="32"/>
        <v>0</v>
      </c>
      <c r="D103" s="167">
        <f t="shared" si="32"/>
        <v>0</v>
      </c>
      <c r="E103" s="168">
        <f t="shared" si="32"/>
        <v>0</v>
      </c>
      <c r="F103" s="167">
        <f t="shared" si="32"/>
        <v>0</v>
      </c>
      <c r="G103" s="168">
        <f t="shared" si="32"/>
        <v>0</v>
      </c>
      <c r="H103" s="169">
        <f t="shared" si="32"/>
        <v>0</v>
      </c>
      <c r="I103" s="169" t="e">
        <f t="shared" ca="1" si="21"/>
        <v>#VALUE!</v>
      </c>
      <c r="J103" s="169">
        <f t="shared" si="31"/>
        <v>0</v>
      </c>
      <c r="K103" s="170">
        <f t="shared" si="31"/>
        <v>0</v>
      </c>
      <c r="L103" s="169">
        <f t="shared" si="31"/>
        <v>0</v>
      </c>
      <c r="M103" s="169">
        <f t="shared" si="31"/>
        <v>0</v>
      </c>
      <c r="N103" s="169" t="e">
        <f t="shared" ca="1" si="22"/>
        <v>#VALUE!</v>
      </c>
      <c r="O103" s="171" t="str">
        <f t="shared" si="23"/>
        <v/>
      </c>
      <c r="P103" s="171" t="str">
        <f t="shared" ca="1" si="24"/>
        <v/>
      </c>
      <c r="Q103" s="170">
        <f t="shared" ca="1" si="25"/>
        <v>0</v>
      </c>
      <c r="R103" s="170">
        <f t="shared" ca="1" si="26"/>
        <v>0</v>
      </c>
      <c r="S103" s="171" t="b">
        <f t="shared" si="27"/>
        <v>0</v>
      </c>
      <c r="T103" s="171" t="b">
        <f t="shared" ca="1" si="28"/>
        <v>0</v>
      </c>
      <c r="U103" s="172"/>
    </row>
    <row r="104" spans="1:21" hidden="1">
      <c r="A104" s="143">
        <v>438</v>
      </c>
      <c r="B104" s="167">
        <f t="shared" si="32"/>
        <v>0</v>
      </c>
      <c r="C104" s="167">
        <f t="shared" si="32"/>
        <v>0</v>
      </c>
      <c r="D104" s="167">
        <f t="shared" si="32"/>
        <v>0</v>
      </c>
      <c r="E104" s="168">
        <f t="shared" si="32"/>
        <v>0</v>
      </c>
      <c r="F104" s="167">
        <f t="shared" si="32"/>
        <v>0</v>
      </c>
      <c r="G104" s="168">
        <f t="shared" si="32"/>
        <v>0</v>
      </c>
      <c r="H104" s="169">
        <f t="shared" si="32"/>
        <v>0</v>
      </c>
      <c r="I104" s="169" t="e">
        <f t="shared" ca="1" si="21"/>
        <v>#VALUE!</v>
      </c>
      <c r="J104" s="169">
        <f t="shared" si="31"/>
        <v>0</v>
      </c>
      <c r="K104" s="170">
        <f t="shared" si="31"/>
        <v>0</v>
      </c>
      <c r="L104" s="169">
        <f t="shared" si="31"/>
        <v>0</v>
      </c>
      <c r="M104" s="169">
        <f t="shared" si="31"/>
        <v>0</v>
      </c>
      <c r="N104" s="169" t="e">
        <f t="shared" ca="1" si="22"/>
        <v>#VALUE!</v>
      </c>
      <c r="O104" s="171" t="str">
        <f t="shared" si="23"/>
        <v/>
      </c>
      <c r="P104" s="171" t="str">
        <f t="shared" ca="1" si="24"/>
        <v/>
      </c>
      <c r="Q104" s="170">
        <f t="shared" ca="1" si="25"/>
        <v>0</v>
      </c>
      <c r="R104" s="170">
        <f t="shared" ca="1" si="26"/>
        <v>0</v>
      </c>
      <c r="S104" s="171" t="b">
        <f t="shared" si="27"/>
        <v>0</v>
      </c>
      <c r="T104" s="171" t="b">
        <f t="shared" ca="1" si="28"/>
        <v>0</v>
      </c>
      <c r="U104" s="172"/>
    </row>
    <row r="105" spans="1:21" hidden="1">
      <c r="A105" s="143">
        <v>31</v>
      </c>
      <c r="B105" s="167">
        <f t="shared" si="32"/>
        <v>0</v>
      </c>
      <c r="C105" s="167">
        <f t="shared" si="32"/>
        <v>0</v>
      </c>
      <c r="D105" s="167">
        <f t="shared" si="32"/>
        <v>0</v>
      </c>
      <c r="E105" s="168">
        <f t="shared" si="32"/>
        <v>0</v>
      </c>
      <c r="F105" s="167">
        <f t="shared" si="32"/>
        <v>0</v>
      </c>
      <c r="G105" s="168">
        <f t="shared" si="32"/>
        <v>0</v>
      </c>
      <c r="H105" s="169">
        <f t="shared" si="32"/>
        <v>0</v>
      </c>
      <c r="I105" s="169" t="e">
        <f t="shared" ca="1" si="21"/>
        <v>#VALUE!</v>
      </c>
      <c r="J105" s="169">
        <f t="shared" si="31"/>
        <v>0</v>
      </c>
      <c r="K105" s="170">
        <f t="shared" si="31"/>
        <v>0</v>
      </c>
      <c r="L105" s="169">
        <f t="shared" si="31"/>
        <v>0</v>
      </c>
      <c r="M105" s="169">
        <f t="shared" si="31"/>
        <v>0</v>
      </c>
      <c r="N105" s="169" t="e">
        <f t="shared" ca="1" si="22"/>
        <v>#VALUE!</v>
      </c>
      <c r="O105" s="171" t="str">
        <f t="shared" si="23"/>
        <v/>
      </c>
      <c r="P105" s="171" t="str">
        <f t="shared" ca="1" si="24"/>
        <v/>
      </c>
      <c r="Q105" s="170">
        <f t="shared" ca="1" si="25"/>
        <v>0</v>
      </c>
      <c r="R105" s="170">
        <f t="shared" ca="1" si="26"/>
        <v>0</v>
      </c>
      <c r="S105" s="171" t="b">
        <f t="shared" si="27"/>
        <v>0</v>
      </c>
      <c r="T105" s="171" t="b">
        <f t="shared" ca="1" si="28"/>
        <v>0</v>
      </c>
      <c r="U105" s="172"/>
    </row>
    <row r="106" spans="1:21" hidden="1">
      <c r="A106" s="143">
        <v>50</v>
      </c>
      <c r="B106" s="167">
        <f t="shared" si="32"/>
        <v>0</v>
      </c>
      <c r="C106" s="167">
        <f t="shared" si="32"/>
        <v>0</v>
      </c>
      <c r="D106" s="167">
        <f t="shared" si="32"/>
        <v>0</v>
      </c>
      <c r="E106" s="168">
        <f t="shared" si="32"/>
        <v>0</v>
      </c>
      <c r="F106" s="167">
        <f t="shared" si="32"/>
        <v>0</v>
      </c>
      <c r="G106" s="168">
        <f t="shared" si="32"/>
        <v>0</v>
      </c>
      <c r="H106" s="169">
        <f t="shared" si="32"/>
        <v>0</v>
      </c>
      <c r="I106" s="169" t="e">
        <f t="shared" ca="1" si="21"/>
        <v>#VALUE!</v>
      </c>
      <c r="J106" s="169">
        <f t="shared" si="31"/>
        <v>0</v>
      </c>
      <c r="K106" s="170">
        <f t="shared" si="31"/>
        <v>0</v>
      </c>
      <c r="L106" s="169">
        <f t="shared" si="31"/>
        <v>0</v>
      </c>
      <c r="M106" s="169">
        <f t="shared" si="31"/>
        <v>0</v>
      </c>
      <c r="N106" s="169" t="e">
        <f t="shared" ca="1" si="22"/>
        <v>#VALUE!</v>
      </c>
      <c r="O106" s="171" t="str">
        <f t="shared" si="23"/>
        <v/>
      </c>
      <c r="P106" s="171" t="str">
        <f t="shared" ca="1" si="24"/>
        <v/>
      </c>
      <c r="Q106" s="170">
        <f t="shared" ca="1" si="25"/>
        <v>0</v>
      </c>
      <c r="R106" s="170">
        <f t="shared" ca="1" si="26"/>
        <v>0</v>
      </c>
      <c r="S106" s="171" t="b">
        <f t="shared" si="27"/>
        <v>0</v>
      </c>
      <c r="T106" s="171" t="b">
        <f t="shared" ca="1" si="28"/>
        <v>0</v>
      </c>
      <c r="U106" s="172"/>
    </row>
    <row r="107" spans="1:21" hidden="1">
      <c r="A107" s="143">
        <v>70</v>
      </c>
      <c r="B107" s="167">
        <f t="shared" si="32"/>
        <v>0</v>
      </c>
      <c r="C107" s="167">
        <f t="shared" si="32"/>
        <v>0</v>
      </c>
      <c r="D107" s="167">
        <f t="shared" si="32"/>
        <v>0</v>
      </c>
      <c r="E107" s="168">
        <f t="shared" si="32"/>
        <v>0</v>
      </c>
      <c r="F107" s="167">
        <f t="shared" si="32"/>
        <v>0</v>
      </c>
      <c r="G107" s="168">
        <f t="shared" si="32"/>
        <v>0</v>
      </c>
      <c r="H107" s="169">
        <f t="shared" si="32"/>
        <v>0</v>
      </c>
      <c r="I107" s="169" t="e">
        <f t="shared" ca="1" si="21"/>
        <v>#VALUE!</v>
      </c>
      <c r="J107" s="169">
        <f t="shared" si="31"/>
        <v>0</v>
      </c>
      <c r="K107" s="170">
        <f t="shared" si="31"/>
        <v>0</v>
      </c>
      <c r="L107" s="169">
        <f t="shared" si="31"/>
        <v>0</v>
      </c>
      <c r="M107" s="169">
        <f t="shared" si="31"/>
        <v>0</v>
      </c>
      <c r="N107" s="169" t="e">
        <f t="shared" ca="1" si="22"/>
        <v>#VALUE!</v>
      </c>
      <c r="O107" s="171" t="str">
        <f t="shared" si="23"/>
        <v/>
      </c>
      <c r="P107" s="171" t="str">
        <f t="shared" ca="1" si="24"/>
        <v/>
      </c>
      <c r="Q107" s="170">
        <f t="shared" ca="1" si="25"/>
        <v>0</v>
      </c>
      <c r="R107" s="170">
        <f t="shared" ca="1" si="26"/>
        <v>0</v>
      </c>
      <c r="S107" s="171" t="b">
        <f t="shared" si="27"/>
        <v>0</v>
      </c>
      <c r="T107" s="171" t="b">
        <f t="shared" ca="1" si="28"/>
        <v>0</v>
      </c>
      <c r="U107" s="172"/>
    </row>
    <row r="108" spans="1:21" hidden="1">
      <c r="A108" s="143">
        <v>84</v>
      </c>
      <c r="B108" s="167">
        <f t="shared" si="32"/>
        <v>0</v>
      </c>
      <c r="C108" s="167">
        <f t="shared" si="32"/>
        <v>0</v>
      </c>
      <c r="D108" s="167">
        <f t="shared" si="32"/>
        <v>0</v>
      </c>
      <c r="E108" s="168">
        <f t="shared" si="32"/>
        <v>0</v>
      </c>
      <c r="F108" s="167">
        <f t="shared" si="32"/>
        <v>0</v>
      </c>
      <c r="G108" s="168">
        <f t="shared" si="32"/>
        <v>0</v>
      </c>
      <c r="H108" s="169">
        <f t="shared" si="32"/>
        <v>0</v>
      </c>
      <c r="I108" s="169" t="e">
        <f t="shared" ca="1" si="21"/>
        <v>#VALUE!</v>
      </c>
      <c r="J108" s="169">
        <f t="shared" si="31"/>
        <v>0</v>
      </c>
      <c r="K108" s="170">
        <f t="shared" si="31"/>
        <v>0</v>
      </c>
      <c r="L108" s="169">
        <f t="shared" si="31"/>
        <v>0</v>
      </c>
      <c r="M108" s="169">
        <f t="shared" si="31"/>
        <v>0</v>
      </c>
      <c r="N108" s="169" t="e">
        <f t="shared" ca="1" si="22"/>
        <v>#VALUE!</v>
      </c>
      <c r="O108" s="171" t="str">
        <f t="shared" si="23"/>
        <v/>
      </c>
      <c r="P108" s="171" t="str">
        <f t="shared" ca="1" si="24"/>
        <v/>
      </c>
      <c r="Q108" s="170">
        <f t="shared" ca="1" si="25"/>
        <v>0</v>
      </c>
      <c r="R108" s="170">
        <f t="shared" ca="1" si="26"/>
        <v>0</v>
      </c>
      <c r="S108" s="171" t="b">
        <f t="shared" si="27"/>
        <v>0</v>
      </c>
      <c r="T108" s="171" t="b">
        <f t="shared" ca="1" si="28"/>
        <v>0</v>
      </c>
      <c r="U108" s="172"/>
    </row>
    <row r="109" spans="1:21" hidden="1">
      <c r="A109" s="143">
        <v>106</v>
      </c>
      <c r="B109" s="167">
        <f t="shared" si="32"/>
        <v>0</v>
      </c>
      <c r="C109" s="167">
        <f t="shared" si="32"/>
        <v>0</v>
      </c>
      <c r="D109" s="167">
        <f t="shared" si="32"/>
        <v>0</v>
      </c>
      <c r="E109" s="168">
        <f t="shared" si="32"/>
        <v>0</v>
      </c>
      <c r="F109" s="167">
        <f t="shared" si="32"/>
        <v>0</v>
      </c>
      <c r="G109" s="168">
        <f t="shared" si="32"/>
        <v>0</v>
      </c>
      <c r="H109" s="169">
        <f t="shared" si="32"/>
        <v>0</v>
      </c>
      <c r="I109" s="169" t="e">
        <f t="shared" ca="1" si="21"/>
        <v>#VALUE!</v>
      </c>
      <c r="J109" s="169">
        <f t="shared" si="31"/>
        <v>0</v>
      </c>
      <c r="K109" s="170">
        <f t="shared" si="31"/>
        <v>0</v>
      </c>
      <c r="L109" s="169">
        <f t="shared" si="31"/>
        <v>0</v>
      </c>
      <c r="M109" s="169">
        <f t="shared" si="31"/>
        <v>0</v>
      </c>
      <c r="N109" s="169" t="e">
        <f t="shared" ca="1" si="22"/>
        <v>#VALUE!</v>
      </c>
      <c r="O109" s="171" t="str">
        <f t="shared" si="23"/>
        <v/>
      </c>
      <c r="P109" s="171" t="str">
        <f t="shared" ca="1" si="24"/>
        <v/>
      </c>
      <c r="Q109" s="170">
        <f t="shared" ca="1" si="25"/>
        <v>0</v>
      </c>
      <c r="R109" s="170">
        <f t="shared" ca="1" si="26"/>
        <v>0</v>
      </c>
      <c r="S109" s="171" t="b">
        <f t="shared" si="27"/>
        <v>0</v>
      </c>
      <c r="T109" s="171" t="b">
        <f t="shared" ca="1" si="28"/>
        <v>0</v>
      </c>
      <c r="U109" s="172"/>
    </row>
    <row r="110" spans="1:21" hidden="1">
      <c r="A110" s="143">
        <v>121</v>
      </c>
      <c r="B110" s="167">
        <f t="shared" si="32"/>
        <v>0</v>
      </c>
      <c r="C110" s="167">
        <f t="shared" si="32"/>
        <v>0</v>
      </c>
      <c r="D110" s="167">
        <f t="shared" si="32"/>
        <v>0</v>
      </c>
      <c r="E110" s="168">
        <f t="shared" si="32"/>
        <v>0</v>
      </c>
      <c r="F110" s="167">
        <f t="shared" si="32"/>
        <v>0</v>
      </c>
      <c r="G110" s="168">
        <f t="shared" si="32"/>
        <v>0</v>
      </c>
      <c r="H110" s="169">
        <f t="shared" si="32"/>
        <v>0</v>
      </c>
      <c r="I110" s="169" t="e">
        <f t="shared" ca="1" si="21"/>
        <v>#VALUE!</v>
      </c>
      <c r="J110" s="169">
        <f t="shared" si="31"/>
        <v>0</v>
      </c>
      <c r="K110" s="170">
        <f t="shared" si="31"/>
        <v>0</v>
      </c>
      <c r="L110" s="169">
        <f t="shared" si="31"/>
        <v>0</v>
      </c>
      <c r="M110" s="169">
        <f t="shared" si="31"/>
        <v>0</v>
      </c>
      <c r="N110" s="169" t="e">
        <f t="shared" ca="1" si="22"/>
        <v>#VALUE!</v>
      </c>
      <c r="O110" s="171" t="str">
        <f t="shared" si="23"/>
        <v/>
      </c>
      <c r="P110" s="171" t="str">
        <f t="shared" ca="1" si="24"/>
        <v/>
      </c>
      <c r="Q110" s="170">
        <f t="shared" ca="1" si="25"/>
        <v>0</v>
      </c>
      <c r="R110" s="170">
        <f t="shared" ca="1" si="26"/>
        <v>0</v>
      </c>
      <c r="S110" s="171" t="b">
        <f t="shared" si="27"/>
        <v>0</v>
      </c>
      <c r="T110" s="171" t="b">
        <f t="shared" ca="1" si="28"/>
        <v>0</v>
      </c>
      <c r="U110" s="172"/>
    </row>
    <row r="111" spans="1:21" hidden="1">
      <c r="A111" s="143">
        <v>131</v>
      </c>
      <c r="B111" s="167">
        <f t="shared" ref="B111:H120" si="33">IF($A111&lt;=$A$8,INDEX(Import.PO,$A111,B$8),0)</f>
        <v>0</v>
      </c>
      <c r="C111" s="167">
        <f t="shared" si="33"/>
        <v>0</v>
      </c>
      <c r="D111" s="167">
        <f t="shared" si="33"/>
        <v>0</v>
      </c>
      <c r="E111" s="168">
        <f t="shared" si="33"/>
        <v>0</v>
      </c>
      <c r="F111" s="167">
        <f t="shared" si="33"/>
        <v>0</v>
      </c>
      <c r="G111" s="168">
        <f t="shared" si="33"/>
        <v>0</v>
      </c>
      <c r="H111" s="169">
        <f t="shared" si="33"/>
        <v>0</v>
      </c>
      <c r="I111" s="169" t="e">
        <f t="shared" ca="1" si="21"/>
        <v>#VALUE!</v>
      </c>
      <c r="J111" s="169">
        <f t="shared" ref="J111:M130" si="34">IF($A111&lt;=$A$8,INDEX(Import.PO,$A111,J$8),0)</f>
        <v>0</v>
      </c>
      <c r="K111" s="170">
        <f t="shared" si="34"/>
        <v>0</v>
      </c>
      <c r="L111" s="169">
        <f t="shared" si="34"/>
        <v>0</v>
      </c>
      <c r="M111" s="169">
        <f t="shared" si="34"/>
        <v>0</v>
      </c>
      <c r="N111" s="169" t="e">
        <f t="shared" ca="1" si="22"/>
        <v>#VALUE!</v>
      </c>
      <c r="O111" s="171" t="str">
        <f t="shared" si="23"/>
        <v/>
      </c>
      <c r="P111" s="171" t="str">
        <f t="shared" ca="1" si="24"/>
        <v/>
      </c>
      <c r="Q111" s="170">
        <f t="shared" ca="1" si="25"/>
        <v>0</v>
      </c>
      <c r="R111" s="170">
        <f t="shared" ca="1" si="26"/>
        <v>0</v>
      </c>
      <c r="S111" s="171" t="b">
        <f t="shared" si="27"/>
        <v>0</v>
      </c>
      <c r="T111" s="171" t="b">
        <f t="shared" ca="1" si="28"/>
        <v>0</v>
      </c>
      <c r="U111" s="172"/>
    </row>
    <row r="112" spans="1:21" hidden="1">
      <c r="A112" s="143">
        <v>158</v>
      </c>
      <c r="B112" s="167">
        <f t="shared" si="33"/>
        <v>0</v>
      </c>
      <c r="C112" s="167">
        <f t="shared" si="33"/>
        <v>0</v>
      </c>
      <c r="D112" s="167">
        <f t="shared" si="33"/>
        <v>0</v>
      </c>
      <c r="E112" s="168">
        <f t="shared" si="33"/>
        <v>0</v>
      </c>
      <c r="F112" s="167">
        <f t="shared" si="33"/>
        <v>0</v>
      </c>
      <c r="G112" s="168">
        <f t="shared" si="33"/>
        <v>0</v>
      </c>
      <c r="H112" s="169">
        <f t="shared" si="33"/>
        <v>0</v>
      </c>
      <c r="I112" s="169" t="e">
        <f t="shared" ca="1" si="21"/>
        <v>#VALUE!</v>
      </c>
      <c r="J112" s="169">
        <f t="shared" si="34"/>
        <v>0</v>
      </c>
      <c r="K112" s="170">
        <f t="shared" si="34"/>
        <v>0</v>
      </c>
      <c r="L112" s="169">
        <f t="shared" si="34"/>
        <v>0</v>
      </c>
      <c r="M112" s="169">
        <f t="shared" si="34"/>
        <v>0</v>
      </c>
      <c r="N112" s="169" t="e">
        <f t="shared" ca="1" si="22"/>
        <v>#VALUE!</v>
      </c>
      <c r="O112" s="171" t="str">
        <f t="shared" si="23"/>
        <v/>
      </c>
      <c r="P112" s="171" t="str">
        <f t="shared" ca="1" si="24"/>
        <v/>
      </c>
      <c r="Q112" s="170">
        <f t="shared" ca="1" si="25"/>
        <v>0</v>
      </c>
      <c r="R112" s="170">
        <f t="shared" ca="1" si="26"/>
        <v>0</v>
      </c>
      <c r="S112" s="171" t="b">
        <f t="shared" si="27"/>
        <v>0</v>
      </c>
      <c r="T112" s="171" t="b">
        <f t="shared" ca="1" si="28"/>
        <v>0</v>
      </c>
      <c r="U112" s="172"/>
    </row>
    <row r="113" spans="1:21" hidden="1">
      <c r="A113" s="143">
        <v>167</v>
      </c>
      <c r="B113" s="167">
        <f t="shared" si="33"/>
        <v>0</v>
      </c>
      <c r="C113" s="167">
        <f t="shared" si="33"/>
        <v>0</v>
      </c>
      <c r="D113" s="167">
        <f t="shared" si="33"/>
        <v>0</v>
      </c>
      <c r="E113" s="168">
        <f t="shared" si="33"/>
        <v>0</v>
      </c>
      <c r="F113" s="167">
        <f t="shared" si="33"/>
        <v>0</v>
      </c>
      <c r="G113" s="168">
        <f t="shared" si="33"/>
        <v>0</v>
      </c>
      <c r="H113" s="169">
        <f t="shared" si="33"/>
        <v>0</v>
      </c>
      <c r="I113" s="169" t="e">
        <f t="shared" ca="1" si="21"/>
        <v>#VALUE!</v>
      </c>
      <c r="J113" s="169">
        <f t="shared" si="34"/>
        <v>0</v>
      </c>
      <c r="K113" s="170">
        <f t="shared" si="34"/>
        <v>0</v>
      </c>
      <c r="L113" s="169">
        <f t="shared" si="34"/>
        <v>0</v>
      </c>
      <c r="M113" s="169">
        <f t="shared" si="34"/>
        <v>0</v>
      </c>
      <c r="N113" s="169" t="e">
        <f t="shared" ca="1" si="22"/>
        <v>#VALUE!</v>
      </c>
      <c r="O113" s="171" t="str">
        <f t="shared" si="23"/>
        <v/>
      </c>
      <c r="P113" s="171" t="str">
        <f t="shared" ca="1" si="24"/>
        <v/>
      </c>
      <c r="Q113" s="170">
        <f t="shared" ca="1" si="25"/>
        <v>0</v>
      </c>
      <c r="R113" s="170">
        <f t="shared" ca="1" si="26"/>
        <v>0</v>
      </c>
      <c r="S113" s="171" t="b">
        <f t="shared" si="27"/>
        <v>0</v>
      </c>
      <c r="T113" s="171" t="b">
        <f t="shared" ca="1" si="28"/>
        <v>0</v>
      </c>
      <c r="U113" s="172"/>
    </row>
    <row r="114" spans="1:21" hidden="1">
      <c r="A114" s="143">
        <v>182</v>
      </c>
      <c r="B114" s="167">
        <f t="shared" si="33"/>
        <v>0</v>
      </c>
      <c r="C114" s="167">
        <f t="shared" si="33"/>
        <v>0</v>
      </c>
      <c r="D114" s="167">
        <f t="shared" si="33"/>
        <v>0</v>
      </c>
      <c r="E114" s="168">
        <f t="shared" si="33"/>
        <v>0</v>
      </c>
      <c r="F114" s="167">
        <f t="shared" si="33"/>
        <v>0</v>
      </c>
      <c r="G114" s="168">
        <f t="shared" si="33"/>
        <v>0</v>
      </c>
      <c r="H114" s="169">
        <f t="shared" si="33"/>
        <v>0</v>
      </c>
      <c r="I114" s="169" t="e">
        <f t="shared" ca="1" si="21"/>
        <v>#VALUE!</v>
      </c>
      <c r="J114" s="169">
        <f t="shared" si="34"/>
        <v>0</v>
      </c>
      <c r="K114" s="170">
        <f t="shared" si="34"/>
        <v>0</v>
      </c>
      <c r="L114" s="169">
        <f t="shared" si="34"/>
        <v>0</v>
      </c>
      <c r="M114" s="169">
        <f t="shared" si="34"/>
        <v>0</v>
      </c>
      <c r="N114" s="169" t="e">
        <f t="shared" ca="1" si="22"/>
        <v>#VALUE!</v>
      </c>
      <c r="O114" s="171" t="str">
        <f t="shared" si="23"/>
        <v/>
      </c>
      <c r="P114" s="171" t="str">
        <f t="shared" ca="1" si="24"/>
        <v/>
      </c>
      <c r="Q114" s="170">
        <f t="shared" ca="1" si="25"/>
        <v>0</v>
      </c>
      <c r="R114" s="170">
        <f t="shared" ca="1" si="26"/>
        <v>0</v>
      </c>
      <c r="S114" s="171" t="b">
        <f t="shared" si="27"/>
        <v>0</v>
      </c>
      <c r="T114" s="171" t="b">
        <f t="shared" ca="1" si="28"/>
        <v>0</v>
      </c>
      <c r="U114" s="172"/>
    </row>
    <row r="115" spans="1:21" hidden="1">
      <c r="A115" s="143">
        <v>192</v>
      </c>
      <c r="B115" s="167">
        <f t="shared" si="33"/>
        <v>0</v>
      </c>
      <c r="C115" s="167">
        <f t="shared" si="33"/>
        <v>0</v>
      </c>
      <c r="D115" s="167">
        <f t="shared" si="33"/>
        <v>0</v>
      </c>
      <c r="E115" s="168">
        <f t="shared" si="33"/>
        <v>0</v>
      </c>
      <c r="F115" s="167">
        <f t="shared" si="33"/>
        <v>0</v>
      </c>
      <c r="G115" s="168">
        <f t="shared" si="33"/>
        <v>0</v>
      </c>
      <c r="H115" s="169">
        <f t="shared" si="33"/>
        <v>0</v>
      </c>
      <c r="I115" s="169" t="e">
        <f t="shared" ca="1" si="21"/>
        <v>#VALUE!</v>
      </c>
      <c r="J115" s="169">
        <f t="shared" si="34"/>
        <v>0</v>
      </c>
      <c r="K115" s="170">
        <f t="shared" si="34"/>
        <v>0</v>
      </c>
      <c r="L115" s="169">
        <f t="shared" si="34"/>
        <v>0</v>
      </c>
      <c r="M115" s="169">
        <f t="shared" si="34"/>
        <v>0</v>
      </c>
      <c r="N115" s="169" t="e">
        <f t="shared" ca="1" si="22"/>
        <v>#VALUE!</v>
      </c>
      <c r="O115" s="171" t="str">
        <f t="shared" si="23"/>
        <v/>
      </c>
      <c r="P115" s="171" t="str">
        <f t="shared" ca="1" si="24"/>
        <v/>
      </c>
      <c r="Q115" s="170">
        <f t="shared" ca="1" si="25"/>
        <v>0</v>
      </c>
      <c r="R115" s="170">
        <f t="shared" ca="1" si="26"/>
        <v>0</v>
      </c>
      <c r="S115" s="171" t="b">
        <f t="shared" si="27"/>
        <v>0</v>
      </c>
      <c r="T115" s="171" t="b">
        <f t="shared" ca="1" si="28"/>
        <v>0</v>
      </c>
      <c r="U115" s="172"/>
    </row>
    <row r="116" spans="1:21" hidden="1">
      <c r="A116" s="143">
        <v>206</v>
      </c>
      <c r="B116" s="167">
        <f t="shared" si="33"/>
        <v>0</v>
      </c>
      <c r="C116" s="167">
        <f t="shared" si="33"/>
        <v>0</v>
      </c>
      <c r="D116" s="167">
        <f t="shared" si="33"/>
        <v>0</v>
      </c>
      <c r="E116" s="168">
        <f t="shared" si="33"/>
        <v>0</v>
      </c>
      <c r="F116" s="167">
        <f t="shared" si="33"/>
        <v>0</v>
      </c>
      <c r="G116" s="168">
        <f t="shared" si="33"/>
        <v>0</v>
      </c>
      <c r="H116" s="169">
        <f t="shared" si="33"/>
        <v>0</v>
      </c>
      <c r="I116" s="169" t="e">
        <f t="shared" ca="1" si="21"/>
        <v>#VALUE!</v>
      </c>
      <c r="J116" s="169">
        <f t="shared" si="34"/>
        <v>0</v>
      </c>
      <c r="K116" s="170">
        <f t="shared" si="34"/>
        <v>0</v>
      </c>
      <c r="L116" s="169">
        <f t="shared" si="34"/>
        <v>0</v>
      </c>
      <c r="M116" s="169">
        <f t="shared" si="34"/>
        <v>0</v>
      </c>
      <c r="N116" s="169" t="e">
        <f t="shared" ca="1" si="22"/>
        <v>#VALUE!</v>
      </c>
      <c r="O116" s="171" t="str">
        <f t="shared" si="23"/>
        <v/>
      </c>
      <c r="P116" s="171" t="str">
        <f t="shared" ca="1" si="24"/>
        <v/>
      </c>
      <c r="Q116" s="170">
        <f t="shared" ca="1" si="25"/>
        <v>0</v>
      </c>
      <c r="R116" s="170">
        <f t="shared" ca="1" si="26"/>
        <v>0</v>
      </c>
      <c r="S116" s="171" t="b">
        <f t="shared" si="27"/>
        <v>0</v>
      </c>
      <c r="T116" s="171" t="b">
        <f t="shared" ca="1" si="28"/>
        <v>0</v>
      </c>
      <c r="U116" s="172"/>
    </row>
    <row r="117" spans="1:21" hidden="1">
      <c r="A117" s="143">
        <v>228</v>
      </c>
      <c r="B117" s="167">
        <f t="shared" si="33"/>
        <v>0</v>
      </c>
      <c r="C117" s="167">
        <f t="shared" si="33"/>
        <v>0</v>
      </c>
      <c r="D117" s="167">
        <f t="shared" si="33"/>
        <v>0</v>
      </c>
      <c r="E117" s="168">
        <f t="shared" si="33"/>
        <v>0</v>
      </c>
      <c r="F117" s="167">
        <f t="shared" si="33"/>
        <v>0</v>
      </c>
      <c r="G117" s="168">
        <f t="shared" si="33"/>
        <v>0</v>
      </c>
      <c r="H117" s="169">
        <f t="shared" si="33"/>
        <v>0</v>
      </c>
      <c r="I117" s="169" t="e">
        <f t="shared" ca="1" si="21"/>
        <v>#VALUE!</v>
      </c>
      <c r="J117" s="169">
        <f t="shared" si="34"/>
        <v>0</v>
      </c>
      <c r="K117" s="170">
        <f t="shared" si="34"/>
        <v>0</v>
      </c>
      <c r="L117" s="169">
        <f t="shared" si="34"/>
        <v>0</v>
      </c>
      <c r="M117" s="169">
        <f t="shared" si="34"/>
        <v>0</v>
      </c>
      <c r="N117" s="169" t="e">
        <f t="shared" ca="1" si="22"/>
        <v>#VALUE!</v>
      </c>
      <c r="O117" s="171" t="str">
        <f t="shared" si="23"/>
        <v/>
      </c>
      <c r="P117" s="171" t="str">
        <f t="shared" ca="1" si="24"/>
        <v/>
      </c>
      <c r="Q117" s="170">
        <f t="shared" ca="1" si="25"/>
        <v>0</v>
      </c>
      <c r="R117" s="170">
        <f t="shared" ca="1" si="26"/>
        <v>0</v>
      </c>
      <c r="S117" s="171" t="b">
        <f t="shared" si="27"/>
        <v>0</v>
      </c>
      <c r="T117" s="171" t="b">
        <f t="shared" ca="1" si="28"/>
        <v>0</v>
      </c>
      <c r="U117" s="172"/>
    </row>
    <row r="118" spans="1:21" hidden="1">
      <c r="A118" s="143">
        <v>245</v>
      </c>
      <c r="B118" s="167">
        <f t="shared" si="33"/>
        <v>0</v>
      </c>
      <c r="C118" s="167">
        <f t="shared" si="33"/>
        <v>0</v>
      </c>
      <c r="D118" s="167">
        <f t="shared" si="33"/>
        <v>0</v>
      </c>
      <c r="E118" s="168">
        <f t="shared" si="33"/>
        <v>0</v>
      </c>
      <c r="F118" s="167">
        <f t="shared" si="33"/>
        <v>0</v>
      </c>
      <c r="G118" s="168">
        <f t="shared" si="33"/>
        <v>0</v>
      </c>
      <c r="H118" s="169">
        <f t="shared" si="33"/>
        <v>0</v>
      </c>
      <c r="I118" s="169" t="e">
        <f t="shared" ca="1" si="21"/>
        <v>#VALUE!</v>
      </c>
      <c r="J118" s="169">
        <f t="shared" si="34"/>
        <v>0</v>
      </c>
      <c r="K118" s="170">
        <f t="shared" si="34"/>
        <v>0</v>
      </c>
      <c r="L118" s="169">
        <f t="shared" si="34"/>
        <v>0</v>
      </c>
      <c r="M118" s="169">
        <f t="shared" si="34"/>
        <v>0</v>
      </c>
      <c r="N118" s="169" t="e">
        <f t="shared" ca="1" si="22"/>
        <v>#VALUE!</v>
      </c>
      <c r="O118" s="171" t="str">
        <f t="shared" si="23"/>
        <v/>
      </c>
      <c r="P118" s="171" t="str">
        <f t="shared" ca="1" si="24"/>
        <v/>
      </c>
      <c r="Q118" s="170">
        <f t="shared" ca="1" si="25"/>
        <v>0</v>
      </c>
      <c r="R118" s="170">
        <f t="shared" ca="1" si="26"/>
        <v>0</v>
      </c>
      <c r="S118" s="171" t="b">
        <f t="shared" si="27"/>
        <v>0</v>
      </c>
      <c r="T118" s="171" t="b">
        <f t="shared" ca="1" si="28"/>
        <v>0</v>
      </c>
      <c r="U118" s="172"/>
    </row>
    <row r="119" spans="1:21" hidden="1">
      <c r="A119" s="143">
        <v>255</v>
      </c>
      <c r="B119" s="167">
        <f t="shared" si="33"/>
        <v>0</v>
      </c>
      <c r="C119" s="167">
        <f t="shared" si="33"/>
        <v>0</v>
      </c>
      <c r="D119" s="167">
        <f t="shared" si="33"/>
        <v>0</v>
      </c>
      <c r="E119" s="168">
        <f t="shared" si="33"/>
        <v>0</v>
      </c>
      <c r="F119" s="167">
        <f t="shared" si="33"/>
        <v>0</v>
      </c>
      <c r="G119" s="168">
        <f t="shared" si="33"/>
        <v>0</v>
      </c>
      <c r="H119" s="169">
        <f t="shared" si="33"/>
        <v>0</v>
      </c>
      <c r="I119" s="169" t="e">
        <f t="shared" ca="1" si="21"/>
        <v>#VALUE!</v>
      </c>
      <c r="J119" s="169">
        <f t="shared" si="34"/>
        <v>0</v>
      </c>
      <c r="K119" s="170">
        <f t="shared" si="34"/>
        <v>0</v>
      </c>
      <c r="L119" s="169">
        <f t="shared" si="34"/>
        <v>0</v>
      </c>
      <c r="M119" s="169">
        <f t="shared" si="34"/>
        <v>0</v>
      </c>
      <c r="N119" s="169" t="e">
        <f t="shared" ca="1" si="22"/>
        <v>#VALUE!</v>
      </c>
      <c r="O119" s="171" t="str">
        <f t="shared" si="23"/>
        <v/>
      </c>
      <c r="P119" s="171" t="str">
        <f t="shared" ca="1" si="24"/>
        <v/>
      </c>
      <c r="Q119" s="170">
        <f t="shared" ca="1" si="25"/>
        <v>0</v>
      </c>
      <c r="R119" s="170">
        <f t="shared" ca="1" si="26"/>
        <v>0</v>
      </c>
      <c r="S119" s="171" t="b">
        <f t="shared" si="27"/>
        <v>0</v>
      </c>
      <c r="T119" s="171" t="b">
        <f t="shared" ca="1" si="28"/>
        <v>0</v>
      </c>
      <c r="U119" s="172"/>
    </row>
    <row r="120" spans="1:21" hidden="1">
      <c r="A120" s="143">
        <v>269</v>
      </c>
      <c r="B120" s="167">
        <f t="shared" si="33"/>
        <v>0</v>
      </c>
      <c r="C120" s="167">
        <f t="shared" si="33"/>
        <v>0</v>
      </c>
      <c r="D120" s="167">
        <f t="shared" si="33"/>
        <v>0</v>
      </c>
      <c r="E120" s="168">
        <f t="shared" si="33"/>
        <v>0</v>
      </c>
      <c r="F120" s="167">
        <f t="shared" si="33"/>
        <v>0</v>
      </c>
      <c r="G120" s="168">
        <f t="shared" si="33"/>
        <v>0</v>
      </c>
      <c r="H120" s="169">
        <f t="shared" si="33"/>
        <v>0</v>
      </c>
      <c r="I120" s="169" t="e">
        <f t="shared" ca="1" si="21"/>
        <v>#VALUE!</v>
      </c>
      <c r="J120" s="169">
        <f t="shared" si="34"/>
        <v>0</v>
      </c>
      <c r="K120" s="170">
        <f t="shared" si="34"/>
        <v>0</v>
      </c>
      <c r="L120" s="169">
        <f t="shared" si="34"/>
        <v>0</v>
      </c>
      <c r="M120" s="169">
        <f t="shared" si="34"/>
        <v>0</v>
      </c>
      <c r="N120" s="169" t="e">
        <f t="shared" ca="1" si="22"/>
        <v>#VALUE!</v>
      </c>
      <c r="O120" s="171" t="str">
        <f t="shared" si="23"/>
        <v/>
      </c>
      <c r="P120" s="171" t="str">
        <f t="shared" ca="1" si="24"/>
        <v/>
      </c>
      <c r="Q120" s="170">
        <f t="shared" ca="1" si="25"/>
        <v>0</v>
      </c>
      <c r="R120" s="170">
        <f t="shared" ca="1" si="26"/>
        <v>0</v>
      </c>
      <c r="S120" s="171" t="b">
        <f t="shared" si="27"/>
        <v>0</v>
      </c>
      <c r="T120" s="171" t="b">
        <f t="shared" ca="1" si="28"/>
        <v>0</v>
      </c>
      <c r="U120" s="172"/>
    </row>
    <row r="121" spans="1:21" hidden="1">
      <c r="A121" s="143">
        <v>283</v>
      </c>
      <c r="B121" s="167">
        <f t="shared" ref="B121:H130" si="35">IF($A121&lt;=$A$8,INDEX(Import.PO,$A121,B$8),0)</f>
        <v>0</v>
      </c>
      <c r="C121" s="167">
        <f t="shared" si="35"/>
        <v>0</v>
      </c>
      <c r="D121" s="167">
        <f t="shared" si="35"/>
        <v>0</v>
      </c>
      <c r="E121" s="168">
        <f t="shared" si="35"/>
        <v>0</v>
      </c>
      <c r="F121" s="167">
        <f t="shared" si="35"/>
        <v>0</v>
      </c>
      <c r="G121" s="168">
        <f t="shared" si="35"/>
        <v>0</v>
      </c>
      <c r="H121" s="169">
        <f t="shared" si="35"/>
        <v>0</v>
      </c>
      <c r="I121" s="169" t="e">
        <f t="shared" ca="1" si="21"/>
        <v>#VALUE!</v>
      </c>
      <c r="J121" s="169">
        <f t="shared" si="34"/>
        <v>0</v>
      </c>
      <c r="K121" s="170">
        <f t="shared" si="34"/>
        <v>0</v>
      </c>
      <c r="L121" s="169">
        <f t="shared" si="34"/>
        <v>0</v>
      </c>
      <c r="M121" s="169">
        <f t="shared" si="34"/>
        <v>0</v>
      </c>
      <c r="N121" s="169" t="e">
        <f t="shared" ca="1" si="22"/>
        <v>#VALUE!</v>
      </c>
      <c r="O121" s="171" t="str">
        <f t="shared" si="23"/>
        <v/>
      </c>
      <c r="P121" s="171" t="str">
        <f t="shared" ca="1" si="24"/>
        <v/>
      </c>
      <c r="Q121" s="170">
        <f t="shared" ca="1" si="25"/>
        <v>0</v>
      </c>
      <c r="R121" s="170">
        <f t="shared" ca="1" si="26"/>
        <v>0</v>
      </c>
      <c r="S121" s="171" t="b">
        <f t="shared" si="27"/>
        <v>0</v>
      </c>
      <c r="T121" s="171" t="b">
        <f t="shared" ca="1" si="28"/>
        <v>0</v>
      </c>
      <c r="U121" s="172"/>
    </row>
    <row r="122" spans="1:21" hidden="1">
      <c r="A122" s="143">
        <v>305</v>
      </c>
      <c r="B122" s="167">
        <f t="shared" si="35"/>
        <v>0</v>
      </c>
      <c r="C122" s="167">
        <f t="shared" si="35"/>
        <v>0</v>
      </c>
      <c r="D122" s="167">
        <f t="shared" si="35"/>
        <v>0</v>
      </c>
      <c r="E122" s="168">
        <f t="shared" si="35"/>
        <v>0</v>
      </c>
      <c r="F122" s="167">
        <f t="shared" si="35"/>
        <v>0</v>
      </c>
      <c r="G122" s="168">
        <f t="shared" si="35"/>
        <v>0</v>
      </c>
      <c r="H122" s="169">
        <f t="shared" si="35"/>
        <v>0</v>
      </c>
      <c r="I122" s="169" t="e">
        <f t="shared" ca="1" si="21"/>
        <v>#VALUE!</v>
      </c>
      <c r="J122" s="169">
        <f t="shared" si="34"/>
        <v>0</v>
      </c>
      <c r="K122" s="170">
        <f t="shared" si="34"/>
        <v>0</v>
      </c>
      <c r="L122" s="169">
        <f t="shared" si="34"/>
        <v>0</v>
      </c>
      <c r="M122" s="169">
        <f t="shared" si="34"/>
        <v>0</v>
      </c>
      <c r="N122" s="169" t="e">
        <f t="shared" ca="1" si="22"/>
        <v>#VALUE!</v>
      </c>
      <c r="O122" s="171" t="str">
        <f t="shared" si="23"/>
        <v/>
      </c>
      <c r="P122" s="171" t="str">
        <f t="shared" ca="1" si="24"/>
        <v/>
      </c>
      <c r="Q122" s="170">
        <f t="shared" ca="1" si="25"/>
        <v>0</v>
      </c>
      <c r="R122" s="170">
        <f t="shared" ca="1" si="26"/>
        <v>0</v>
      </c>
      <c r="S122" s="171" t="b">
        <f t="shared" si="27"/>
        <v>0</v>
      </c>
      <c r="T122" s="171" t="b">
        <f t="shared" ca="1" si="28"/>
        <v>0</v>
      </c>
      <c r="U122" s="172"/>
    </row>
    <row r="123" spans="1:21" hidden="1">
      <c r="A123" s="143">
        <v>319</v>
      </c>
      <c r="B123" s="167">
        <f t="shared" si="35"/>
        <v>0</v>
      </c>
      <c r="C123" s="167">
        <f t="shared" si="35"/>
        <v>0</v>
      </c>
      <c r="D123" s="167">
        <f t="shared" si="35"/>
        <v>0</v>
      </c>
      <c r="E123" s="168">
        <f t="shared" si="35"/>
        <v>0</v>
      </c>
      <c r="F123" s="167">
        <f t="shared" si="35"/>
        <v>0</v>
      </c>
      <c r="G123" s="168">
        <f t="shared" si="35"/>
        <v>0</v>
      </c>
      <c r="H123" s="169">
        <f t="shared" si="35"/>
        <v>0</v>
      </c>
      <c r="I123" s="169" t="e">
        <f t="shared" ca="1" si="21"/>
        <v>#VALUE!</v>
      </c>
      <c r="J123" s="169">
        <f t="shared" si="34"/>
        <v>0</v>
      </c>
      <c r="K123" s="170">
        <f t="shared" si="34"/>
        <v>0</v>
      </c>
      <c r="L123" s="169">
        <f t="shared" si="34"/>
        <v>0</v>
      </c>
      <c r="M123" s="169">
        <f t="shared" si="34"/>
        <v>0</v>
      </c>
      <c r="N123" s="169" t="e">
        <f t="shared" ca="1" si="22"/>
        <v>#VALUE!</v>
      </c>
      <c r="O123" s="171" t="str">
        <f t="shared" si="23"/>
        <v/>
      </c>
      <c r="P123" s="171" t="str">
        <f t="shared" ca="1" si="24"/>
        <v/>
      </c>
      <c r="Q123" s="170">
        <f t="shared" ca="1" si="25"/>
        <v>0</v>
      </c>
      <c r="R123" s="170">
        <f t="shared" ca="1" si="26"/>
        <v>0</v>
      </c>
      <c r="S123" s="171" t="b">
        <f t="shared" si="27"/>
        <v>0</v>
      </c>
      <c r="T123" s="171" t="b">
        <f t="shared" ca="1" si="28"/>
        <v>0</v>
      </c>
      <c r="U123" s="172"/>
    </row>
    <row r="124" spans="1:21" hidden="1">
      <c r="A124" s="143">
        <v>333</v>
      </c>
      <c r="B124" s="167">
        <f t="shared" si="35"/>
        <v>0</v>
      </c>
      <c r="C124" s="167">
        <f t="shared" si="35"/>
        <v>0</v>
      </c>
      <c r="D124" s="167">
        <f t="shared" si="35"/>
        <v>0</v>
      </c>
      <c r="E124" s="168">
        <f t="shared" si="35"/>
        <v>0</v>
      </c>
      <c r="F124" s="167">
        <f t="shared" si="35"/>
        <v>0</v>
      </c>
      <c r="G124" s="168">
        <f t="shared" si="35"/>
        <v>0</v>
      </c>
      <c r="H124" s="169">
        <f t="shared" si="35"/>
        <v>0</v>
      </c>
      <c r="I124" s="169" t="e">
        <f t="shared" ca="1" si="21"/>
        <v>#VALUE!</v>
      </c>
      <c r="J124" s="169">
        <f t="shared" si="34"/>
        <v>0</v>
      </c>
      <c r="K124" s="170">
        <f t="shared" si="34"/>
        <v>0</v>
      </c>
      <c r="L124" s="169">
        <f t="shared" si="34"/>
        <v>0</v>
      </c>
      <c r="M124" s="169">
        <f t="shared" si="34"/>
        <v>0</v>
      </c>
      <c r="N124" s="169" t="e">
        <f t="shared" ca="1" si="22"/>
        <v>#VALUE!</v>
      </c>
      <c r="O124" s="171" t="str">
        <f t="shared" si="23"/>
        <v/>
      </c>
      <c r="P124" s="171" t="str">
        <f t="shared" ca="1" si="24"/>
        <v/>
      </c>
      <c r="Q124" s="170">
        <f t="shared" ca="1" si="25"/>
        <v>0</v>
      </c>
      <c r="R124" s="170">
        <f t="shared" ca="1" si="26"/>
        <v>0</v>
      </c>
      <c r="S124" s="171" t="b">
        <f t="shared" si="27"/>
        <v>0</v>
      </c>
      <c r="T124" s="171" t="b">
        <f t="shared" ca="1" si="28"/>
        <v>0</v>
      </c>
      <c r="U124" s="172"/>
    </row>
    <row r="125" spans="1:21" hidden="1">
      <c r="A125" s="143">
        <v>343</v>
      </c>
      <c r="B125" s="167">
        <f t="shared" si="35"/>
        <v>0</v>
      </c>
      <c r="C125" s="167">
        <f t="shared" si="35"/>
        <v>0</v>
      </c>
      <c r="D125" s="167">
        <f t="shared" si="35"/>
        <v>0</v>
      </c>
      <c r="E125" s="168">
        <f t="shared" si="35"/>
        <v>0</v>
      </c>
      <c r="F125" s="167">
        <f t="shared" si="35"/>
        <v>0</v>
      </c>
      <c r="G125" s="168">
        <f t="shared" si="35"/>
        <v>0</v>
      </c>
      <c r="H125" s="169">
        <f t="shared" si="35"/>
        <v>0</v>
      </c>
      <c r="I125" s="169" t="e">
        <f t="shared" ca="1" si="21"/>
        <v>#VALUE!</v>
      </c>
      <c r="J125" s="169">
        <f t="shared" si="34"/>
        <v>0</v>
      </c>
      <c r="K125" s="170">
        <f t="shared" si="34"/>
        <v>0</v>
      </c>
      <c r="L125" s="169">
        <f t="shared" si="34"/>
        <v>0</v>
      </c>
      <c r="M125" s="169">
        <f t="shared" si="34"/>
        <v>0</v>
      </c>
      <c r="N125" s="169" t="e">
        <f t="shared" ca="1" si="22"/>
        <v>#VALUE!</v>
      </c>
      <c r="O125" s="171" t="str">
        <f t="shared" si="23"/>
        <v/>
      </c>
      <c r="P125" s="171" t="str">
        <f t="shared" ca="1" si="24"/>
        <v/>
      </c>
      <c r="Q125" s="170">
        <f t="shared" ca="1" si="25"/>
        <v>0</v>
      </c>
      <c r="R125" s="170">
        <f t="shared" ca="1" si="26"/>
        <v>0</v>
      </c>
      <c r="S125" s="171" t="b">
        <f t="shared" si="27"/>
        <v>0</v>
      </c>
      <c r="T125" s="171" t="b">
        <f t="shared" ca="1" si="28"/>
        <v>0</v>
      </c>
      <c r="U125" s="172"/>
    </row>
    <row r="126" spans="1:21" hidden="1">
      <c r="A126" s="143">
        <v>357</v>
      </c>
      <c r="B126" s="167">
        <f t="shared" si="35"/>
        <v>0</v>
      </c>
      <c r="C126" s="167">
        <f t="shared" si="35"/>
        <v>0</v>
      </c>
      <c r="D126" s="167">
        <f t="shared" si="35"/>
        <v>0</v>
      </c>
      <c r="E126" s="168">
        <f t="shared" si="35"/>
        <v>0</v>
      </c>
      <c r="F126" s="167">
        <f t="shared" si="35"/>
        <v>0</v>
      </c>
      <c r="G126" s="168">
        <f t="shared" si="35"/>
        <v>0</v>
      </c>
      <c r="H126" s="169">
        <f t="shared" si="35"/>
        <v>0</v>
      </c>
      <c r="I126" s="169" t="e">
        <f t="shared" ca="1" si="21"/>
        <v>#VALUE!</v>
      </c>
      <c r="J126" s="169">
        <f t="shared" si="34"/>
        <v>0</v>
      </c>
      <c r="K126" s="170">
        <f t="shared" si="34"/>
        <v>0</v>
      </c>
      <c r="L126" s="169">
        <f t="shared" si="34"/>
        <v>0</v>
      </c>
      <c r="M126" s="169">
        <f t="shared" si="34"/>
        <v>0</v>
      </c>
      <c r="N126" s="169" t="e">
        <f t="shared" ca="1" si="22"/>
        <v>#VALUE!</v>
      </c>
      <c r="O126" s="171" t="str">
        <f t="shared" si="23"/>
        <v/>
      </c>
      <c r="P126" s="171" t="str">
        <f t="shared" ca="1" si="24"/>
        <v/>
      </c>
      <c r="Q126" s="170">
        <f t="shared" ca="1" si="25"/>
        <v>0</v>
      </c>
      <c r="R126" s="170">
        <f t="shared" ca="1" si="26"/>
        <v>0</v>
      </c>
      <c r="S126" s="171" t="b">
        <f t="shared" si="27"/>
        <v>0</v>
      </c>
      <c r="T126" s="171" t="b">
        <f t="shared" ca="1" si="28"/>
        <v>0</v>
      </c>
      <c r="U126" s="172"/>
    </row>
    <row r="127" spans="1:21" hidden="1">
      <c r="A127" s="143">
        <v>371</v>
      </c>
      <c r="B127" s="167">
        <f t="shared" si="35"/>
        <v>0</v>
      </c>
      <c r="C127" s="167">
        <f t="shared" si="35"/>
        <v>0</v>
      </c>
      <c r="D127" s="167">
        <f t="shared" si="35"/>
        <v>0</v>
      </c>
      <c r="E127" s="168">
        <f t="shared" si="35"/>
        <v>0</v>
      </c>
      <c r="F127" s="167">
        <f t="shared" si="35"/>
        <v>0</v>
      </c>
      <c r="G127" s="168">
        <f t="shared" si="35"/>
        <v>0</v>
      </c>
      <c r="H127" s="169">
        <f t="shared" si="35"/>
        <v>0</v>
      </c>
      <c r="I127" s="169" t="e">
        <f t="shared" ca="1" si="21"/>
        <v>#VALUE!</v>
      </c>
      <c r="J127" s="169">
        <f t="shared" si="34"/>
        <v>0</v>
      </c>
      <c r="K127" s="170">
        <f t="shared" si="34"/>
        <v>0</v>
      </c>
      <c r="L127" s="169">
        <f t="shared" si="34"/>
        <v>0</v>
      </c>
      <c r="M127" s="169">
        <f t="shared" si="34"/>
        <v>0</v>
      </c>
      <c r="N127" s="169" t="e">
        <f t="shared" ca="1" si="22"/>
        <v>#VALUE!</v>
      </c>
      <c r="O127" s="171" t="str">
        <f t="shared" si="23"/>
        <v/>
      </c>
      <c r="P127" s="171" t="str">
        <f t="shared" ca="1" si="24"/>
        <v/>
      </c>
      <c r="Q127" s="170">
        <f t="shared" ca="1" si="25"/>
        <v>0</v>
      </c>
      <c r="R127" s="170">
        <f t="shared" ca="1" si="26"/>
        <v>0</v>
      </c>
      <c r="S127" s="171" t="b">
        <f t="shared" si="27"/>
        <v>0</v>
      </c>
      <c r="T127" s="171" t="b">
        <f t="shared" ca="1" si="28"/>
        <v>0</v>
      </c>
      <c r="U127" s="172"/>
    </row>
    <row r="128" spans="1:21" hidden="1">
      <c r="A128" s="143">
        <v>385</v>
      </c>
      <c r="B128" s="167">
        <f t="shared" si="35"/>
        <v>0</v>
      </c>
      <c r="C128" s="167">
        <f t="shared" si="35"/>
        <v>0</v>
      </c>
      <c r="D128" s="167">
        <f t="shared" si="35"/>
        <v>0</v>
      </c>
      <c r="E128" s="168">
        <f t="shared" si="35"/>
        <v>0</v>
      </c>
      <c r="F128" s="167">
        <f t="shared" si="35"/>
        <v>0</v>
      </c>
      <c r="G128" s="168">
        <f t="shared" si="35"/>
        <v>0</v>
      </c>
      <c r="H128" s="169">
        <f t="shared" si="35"/>
        <v>0</v>
      </c>
      <c r="I128" s="169" t="e">
        <f t="shared" ca="1" si="21"/>
        <v>#VALUE!</v>
      </c>
      <c r="J128" s="169">
        <f t="shared" si="34"/>
        <v>0</v>
      </c>
      <c r="K128" s="170">
        <f t="shared" si="34"/>
        <v>0</v>
      </c>
      <c r="L128" s="169">
        <f t="shared" si="34"/>
        <v>0</v>
      </c>
      <c r="M128" s="169">
        <f t="shared" si="34"/>
        <v>0</v>
      </c>
      <c r="N128" s="169" t="e">
        <f t="shared" ca="1" si="22"/>
        <v>#VALUE!</v>
      </c>
      <c r="O128" s="171" t="str">
        <f t="shared" si="23"/>
        <v/>
      </c>
      <c r="P128" s="171" t="str">
        <f t="shared" ca="1" si="24"/>
        <v/>
      </c>
      <c r="Q128" s="170">
        <f t="shared" ca="1" si="25"/>
        <v>0</v>
      </c>
      <c r="R128" s="170">
        <f t="shared" ca="1" si="26"/>
        <v>0</v>
      </c>
      <c r="S128" s="171" t="b">
        <f t="shared" si="27"/>
        <v>0</v>
      </c>
      <c r="T128" s="171" t="b">
        <f t="shared" ca="1" si="28"/>
        <v>0</v>
      </c>
      <c r="U128" s="172"/>
    </row>
    <row r="129" spans="1:21" hidden="1">
      <c r="A129" s="143">
        <v>399</v>
      </c>
      <c r="B129" s="167">
        <f t="shared" si="35"/>
        <v>0</v>
      </c>
      <c r="C129" s="167">
        <f t="shared" si="35"/>
        <v>0</v>
      </c>
      <c r="D129" s="167">
        <f t="shared" si="35"/>
        <v>0</v>
      </c>
      <c r="E129" s="168">
        <f t="shared" si="35"/>
        <v>0</v>
      </c>
      <c r="F129" s="167">
        <f t="shared" si="35"/>
        <v>0</v>
      </c>
      <c r="G129" s="168">
        <f t="shared" si="35"/>
        <v>0</v>
      </c>
      <c r="H129" s="169">
        <f t="shared" si="35"/>
        <v>0</v>
      </c>
      <c r="I129" s="169" t="e">
        <f t="shared" ca="1" si="21"/>
        <v>#VALUE!</v>
      </c>
      <c r="J129" s="169">
        <f t="shared" si="34"/>
        <v>0</v>
      </c>
      <c r="K129" s="170">
        <f t="shared" si="34"/>
        <v>0</v>
      </c>
      <c r="L129" s="169">
        <f t="shared" si="34"/>
        <v>0</v>
      </c>
      <c r="M129" s="169">
        <f t="shared" si="34"/>
        <v>0</v>
      </c>
      <c r="N129" s="169" t="e">
        <f t="shared" ca="1" si="22"/>
        <v>#VALUE!</v>
      </c>
      <c r="O129" s="171" t="str">
        <f t="shared" si="23"/>
        <v/>
      </c>
      <c r="P129" s="171" t="str">
        <f t="shared" ca="1" si="24"/>
        <v/>
      </c>
      <c r="Q129" s="170">
        <f t="shared" ca="1" si="25"/>
        <v>0</v>
      </c>
      <c r="R129" s="170">
        <f t="shared" ca="1" si="26"/>
        <v>0</v>
      </c>
      <c r="S129" s="171" t="b">
        <f t="shared" si="27"/>
        <v>0</v>
      </c>
      <c r="T129" s="171" t="b">
        <f t="shared" ca="1" si="28"/>
        <v>0</v>
      </c>
      <c r="U129" s="172"/>
    </row>
    <row r="130" spans="1:21" hidden="1">
      <c r="A130" s="143">
        <v>413</v>
      </c>
      <c r="B130" s="167">
        <f t="shared" si="35"/>
        <v>0</v>
      </c>
      <c r="C130" s="167">
        <f t="shared" si="35"/>
        <v>0</v>
      </c>
      <c r="D130" s="167">
        <f t="shared" si="35"/>
        <v>0</v>
      </c>
      <c r="E130" s="168">
        <f t="shared" si="35"/>
        <v>0</v>
      </c>
      <c r="F130" s="167">
        <f t="shared" si="35"/>
        <v>0</v>
      </c>
      <c r="G130" s="168">
        <f t="shared" si="35"/>
        <v>0</v>
      </c>
      <c r="H130" s="169">
        <f t="shared" si="35"/>
        <v>0</v>
      </c>
      <c r="I130" s="169" t="e">
        <f t="shared" ca="1" si="21"/>
        <v>#VALUE!</v>
      </c>
      <c r="J130" s="169">
        <f t="shared" si="34"/>
        <v>0</v>
      </c>
      <c r="K130" s="170">
        <f t="shared" si="34"/>
        <v>0</v>
      </c>
      <c r="L130" s="169">
        <f t="shared" si="34"/>
        <v>0</v>
      </c>
      <c r="M130" s="169">
        <f t="shared" si="34"/>
        <v>0</v>
      </c>
      <c r="N130" s="169" t="e">
        <f t="shared" ca="1" si="22"/>
        <v>#VALUE!</v>
      </c>
      <c r="O130" s="171" t="str">
        <f t="shared" si="23"/>
        <v/>
      </c>
      <c r="P130" s="171" t="str">
        <f t="shared" ca="1" si="24"/>
        <v/>
      </c>
      <c r="Q130" s="170">
        <f t="shared" ca="1" si="25"/>
        <v>0</v>
      </c>
      <c r="R130" s="170">
        <f t="shared" ca="1" si="26"/>
        <v>0</v>
      </c>
      <c r="S130" s="171" t="b">
        <f t="shared" si="27"/>
        <v>0</v>
      </c>
      <c r="T130" s="171" t="b">
        <f t="shared" ca="1" si="28"/>
        <v>0</v>
      </c>
      <c r="U130" s="172"/>
    </row>
    <row r="131" spans="1:21" hidden="1">
      <c r="A131" s="143">
        <v>431</v>
      </c>
      <c r="B131" s="167">
        <f t="shared" ref="B131:H140" si="36">IF($A131&lt;=$A$8,INDEX(Import.PO,$A131,B$8),0)</f>
        <v>0</v>
      </c>
      <c r="C131" s="167">
        <f t="shared" si="36"/>
        <v>0</v>
      </c>
      <c r="D131" s="167">
        <f t="shared" si="36"/>
        <v>0</v>
      </c>
      <c r="E131" s="168">
        <f t="shared" si="36"/>
        <v>0</v>
      </c>
      <c r="F131" s="167">
        <f t="shared" si="36"/>
        <v>0</v>
      </c>
      <c r="G131" s="168">
        <f t="shared" si="36"/>
        <v>0</v>
      </c>
      <c r="H131" s="169">
        <f t="shared" si="36"/>
        <v>0</v>
      </c>
      <c r="I131" s="169" t="e">
        <f t="shared" ca="1" si="21"/>
        <v>#VALUE!</v>
      </c>
      <c r="J131" s="169">
        <f t="shared" ref="J131:M150" si="37">IF($A131&lt;=$A$8,INDEX(Import.PO,$A131,J$8),0)</f>
        <v>0</v>
      </c>
      <c r="K131" s="170">
        <f t="shared" si="37"/>
        <v>0</v>
      </c>
      <c r="L131" s="169">
        <f t="shared" si="37"/>
        <v>0</v>
      </c>
      <c r="M131" s="169">
        <f t="shared" si="37"/>
        <v>0</v>
      </c>
      <c r="N131" s="169" t="e">
        <f t="shared" ca="1" si="22"/>
        <v>#VALUE!</v>
      </c>
      <c r="O131" s="171" t="str">
        <f t="shared" si="23"/>
        <v/>
      </c>
      <c r="P131" s="171" t="str">
        <f t="shared" ca="1" si="24"/>
        <v/>
      </c>
      <c r="Q131" s="170">
        <f t="shared" ca="1" si="25"/>
        <v>0</v>
      </c>
      <c r="R131" s="170">
        <f t="shared" ca="1" si="26"/>
        <v>0</v>
      </c>
      <c r="S131" s="171" t="b">
        <f t="shared" si="27"/>
        <v>0</v>
      </c>
      <c r="T131" s="171" t="b">
        <f t="shared" ca="1" si="28"/>
        <v>0</v>
      </c>
      <c r="U131" s="172"/>
    </row>
    <row r="132" spans="1:21" hidden="1">
      <c r="A132" s="143">
        <v>442</v>
      </c>
      <c r="B132" s="167">
        <f t="shared" si="36"/>
        <v>0</v>
      </c>
      <c r="C132" s="167">
        <f t="shared" si="36"/>
        <v>0</v>
      </c>
      <c r="D132" s="167">
        <f t="shared" si="36"/>
        <v>0</v>
      </c>
      <c r="E132" s="168">
        <f t="shared" si="36"/>
        <v>0</v>
      </c>
      <c r="F132" s="167">
        <f t="shared" si="36"/>
        <v>0</v>
      </c>
      <c r="G132" s="168">
        <f t="shared" si="36"/>
        <v>0</v>
      </c>
      <c r="H132" s="169">
        <f t="shared" si="36"/>
        <v>0</v>
      </c>
      <c r="I132" s="169" t="e">
        <f t="shared" ca="1" si="21"/>
        <v>#VALUE!</v>
      </c>
      <c r="J132" s="169">
        <f t="shared" si="37"/>
        <v>0</v>
      </c>
      <c r="K132" s="170">
        <f t="shared" si="37"/>
        <v>0</v>
      </c>
      <c r="L132" s="169">
        <f t="shared" si="37"/>
        <v>0</v>
      </c>
      <c r="M132" s="169">
        <f t="shared" si="37"/>
        <v>0</v>
      </c>
      <c r="N132" s="169" t="e">
        <f t="shared" ca="1" si="22"/>
        <v>#VALUE!</v>
      </c>
      <c r="O132" s="171" t="str">
        <f t="shared" si="23"/>
        <v/>
      </c>
      <c r="P132" s="171" t="str">
        <f t="shared" ca="1" si="24"/>
        <v/>
      </c>
      <c r="Q132" s="170">
        <f t="shared" ca="1" si="25"/>
        <v>0</v>
      </c>
      <c r="R132" s="170">
        <f t="shared" ca="1" si="26"/>
        <v>0</v>
      </c>
      <c r="S132" s="171" t="b">
        <f t="shared" si="27"/>
        <v>0</v>
      </c>
      <c r="T132" s="171" t="b">
        <f t="shared" ca="1" si="28"/>
        <v>0</v>
      </c>
      <c r="U132" s="172"/>
    </row>
    <row r="133" spans="1:21" hidden="1">
      <c r="A133" s="143">
        <v>464</v>
      </c>
      <c r="B133" s="167">
        <f t="shared" si="36"/>
        <v>0</v>
      </c>
      <c r="C133" s="167">
        <f t="shared" si="36"/>
        <v>0</v>
      </c>
      <c r="D133" s="167">
        <f t="shared" si="36"/>
        <v>0</v>
      </c>
      <c r="E133" s="168">
        <f t="shared" si="36"/>
        <v>0</v>
      </c>
      <c r="F133" s="167">
        <f t="shared" si="36"/>
        <v>0</v>
      </c>
      <c r="G133" s="168">
        <f t="shared" si="36"/>
        <v>0</v>
      </c>
      <c r="H133" s="169">
        <f t="shared" si="36"/>
        <v>0</v>
      </c>
      <c r="I133" s="169" t="e">
        <f t="shared" ca="1" si="21"/>
        <v>#VALUE!</v>
      </c>
      <c r="J133" s="169">
        <f t="shared" si="37"/>
        <v>0</v>
      </c>
      <c r="K133" s="170">
        <f t="shared" si="37"/>
        <v>0</v>
      </c>
      <c r="L133" s="169">
        <f t="shared" si="37"/>
        <v>0</v>
      </c>
      <c r="M133" s="169">
        <f t="shared" si="37"/>
        <v>0</v>
      </c>
      <c r="N133" s="169" t="e">
        <f t="shared" ca="1" si="22"/>
        <v>#VALUE!</v>
      </c>
      <c r="O133" s="171" t="str">
        <f t="shared" si="23"/>
        <v/>
      </c>
      <c r="P133" s="171" t="str">
        <f t="shared" ca="1" si="24"/>
        <v/>
      </c>
      <c r="Q133" s="170">
        <f t="shared" ca="1" si="25"/>
        <v>0</v>
      </c>
      <c r="R133" s="170">
        <f t="shared" ca="1" si="26"/>
        <v>0</v>
      </c>
      <c r="S133" s="171" t="b">
        <f t="shared" si="27"/>
        <v>0</v>
      </c>
      <c r="T133" s="171" t="b">
        <f t="shared" ca="1" si="28"/>
        <v>0</v>
      </c>
      <c r="U133" s="172"/>
    </row>
    <row r="134" spans="1:21" hidden="1">
      <c r="A134" s="143">
        <v>147</v>
      </c>
      <c r="B134" s="167">
        <f t="shared" si="36"/>
        <v>0</v>
      </c>
      <c r="C134" s="167">
        <f t="shared" si="36"/>
        <v>0</v>
      </c>
      <c r="D134" s="167">
        <f t="shared" si="36"/>
        <v>0</v>
      </c>
      <c r="E134" s="168">
        <f t="shared" si="36"/>
        <v>0</v>
      </c>
      <c r="F134" s="167">
        <f t="shared" si="36"/>
        <v>0</v>
      </c>
      <c r="G134" s="168">
        <f t="shared" si="36"/>
        <v>0</v>
      </c>
      <c r="H134" s="169">
        <f t="shared" si="36"/>
        <v>0</v>
      </c>
      <c r="I134" s="169" t="e">
        <f t="shared" ca="1" si="21"/>
        <v>#VALUE!</v>
      </c>
      <c r="J134" s="169">
        <f t="shared" si="37"/>
        <v>0</v>
      </c>
      <c r="K134" s="170">
        <f t="shared" si="37"/>
        <v>0</v>
      </c>
      <c r="L134" s="169">
        <f t="shared" si="37"/>
        <v>0</v>
      </c>
      <c r="M134" s="169">
        <f t="shared" si="37"/>
        <v>0</v>
      </c>
      <c r="N134" s="169" t="e">
        <f t="shared" ca="1" si="22"/>
        <v>#VALUE!</v>
      </c>
      <c r="O134" s="171" t="str">
        <f t="shared" si="23"/>
        <v/>
      </c>
      <c r="P134" s="171" t="str">
        <f t="shared" ca="1" si="24"/>
        <v/>
      </c>
      <c r="Q134" s="170">
        <f t="shared" ca="1" si="25"/>
        <v>0</v>
      </c>
      <c r="R134" s="170">
        <f t="shared" ca="1" si="26"/>
        <v>0</v>
      </c>
      <c r="S134" s="171" t="b">
        <f t="shared" si="27"/>
        <v>0</v>
      </c>
      <c r="T134" s="171" t="b">
        <f t="shared" ca="1" si="28"/>
        <v>0</v>
      </c>
      <c r="U134" s="172"/>
    </row>
    <row r="135" spans="1:21" hidden="1">
      <c r="A135" s="143">
        <v>217</v>
      </c>
      <c r="B135" s="167">
        <f t="shared" si="36"/>
        <v>0</v>
      </c>
      <c r="C135" s="167">
        <f t="shared" si="36"/>
        <v>0</v>
      </c>
      <c r="D135" s="167">
        <f t="shared" si="36"/>
        <v>0</v>
      </c>
      <c r="E135" s="168">
        <f t="shared" si="36"/>
        <v>0</v>
      </c>
      <c r="F135" s="167">
        <f t="shared" si="36"/>
        <v>0</v>
      </c>
      <c r="G135" s="168">
        <f t="shared" si="36"/>
        <v>0</v>
      </c>
      <c r="H135" s="169">
        <f t="shared" si="36"/>
        <v>0</v>
      </c>
      <c r="I135" s="169" t="e">
        <f t="shared" ca="1" si="21"/>
        <v>#VALUE!</v>
      </c>
      <c r="J135" s="169">
        <f t="shared" si="37"/>
        <v>0</v>
      </c>
      <c r="K135" s="170">
        <f t="shared" si="37"/>
        <v>0</v>
      </c>
      <c r="L135" s="169">
        <f t="shared" si="37"/>
        <v>0</v>
      </c>
      <c r="M135" s="169">
        <f t="shared" si="37"/>
        <v>0</v>
      </c>
      <c r="N135" s="169" t="e">
        <f t="shared" ca="1" si="22"/>
        <v>#VALUE!</v>
      </c>
      <c r="O135" s="171" t="str">
        <f t="shared" si="23"/>
        <v/>
      </c>
      <c r="P135" s="171" t="str">
        <f t="shared" ca="1" si="24"/>
        <v/>
      </c>
      <c r="Q135" s="170">
        <f t="shared" ca="1" si="25"/>
        <v>0</v>
      </c>
      <c r="R135" s="170">
        <f t="shared" ca="1" si="26"/>
        <v>0</v>
      </c>
      <c r="S135" s="171" t="b">
        <f t="shared" si="27"/>
        <v>0</v>
      </c>
      <c r="T135" s="171" t="b">
        <f t="shared" ca="1" si="28"/>
        <v>0</v>
      </c>
      <c r="U135" s="172"/>
    </row>
    <row r="136" spans="1:21" hidden="1">
      <c r="A136" s="143">
        <v>294</v>
      </c>
      <c r="B136" s="167">
        <f t="shared" si="36"/>
        <v>0</v>
      </c>
      <c r="C136" s="167">
        <f t="shared" si="36"/>
        <v>0</v>
      </c>
      <c r="D136" s="167">
        <f t="shared" si="36"/>
        <v>0</v>
      </c>
      <c r="E136" s="168">
        <f t="shared" si="36"/>
        <v>0</v>
      </c>
      <c r="F136" s="167">
        <f t="shared" si="36"/>
        <v>0</v>
      </c>
      <c r="G136" s="168">
        <f t="shared" si="36"/>
        <v>0</v>
      </c>
      <c r="H136" s="169">
        <f t="shared" si="36"/>
        <v>0</v>
      </c>
      <c r="I136" s="169" t="e">
        <f t="shared" ca="1" si="21"/>
        <v>#VALUE!</v>
      </c>
      <c r="J136" s="169">
        <f t="shared" si="37"/>
        <v>0</v>
      </c>
      <c r="K136" s="170">
        <f t="shared" si="37"/>
        <v>0</v>
      </c>
      <c r="L136" s="169">
        <f t="shared" si="37"/>
        <v>0</v>
      </c>
      <c r="M136" s="169">
        <f t="shared" si="37"/>
        <v>0</v>
      </c>
      <c r="N136" s="169" t="e">
        <f t="shared" ca="1" si="22"/>
        <v>#VALUE!</v>
      </c>
      <c r="O136" s="171" t="str">
        <f t="shared" si="23"/>
        <v/>
      </c>
      <c r="P136" s="171" t="str">
        <f t="shared" ca="1" si="24"/>
        <v/>
      </c>
      <c r="Q136" s="170">
        <f t="shared" ca="1" si="25"/>
        <v>0</v>
      </c>
      <c r="R136" s="170">
        <f t="shared" ca="1" si="26"/>
        <v>0</v>
      </c>
      <c r="S136" s="171" t="b">
        <f t="shared" si="27"/>
        <v>0</v>
      </c>
      <c r="T136" s="171" t="b">
        <f t="shared" ca="1" si="28"/>
        <v>0</v>
      </c>
      <c r="U136" s="172"/>
    </row>
    <row r="137" spans="1:21" hidden="1">
      <c r="A137" s="143">
        <v>241</v>
      </c>
      <c r="B137" s="167">
        <f t="shared" si="36"/>
        <v>0</v>
      </c>
      <c r="C137" s="167">
        <f t="shared" si="36"/>
        <v>0</v>
      </c>
      <c r="D137" s="167">
        <f t="shared" si="36"/>
        <v>0</v>
      </c>
      <c r="E137" s="168">
        <f t="shared" si="36"/>
        <v>0</v>
      </c>
      <c r="F137" s="167">
        <f t="shared" si="36"/>
        <v>0</v>
      </c>
      <c r="G137" s="168">
        <f t="shared" si="36"/>
        <v>0</v>
      </c>
      <c r="H137" s="169">
        <f t="shared" si="36"/>
        <v>0</v>
      </c>
      <c r="I137" s="169" t="e">
        <f t="shared" ca="1" si="21"/>
        <v>#VALUE!</v>
      </c>
      <c r="J137" s="169">
        <f t="shared" si="37"/>
        <v>0</v>
      </c>
      <c r="K137" s="170">
        <f t="shared" si="37"/>
        <v>0</v>
      </c>
      <c r="L137" s="169">
        <f t="shared" si="37"/>
        <v>0</v>
      </c>
      <c r="M137" s="169">
        <f t="shared" si="37"/>
        <v>0</v>
      </c>
      <c r="N137" s="169" t="e">
        <f t="shared" ca="1" si="22"/>
        <v>#VALUE!</v>
      </c>
      <c r="O137" s="171" t="str">
        <f t="shared" si="23"/>
        <v/>
      </c>
      <c r="P137" s="171" t="str">
        <f t="shared" ca="1" si="24"/>
        <v/>
      </c>
      <c r="Q137" s="170">
        <f t="shared" ca="1" si="25"/>
        <v>0</v>
      </c>
      <c r="R137" s="170">
        <f t="shared" ca="1" si="26"/>
        <v>0</v>
      </c>
      <c r="S137" s="171" t="b">
        <f t="shared" si="27"/>
        <v>0</v>
      </c>
      <c r="T137" s="171" t="b">
        <f t="shared" ca="1" si="28"/>
        <v>0</v>
      </c>
      <c r="U137" s="172"/>
    </row>
    <row r="138" spans="1:21" hidden="1">
      <c r="A138" s="143">
        <v>184</v>
      </c>
      <c r="B138" s="167">
        <f t="shared" si="36"/>
        <v>0</v>
      </c>
      <c r="C138" s="167">
        <f t="shared" si="36"/>
        <v>0</v>
      </c>
      <c r="D138" s="167">
        <f t="shared" si="36"/>
        <v>0</v>
      </c>
      <c r="E138" s="168">
        <f t="shared" si="36"/>
        <v>0</v>
      </c>
      <c r="F138" s="167">
        <f t="shared" si="36"/>
        <v>0</v>
      </c>
      <c r="G138" s="168">
        <f t="shared" si="36"/>
        <v>0</v>
      </c>
      <c r="H138" s="169">
        <f t="shared" si="36"/>
        <v>0</v>
      </c>
      <c r="I138" s="169" t="e">
        <f t="shared" ca="1" si="21"/>
        <v>#VALUE!</v>
      </c>
      <c r="J138" s="169">
        <f t="shared" si="37"/>
        <v>0</v>
      </c>
      <c r="K138" s="170">
        <f t="shared" si="37"/>
        <v>0</v>
      </c>
      <c r="L138" s="169">
        <f t="shared" si="37"/>
        <v>0</v>
      </c>
      <c r="M138" s="169">
        <f t="shared" si="37"/>
        <v>0</v>
      </c>
      <c r="N138" s="169" t="e">
        <f t="shared" ca="1" si="22"/>
        <v>#VALUE!</v>
      </c>
      <c r="O138" s="171" t="str">
        <f t="shared" si="23"/>
        <v/>
      </c>
      <c r="P138" s="171" t="str">
        <f t="shared" ca="1" si="24"/>
        <v/>
      </c>
      <c r="Q138" s="170">
        <f t="shared" ca="1" si="25"/>
        <v>0</v>
      </c>
      <c r="R138" s="170">
        <f t="shared" ca="1" si="26"/>
        <v>0</v>
      </c>
      <c r="S138" s="171" t="b">
        <f t="shared" si="27"/>
        <v>0</v>
      </c>
      <c r="T138" s="171" t="b">
        <f t="shared" ca="1" si="28"/>
        <v>0</v>
      </c>
      <c r="U138" s="172"/>
    </row>
    <row r="139" spans="1:21" hidden="1">
      <c r="A139" s="143">
        <v>247</v>
      </c>
      <c r="B139" s="167">
        <f t="shared" si="36"/>
        <v>0</v>
      </c>
      <c r="C139" s="167">
        <f t="shared" si="36"/>
        <v>0</v>
      </c>
      <c r="D139" s="167">
        <f t="shared" si="36"/>
        <v>0</v>
      </c>
      <c r="E139" s="168">
        <f t="shared" si="36"/>
        <v>0</v>
      </c>
      <c r="F139" s="167">
        <f t="shared" si="36"/>
        <v>0</v>
      </c>
      <c r="G139" s="168">
        <f t="shared" si="36"/>
        <v>0</v>
      </c>
      <c r="H139" s="169">
        <f t="shared" si="36"/>
        <v>0</v>
      </c>
      <c r="I139" s="169" t="e">
        <f t="shared" ref="I139:I202" ca="1" si="38">IF($P139=ROW($P139)-ROW($P$10),SUMIF(OFFSET($P$10,1,0,$A$7),$P139,OFFSET($H$10,1,0,$A$7)),OFFSET($I$10,$P139,0))</f>
        <v>#VALUE!</v>
      </c>
      <c r="J139" s="169">
        <f t="shared" si="37"/>
        <v>0</v>
      </c>
      <c r="K139" s="170">
        <f t="shared" si="37"/>
        <v>0</v>
      </c>
      <c r="L139" s="169">
        <f t="shared" si="37"/>
        <v>0</v>
      </c>
      <c r="M139" s="169">
        <f t="shared" si="37"/>
        <v>0</v>
      </c>
      <c r="N139" s="169" t="e">
        <f t="shared" ref="N139:N202" ca="1" si="39">IF($P139=ROW($P139)-ROW($P$10),SUMIF(OFFSET($P$10,1,0,$A$7),$P139,OFFSET($M$10,1,0,$A$7)),OFFSET($N$10,$P139,0))</f>
        <v>#VALUE!</v>
      </c>
      <c r="O139" s="171" t="str">
        <f t="shared" ref="O139:O202" si="40">IF($S139,D139&amp;"-"&amp;E139,"")</f>
        <v/>
      </c>
      <c r="P139" s="171" t="str">
        <f t="shared" ref="P139:P202" ca="1" si="41">IF($S139,MATCH(O139,OFFSET($O$10,1,0,$A$7),0),"")</f>
        <v/>
      </c>
      <c r="Q139" s="170">
        <f t="shared" ref="Q139:Q202" ca="1" si="42">IF($P139=ROW($P139)-ROW($P$10),$N139/$M$7,IF(ISNUMBER($P139),TEXT(OFFSET($Q$10,$P139,0)," 0,00% "),0))</f>
        <v>0</v>
      </c>
      <c r="R139" s="170">
        <f t="shared" ref="R139:R202" ca="1" si="43">SUMIF(OFFSET($Q$10,1,0,$A$7),"&gt;="&amp;$N139/$M$7,OFFSET($Q$10,1,0,$A$7))</f>
        <v>0</v>
      </c>
      <c r="S139" s="171" t="b">
        <f t="shared" ref="S139:S202" si="44">E139&lt;&gt;0</f>
        <v>0</v>
      </c>
      <c r="T139" s="171" t="b">
        <f t="shared" ref="T139:T202" ca="1" si="45">IF($P139=ROW($P139)-ROW($P$10),R139&lt;=$Q$8,IF(ISNUMBER($P139),OFFSET($T$10,VALUE($P139),0),FALSE))</f>
        <v>0</v>
      </c>
      <c r="U139" s="172"/>
    </row>
    <row r="140" spans="1:21" hidden="1">
      <c r="A140" s="143">
        <v>189</v>
      </c>
      <c r="B140" s="167">
        <f t="shared" si="36"/>
        <v>0</v>
      </c>
      <c r="C140" s="167">
        <f t="shared" si="36"/>
        <v>0</v>
      </c>
      <c r="D140" s="167">
        <f t="shared" si="36"/>
        <v>0</v>
      </c>
      <c r="E140" s="168">
        <f t="shared" si="36"/>
        <v>0</v>
      </c>
      <c r="F140" s="167">
        <f t="shared" si="36"/>
        <v>0</v>
      </c>
      <c r="G140" s="168">
        <f t="shared" si="36"/>
        <v>0</v>
      </c>
      <c r="H140" s="169">
        <f t="shared" si="36"/>
        <v>0</v>
      </c>
      <c r="I140" s="169" t="e">
        <f t="shared" ca="1" si="38"/>
        <v>#VALUE!</v>
      </c>
      <c r="J140" s="169">
        <f t="shared" si="37"/>
        <v>0</v>
      </c>
      <c r="K140" s="170">
        <f t="shared" si="37"/>
        <v>0</v>
      </c>
      <c r="L140" s="169">
        <f t="shared" si="37"/>
        <v>0</v>
      </c>
      <c r="M140" s="169">
        <f t="shared" si="37"/>
        <v>0</v>
      </c>
      <c r="N140" s="169" t="e">
        <f t="shared" ca="1" si="39"/>
        <v>#VALUE!</v>
      </c>
      <c r="O140" s="171" t="str">
        <f t="shared" si="40"/>
        <v/>
      </c>
      <c r="P140" s="171" t="str">
        <f t="shared" ca="1" si="41"/>
        <v/>
      </c>
      <c r="Q140" s="170">
        <f t="shared" ca="1" si="42"/>
        <v>0</v>
      </c>
      <c r="R140" s="170">
        <f t="shared" ca="1" si="43"/>
        <v>0</v>
      </c>
      <c r="S140" s="171" t="b">
        <f t="shared" si="44"/>
        <v>0</v>
      </c>
      <c r="T140" s="171" t="b">
        <f t="shared" ca="1" si="45"/>
        <v>0</v>
      </c>
      <c r="U140" s="172"/>
    </row>
    <row r="141" spans="1:21" hidden="1">
      <c r="A141" s="143">
        <v>252</v>
      </c>
      <c r="B141" s="167">
        <f t="shared" ref="B141:H150" si="46">IF($A141&lt;=$A$8,INDEX(Import.PO,$A141,B$8),0)</f>
        <v>0</v>
      </c>
      <c r="C141" s="167">
        <f t="shared" si="46"/>
        <v>0</v>
      </c>
      <c r="D141" s="167">
        <f t="shared" si="46"/>
        <v>0</v>
      </c>
      <c r="E141" s="168">
        <f t="shared" si="46"/>
        <v>0</v>
      </c>
      <c r="F141" s="167">
        <f t="shared" si="46"/>
        <v>0</v>
      </c>
      <c r="G141" s="168">
        <f t="shared" si="46"/>
        <v>0</v>
      </c>
      <c r="H141" s="169">
        <f t="shared" si="46"/>
        <v>0</v>
      </c>
      <c r="I141" s="169" t="e">
        <f t="shared" ca="1" si="38"/>
        <v>#VALUE!</v>
      </c>
      <c r="J141" s="169">
        <f t="shared" si="37"/>
        <v>0</v>
      </c>
      <c r="K141" s="170">
        <f t="shared" si="37"/>
        <v>0</v>
      </c>
      <c r="L141" s="169">
        <f t="shared" si="37"/>
        <v>0</v>
      </c>
      <c r="M141" s="169">
        <f t="shared" si="37"/>
        <v>0</v>
      </c>
      <c r="N141" s="169" t="e">
        <f t="shared" ca="1" si="39"/>
        <v>#VALUE!</v>
      </c>
      <c r="O141" s="171" t="str">
        <f t="shared" si="40"/>
        <v/>
      </c>
      <c r="P141" s="171" t="str">
        <f t="shared" ca="1" si="41"/>
        <v/>
      </c>
      <c r="Q141" s="170">
        <f t="shared" ca="1" si="42"/>
        <v>0</v>
      </c>
      <c r="R141" s="170">
        <f t="shared" ca="1" si="43"/>
        <v>0</v>
      </c>
      <c r="S141" s="171" t="b">
        <f t="shared" si="44"/>
        <v>0</v>
      </c>
      <c r="T141" s="171" t="b">
        <f t="shared" ca="1" si="45"/>
        <v>0</v>
      </c>
      <c r="U141" s="172"/>
    </row>
    <row r="142" spans="1:21" hidden="1">
      <c r="A142" s="143">
        <v>155</v>
      </c>
      <c r="B142" s="167">
        <f t="shared" si="46"/>
        <v>0</v>
      </c>
      <c r="C142" s="167">
        <f t="shared" si="46"/>
        <v>0</v>
      </c>
      <c r="D142" s="167">
        <f t="shared" si="46"/>
        <v>0</v>
      </c>
      <c r="E142" s="168">
        <f t="shared" si="46"/>
        <v>0</v>
      </c>
      <c r="F142" s="167">
        <f t="shared" si="46"/>
        <v>0</v>
      </c>
      <c r="G142" s="168">
        <f t="shared" si="46"/>
        <v>0</v>
      </c>
      <c r="H142" s="169">
        <f t="shared" si="46"/>
        <v>0</v>
      </c>
      <c r="I142" s="169" t="e">
        <f t="shared" ca="1" si="38"/>
        <v>#VALUE!</v>
      </c>
      <c r="J142" s="169">
        <f t="shared" si="37"/>
        <v>0</v>
      </c>
      <c r="K142" s="170">
        <f t="shared" si="37"/>
        <v>0</v>
      </c>
      <c r="L142" s="169">
        <f t="shared" si="37"/>
        <v>0</v>
      </c>
      <c r="M142" s="169">
        <f t="shared" si="37"/>
        <v>0</v>
      </c>
      <c r="N142" s="169" t="e">
        <f t="shared" ca="1" si="39"/>
        <v>#VALUE!</v>
      </c>
      <c r="O142" s="171" t="str">
        <f t="shared" si="40"/>
        <v/>
      </c>
      <c r="P142" s="171" t="str">
        <f t="shared" ca="1" si="41"/>
        <v/>
      </c>
      <c r="Q142" s="170">
        <f t="shared" ca="1" si="42"/>
        <v>0</v>
      </c>
      <c r="R142" s="170">
        <f t="shared" ca="1" si="43"/>
        <v>0</v>
      </c>
      <c r="S142" s="171" t="b">
        <f t="shared" si="44"/>
        <v>0</v>
      </c>
      <c r="T142" s="171" t="b">
        <f t="shared" ca="1" si="45"/>
        <v>0</v>
      </c>
      <c r="U142" s="172"/>
    </row>
    <row r="143" spans="1:21" hidden="1">
      <c r="A143" s="143">
        <v>225</v>
      </c>
      <c r="B143" s="167">
        <f t="shared" si="46"/>
        <v>0</v>
      </c>
      <c r="C143" s="167">
        <f t="shared" si="46"/>
        <v>0</v>
      </c>
      <c r="D143" s="167">
        <f t="shared" si="46"/>
        <v>0</v>
      </c>
      <c r="E143" s="168">
        <f t="shared" si="46"/>
        <v>0</v>
      </c>
      <c r="F143" s="167">
        <f t="shared" si="46"/>
        <v>0</v>
      </c>
      <c r="G143" s="168">
        <f t="shared" si="46"/>
        <v>0</v>
      </c>
      <c r="H143" s="169">
        <f t="shared" si="46"/>
        <v>0</v>
      </c>
      <c r="I143" s="169" t="e">
        <f t="shared" ca="1" si="38"/>
        <v>#VALUE!</v>
      </c>
      <c r="J143" s="169">
        <f t="shared" si="37"/>
        <v>0</v>
      </c>
      <c r="K143" s="170">
        <f t="shared" si="37"/>
        <v>0</v>
      </c>
      <c r="L143" s="169">
        <f t="shared" si="37"/>
        <v>0</v>
      </c>
      <c r="M143" s="169">
        <f t="shared" si="37"/>
        <v>0</v>
      </c>
      <c r="N143" s="169" t="e">
        <f t="shared" ca="1" si="39"/>
        <v>#VALUE!</v>
      </c>
      <c r="O143" s="171" t="str">
        <f t="shared" si="40"/>
        <v/>
      </c>
      <c r="P143" s="171" t="str">
        <f t="shared" ca="1" si="41"/>
        <v/>
      </c>
      <c r="Q143" s="170">
        <f t="shared" ca="1" si="42"/>
        <v>0</v>
      </c>
      <c r="R143" s="170">
        <f t="shared" ca="1" si="43"/>
        <v>0</v>
      </c>
      <c r="S143" s="171" t="b">
        <f t="shared" si="44"/>
        <v>0</v>
      </c>
      <c r="T143" s="171" t="b">
        <f t="shared" ca="1" si="45"/>
        <v>0</v>
      </c>
      <c r="U143" s="172"/>
    </row>
    <row r="144" spans="1:21" hidden="1">
      <c r="A144" s="143">
        <v>302</v>
      </c>
      <c r="B144" s="167">
        <f t="shared" si="46"/>
        <v>0</v>
      </c>
      <c r="C144" s="167">
        <f t="shared" si="46"/>
        <v>0</v>
      </c>
      <c r="D144" s="167">
        <f t="shared" si="46"/>
        <v>0</v>
      </c>
      <c r="E144" s="168">
        <f t="shared" si="46"/>
        <v>0</v>
      </c>
      <c r="F144" s="167">
        <f t="shared" si="46"/>
        <v>0</v>
      </c>
      <c r="G144" s="168">
        <f t="shared" si="46"/>
        <v>0</v>
      </c>
      <c r="H144" s="169">
        <f t="shared" si="46"/>
        <v>0</v>
      </c>
      <c r="I144" s="169" t="e">
        <f t="shared" ca="1" si="38"/>
        <v>#VALUE!</v>
      </c>
      <c r="J144" s="169">
        <f t="shared" si="37"/>
        <v>0</v>
      </c>
      <c r="K144" s="170">
        <f t="shared" si="37"/>
        <v>0</v>
      </c>
      <c r="L144" s="169">
        <f t="shared" si="37"/>
        <v>0</v>
      </c>
      <c r="M144" s="169">
        <f t="shared" si="37"/>
        <v>0</v>
      </c>
      <c r="N144" s="169" t="e">
        <f t="shared" ca="1" si="39"/>
        <v>#VALUE!</v>
      </c>
      <c r="O144" s="171" t="str">
        <f t="shared" si="40"/>
        <v/>
      </c>
      <c r="P144" s="171" t="str">
        <f t="shared" ca="1" si="41"/>
        <v/>
      </c>
      <c r="Q144" s="170">
        <f t="shared" ca="1" si="42"/>
        <v>0</v>
      </c>
      <c r="R144" s="170">
        <f t="shared" ca="1" si="43"/>
        <v>0</v>
      </c>
      <c r="S144" s="171" t="b">
        <f t="shared" si="44"/>
        <v>0</v>
      </c>
      <c r="T144" s="171" t="b">
        <f t="shared" ca="1" si="45"/>
        <v>0</v>
      </c>
      <c r="U144" s="172"/>
    </row>
    <row r="145" spans="1:21" hidden="1">
      <c r="A145" s="143">
        <v>148</v>
      </c>
      <c r="B145" s="167">
        <f t="shared" si="46"/>
        <v>0</v>
      </c>
      <c r="C145" s="167">
        <f t="shared" si="46"/>
        <v>0</v>
      </c>
      <c r="D145" s="167">
        <f t="shared" si="46"/>
        <v>0</v>
      </c>
      <c r="E145" s="168">
        <f t="shared" si="46"/>
        <v>0</v>
      </c>
      <c r="F145" s="167">
        <f t="shared" si="46"/>
        <v>0</v>
      </c>
      <c r="G145" s="168">
        <f t="shared" si="46"/>
        <v>0</v>
      </c>
      <c r="H145" s="169">
        <f t="shared" si="46"/>
        <v>0</v>
      </c>
      <c r="I145" s="169" t="e">
        <f t="shared" ca="1" si="38"/>
        <v>#VALUE!</v>
      </c>
      <c r="J145" s="169">
        <f t="shared" si="37"/>
        <v>0</v>
      </c>
      <c r="K145" s="170">
        <f t="shared" si="37"/>
        <v>0</v>
      </c>
      <c r="L145" s="169">
        <f t="shared" si="37"/>
        <v>0</v>
      </c>
      <c r="M145" s="169">
        <f t="shared" si="37"/>
        <v>0</v>
      </c>
      <c r="N145" s="169" t="e">
        <f t="shared" ca="1" si="39"/>
        <v>#VALUE!</v>
      </c>
      <c r="O145" s="171" t="str">
        <f t="shared" si="40"/>
        <v/>
      </c>
      <c r="P145" s="171" t="str">
        <f t="shared" ca="1" si="41"/>
        <v/>
      </c>
      <c r="Q145" s="170">
        <f t="shared" ca="1" si="42"/>
        <v>0</v>
      </c>
      <c r="R145" s="170">
        <f t="shared" ca="1" si="43"/>
        <v>0</v>
      </c>
      <c r="S145" s="171" t="b">
        <f t="shared" si="44"/>
        <v>0</v>
      </c>
      <c r="T145" s="171" t="b">
        <f t="shared" ca="1" si="45"/>
        <v>0</v>
      </c>
      <c r="U145" s="172"/>
    </row>
    <row r="146" spans="1:21" hidden="1">
      <c r="A146" s="143">
        <v>218</v>
      </c>
      <c r="B146" s="167">
        <f t="shared" si="46"/>
        <v>0</v>
      </c>
      <c r="C146" s="167">
        <f t="shared" si="46"/>
        <v>0</v>
      </c>
      <c r="D146" s="167">
        <f t="shared" si="46"/>
        <v>0</v>
      </c>
      <c r="E146" s="168">
        <f t="shared" si="46"/>
        <v>0</v>
      </c>
      <c r="F146" s="167">
        <f t="shared" si="46"/>
        <v>0</v>
      </c>
      <c r="G146" s="168">
        <f t="shared" si="46"/>
        <v>0</v>
      </c>
      <c r="H146" s="169">
        <f t="shared" si="46"/>
        <v>0</v>
      </c>
      <c r="I146" s="169" t="e">
        <f t="shared" ca="1" si="38"/>
        <v>#VALUE!</v>
      </c>
      <c r="J146" s="169">
        <f t="shared" si="37"/>
        <v>0</v>
      </c>
      <c r="K146" s="170">
        <f t="shared" si="37"/>
        <v>0</v>
      </c>
      <c r="L146" s="169">
        <f t="shared" si="37"/>
        <v>0</v>
      </c>
      <c r="M146" s="169">
        <f t="shared" si="37"/>
        <v>0</v>
      </c>
      <c r="N146" s="169" t="e">
        <f t="shared" ca="1" si="39"/>
        <v>#VALUE!</v>
      </c>
      <c r="O146" s="171" t="str">
        <f t="shared" si="40"/>
        <v/>
      </c>
      <c r="P146" s="171" t="str">
        <f t="shared" ca="1" si="41"/>
        <v/>
      </c>
      <c r="Q146" s="170">
        <f t="shared" ca="1" si="42"/>
        <v>0</v>
      </c>
      <c r="R146" s="170">
        <f t="shared" ca="1" si="43"/>
        <v>0</v>
      </c>
      <c r="S146" s="171" t="b">
        <f t="shared" si="44"/>
        <v>0</v>
      </c>
      <c r="T146" s="171" t="b">
        <f t="shared" ca="1" si="45"/>
        <v>0</v>
      </c>
      <c r="U146" s="172"/>
    </row>
    <row r="147" spans="1:21" hidden="1">
      <c r="A147" s="143">
        <v>295</v>
      </c>
      <c r="B147" s="167">
        <f t="shared" si="46"/>
        <v>0</v>
      </c>
      <c r="C147" s="167">
        <f t="shared" si="46"/>
        <v>0</v>
      </c>
      <c r="D147" s="167">
        <f t="shared" si="46"/>
        <v>0</v>
      </c>
      <c r="E147" s="168">
        <f t="shared" si="46"/>
        <v>0</v>
      </c>
      <c r="F147" s="167">
        <f t="shared" si="46"/>
        <v>0</v>
      </c>
      <c r="G147" s="168">
        <f t="shared" si="46"/>
        <v>0</v>
      </c>
      <c r="H147" s="169">
        <f t="shared" si="46"/>
        <v>0</v>
      </c>
      <c r="I147" s="169" t="e">
        <f t="shared" ca="1" si="38"/>
        <v>#VALUE!</v>
      </c>
      <c r="J147" s="169">
        <f t="shared" si="37"/>
        <v>0</v>
      </c>
      <c r="K147" s="170">
        <f t="shared" si="37"/>
        <v>0</v>
      </c>
      <c r="L147" s="169">
        <f t="shared" si="37"/>
        <v>0</v>
      </c>
      <c r="M147" s="169">
        <f t="shared" si="37"/>
        <v>0</v>
      </c>
      <c r="N147" s="169" t="e">
        <f t="shared" ca="1" si="39"/>
        <v>#VALUE!</v>
      </c>
      <c r="O147" s="171" t="str">
        <f t="shared" si="40"/>
        <v/>
      </c>
      <c r="P147" s="171" t="str">
        <f t="shared" ca="1" si="41"/>
        <v/>
      </c>
      <c r="Q147" s="170">
        <f t="shared" ca="1" si="42"/>
        <v>0</v>
      </c>
      <c r="R147" s="170">
        <f t="shared" ca="1" si="43"/>
        <v>0</v>
      </c>
      <c r="S147" s="171" t="b">
        <f t="shared" si="44"/>
        <v>0</v>
      </c>
      <c r="T147" s="171" t="b">
        <f t="shared" ca="1" si="45"/>
        <v>0</v>
      </c>
      <c r="U147" s="172"/>
    </row>
    <row r="148" spans="1:21" hidden="1">
      <c r="A148" s="143">
        <v>23</v>
      </c>
      <c r="B148" s="167">
        <f t="shared" si="46"/>
        <v>0</v>
      </c>
      <c r="C148" s="167">
        <f t="shared" si="46"/>
        <v>0</v>
      </c>
      <c r="D148" s="167">
        <f t="shared" si="46"/>
        <v>0</v>
      </c>
      <c r="E148" s="168">
        <f t="shared" si="46"/>
        <v>0</v>
      </c>
      <c r="F148" s="167">
        <f t="shared" si="46"/>
        <v>0</v>
      </c>
      <c r="G148" s="168">
        <f t="shared" si="46"/>
        <v>0</v>
      </c>
      <c r="H148" s="169">
        <f t="shared" si="46"/>
        <v>0</v>
      </c>
      <c r="I148" s="169" t="e">
        <f t="shared" ca="1" si="38"/>
        <v>#VALUE!</v>
      </c>
      <c r="J148" s="169">
        <f t="shared" si="37"/>
        <v>0</v>
      </c>
      <c r="K148" s="170">
        <f t="shared" si="37"/>
        <v>0</v>
      </c>
      <c r="L148" s="169">
        <f t="shared" si="37"/>
        <v>0</v>
      </c>
      <c r="M148" s="169">
        <f t="shared" si="37"/>
        <v>0</v>
      </c>
      <c r="N148" s="169" t="e">
        <f t="shared" ca="1" si="39"/>
        <v>#VALUE!</v>
      </c>
      <c r="O148" s="171" t="str">
        <f t="shared" si="40"/>
        <v/>
      </c>
      <c r="P148" s="171" t="str">
        <f t="shared" ca="1" si="41"/>
        <v/>
      </c>
      <c r="Q148" s="170">
        <f t="shared" ca="1" si="42"/>
        <v>0</v>
      </c>
      <c r="R148" s="170">
        <f t="shared" ca="1" si="43"/>
        <v>0</v>
      </c>
      <c r="S148" s="171" t="b">
        <f t="shared" si="44"/>
        <v>0</v>
      </c>
      <c r="T148" s="171" t="b">
        <f t="shared" ca="1" si="45"/>
        <v>0</v>
      </c>
      <c r="U148" s="172"/>
    </row>
    <row r="149" spans="1:21" hidden="1">
      <c r="A149" s="143">
        <v>32</v>
      </c>
      <c r="B149" s="167">
        <f t="shared" si="46"/>
        <v>0</v>
      </c>
      <c r="C149" s="167">
        <f t="shared" si="46"/>
        <v>0</v>
      </c>
      <c r="D149" s="167">
        <f t="shared" si="46"/>
        <v>0</v>
      </c>
      <c r="E149" s="168">
        <f t="shared" si="46"/>
        <v>0</v>
      </c>
      <c r="F149" s="167">
        <f t="shared" si="46"/>
        <v>0</v>
      </c>
      <c r="G149" s="168">
        <f t="shared" si="46"/>
        <v>0</v>
      </c>
      <c r="H149" s="169">
        <f t="shared" si="46"/>
        <v>0</v>
      </c>
      <c r="I149" s="169" t="e">
        <f t="shared" ca="1" si="38"/>
        <v>#VALUE!</v>
      </c>
      <c r="J149" s="169">
        <f t="shared" si="37"/>
        <v>0</v>
      </c>
      <c r="K149" s="170">
        <f t="shared" si="37"/>
        <v>0</v>
      </c>
      <c r="L149" s="169">
        <f t="shared" si="37"/>
        <v>0</v>
      </c>
      <c r="M149" s="169">
        <f t="shared" si="37"/>
        <v>0</v>
      </c>
      <c r="N149" s="169" t="e">
        <f t="shared" ca="1" si="39"/>
        <v>#VALUE!</v>
      </c>
      <c r="O149" s="171" t="str">
        <f t="shared" si="40"/>
        <v/>
      </c>
      <c r="P149" s="171" t="str">
        <f t="shared" ca="1" si="41"/>
        <v/>
      </c>
      <c r="Q149" s="170">
        <f t="shared" ca="1" si="42"/>
        <v>0</v>
      </c>
      <c r="R149" s="170">
        <f t="shared" ca="1" si="43"/>
        <v>0</v>
      </c>
      <c r="S149" s="171" t="b">
        <f t="shared" si="44"/>
        <v>0</v>
      </c>
      <c r="T149" s="171" t="b">
        <f t="shared" ca="1" si="45"/>
        <v>0</v>
      </c>
      <c r="U149" s="172"/>
    </row>
    <row r="150" spans="1:21" hidden="1">
      <c r="A150" s="143">
        <v>40</v>
      </c>
      <c r="B150" s="167">
        <f t="shared" si="46"/>
        <v>0</v>
      </c>
      <c r="C150" s="167">
        <f t="shared" si="46"/>
        <v>0</v>
      </c>
      <c r="D150" s="167">
        <f t="shared" si="46"/>
        <v>0</v>
      </c>
      <c r="E150" s="168">
        <f t="shared" si="46"/>
        <v>0</v>
      </c>
      <c r="F150" s="167">
        <f t="shared" si="46"/>
        <v>0</v>
      </c>
      <c r="G150" s="168">
        <f t="shared" si="46"/>
        <v>0</v>
      </c>
      <c r="H150" s="169">
        <f t="shared" si="46"/>
        <v>0</v>
      </c>
      <c r="I150" s="169" t="e">
        <f t="shared" ca="1" si="38"/>
        <v>#VALUE!</v>
      </c>
      <c r="J150" s="169">
        <f t="shared" si="37"/>
        <v>0</v>
      </c>
      <c r="K150" s="170">
        <f t="shared" si="37"/>
        <v>0</v>
      </c>
      <c r="L150" s="169">
        <f t="shared" si="37"/>
        <v>0</v>
      </c>
      <c r="M150" s="169">
        <f t="shared" si="37"/>
        <v>0</v>
      </c>
      <c r="N150" s="169" t="e">
        <f t="shared" ca="1" si="39"/>
        <v>#VALUE!</v>
      </c>
      <c r="O150" s="171" t="str">
        <f t="shared" si="40"/>
        <v/>
      </c>
      <c r="P150" s="171" t="str">
        <f t="shared" ca="1" si="41"/>
        <v/>
      </c>
      <c r="Q150" s="170">
        <f t="shared" ca="1" si="42"/>
        <v>0</v>
      </c>
      <c r="R150" s="170">
        <f t="shared" ca="1" si="43"/>
        <v>0</v>
      </c>
      <c r="S150" s="171" t="b">
        <f t="shared" si="44"/>
        <v>0</v>
      </c>
      <c r="T150" s="171" t="b">
        <f t="shared" ca="1" si="45"/>
        <v>0</v>
      </c>
      <c r="U150" s="172"/>
    </row>
    <row r="151" spans="1:21" hidden="1">
      <c r="A151" s="143">
        <v>45</v>
      </c>
      <c r="B151" s="167">
        <f t="shared" ref="B151:H160" si="47">IF($A151&lt;=$A$8,INDEX(Import.PO,$A151,B$8),0)</f>
        <v>0</v>
      </c>
      <c r="C151" s="167">
        <f t="shared" si="47"/>
        <v>0</v>
      </c>
      <c r="D151" s="167">
        <f t="shared" si="47"/>
        <v>0</v>
      </c>
      <c r="E151" s="168">
        <f t="shared" si="47"/>
        <v>0</v>
      </c>
      <c r="F151" s="167">
        <f t="shared" si="47"/>
        <v>0</v>
      </c>
      <c r="G151" s="168">
        <f t="shared" si="47"/>
        <v>0</v>
      </c>
      <c r="H151" s="169">
        <f t="shared" si="47"/>
        <v>0</v>
      </c>
      <c r="I151" s="169" t="e">
        <f t="shared" ca="1" si="38"/>
        <v>#VALUE!</v>
      </c>
      <c r="J151" s="169">
        <f t="shared" ref="J151:M170" si="48">IF($A151&lt;=$A$8,INDEX(Import.PO,$A151,J$8),0)</f>
        <v>0</v>
      </c>
      <c r="K151" s="170">
        <f t="shared" si="48"/>
        <v>0</v>
      </c>
      <c r="L151" s="169">
        <f t="shared" si="48"/>
        <v>0</v>
      </c>
      <c r="M151" s="169">
        <f t="shared" si="48"/>
        <v>0</v>
      </c>
      <c r="N151" s="169" t="e">
        <f t="shared" ca="1" si="39"/>
        <v>#VALUE!</v>
      </c>
      <c r="O151" s="171" t="str">
        <f t="shared" si="40"/>
        <v/>
      </c>
      <c r="P151" s="171" t="str">
        <f t="shared" ca="1" si="41"/>
        <v/>
      </c>
      <c r="Q151" s="170">
        <f t="shared" ca="1" si="42"/>
        <v>0</v>
      </c>
      <c r="R151" s="170">
        <f t="shared" ca="1" si="43"/>
        <v>0</v>
      </c>
      <c r="S151" s="171" t="b">
        <f t="shared" si="44"/>
        <v>0</v>
      </c>
      <c r="T151" s="171" t="b">
        <f t="shared" ca="1" si="45"/>
        <v>0</v>
      </c>
      <c r="U151" s="172"/>
    </row>
    <row r="152" spans="1:21" hidden="1">
      <c r="A152" s="143">
        <v>54</v>
      </c>
      <c r="B152" s="167">
        <f t="shared" si="47"/>
        <v>0</v>
      </c>
      <c r="C152" s="167">
        <f t="shared" si="47"/>
        <v>0</v>
      </c>
      <c r="D152" s="167">
        <f t="shared" si="47"/>
        <v>0</v>
      </c>
      <c r="E152" s="168">
        <f t="shared" si="47"/>
        <v>0</v>
      </c>
      <c r="F152" s="167">
        <f t="shared" si="47"/>
        <v>0</v>
      </c>
      <c r="G152" s="168">
        <f t="shared" si="47"/>
        <v>0</v>
      </c>
      <c r="H152" s="169">
        <f t="shared" si="47"/>
        <v>0</v>
      </c>
      <c r="I152" s="169" t="e">
        <f t="shared" ca="1" si="38"/>
        <v>#VALUE!</v>
      </c>
      <c r="J152" s="169">
        <f t="shared" si="48"/>
        <v>0</v>
      </c>
      <c r="K152" s="170">
        <f t="shared" si="48"/>
        <v>0</v>
      </c>
      <c r="L152" s="169">
        <f t="shared" si="48"/>
        <v>0</v>
      </c>
      <c r="M152" s="169">
        <f t="shared" si="48"/>
        <v>0</v>
      </c>
      <c r="N152" s="169" t="e">
        <f t="shared" ca="1" si="39"/>
        <v>#VALUE!</v>
      </c>
      <c r="O152" s="171" t="str">
        <f t="shared" si="40"/>
        <v/>
      </c>
      <c r="P152" s="171" t="str">
        <f t="shared" ca="1" si="41"/>
        <v/>
      </c>
      <c r="Q152" s="170">
        <f t="shared" ca="1" si="42"/>
        <v>0</v>
      </c>
      <c r="R152" s="170">
        <f t="shared" ca="1" si="43"/>
        <v>0</v>
      </c>
      <c r="S152" s="171" t="b">
        <f t="shared" si="44"/>
        <v>0</v>
      </c>
      <c r="T152" s="171" t="b">
        <f t="shared" ca="1" si="45"/>
        <v>0</v>
      </c>
      <c r="U152" s="172"/>
    </row>
    <row r="153" spans="1:21" hidden="1">
      <c r="A153" s="143">
        <v>71</v>
      </c>
      <c r="B153" s="167">
        <f t="shared" si="47"/>
        <v>0</v>
      </c>
      <c r="C153" s="167">
        <f t="shared" si="47"/>
        <v>0</v>
      </c>
      <c r="D153" s="167">
        <f t="shared" si="47"/>
        <v>0</v>
      </c>
      <c r="E153" s="168">
        <f t="shared" si="47"/>
        <v>0</v>
      </c>
      <c r="F153" s="167">
        <f t="shared" si="47"/>
        <v>0</v>
      </c>
      <c r="G153" s="168">
        <f t="shared" si="47"/>
        <v>0</v>
      </c>
      <c r="H153" s="169">
        <f t="shared" si="47"/>
        <v>0</v>
      </c>
      <c r="I153" s="169" t="e">
        <f t="shared" ca="1" si="38"/>
        <v>#VALUE!</v>
      </c>
      <c r="J153" s="169">
        <f t="shared" si="48"/>
        <v>0</v>
      </c>
      <c r="K153" s="170">
        <f t="shared" si="48"/>
        <v>0</v>
      </c>
      <c r="L153" s="169">
        <f t="shared" si="48"/>
        <v>0</v>
      </c>
      <c r="M153" s="169">
        <f t="shared" si="48"/>
        <v>0</v>
      </c>
      <c r="N153" s="169" t="e">
        <f t="shared" ca="1" si="39"/>
        <v>#VALUE!</v>
      </c>
      <c r="O153" s="171" t="str">
        <f t="shared" si="40"/>
        <v/>
      </c>
      <c r="P153" s="171" t="str">
        <f t="shared" ca="1" si="41"/>
        <v/>
      </c>
      <c r="Q153" s="170">
        <f t="shared" ca="1" si="42"/>
        <v>0</v>
      </c>
      <c r="R153" s="170">
        <f t="shared" ca="1" si="43"/>
        <v>0</v>
      </c>
      <c r="S153" s="171" t="b">
        <f t="shared" si="44"/>
        <v>0</v>
      </c>
      <c r="T153" s="171" t="b">
        <f t="shared" ca="1" si="45"/>
        <v>0</v>
      </c>
      <c r="U153" s="172"/>
    </row>
    <row r="154" spans="1:21" hidden="1">
      <c r="A154" s="143">
        <v>81</v>
      </c>
      <c r="B154" s="167">
        <f t="shared" si="47"/>
        <v>0</v>
      </c>
      <c r="C154" s="167">
        <f t="shared" si="47"/>
        <v>0</v>
      </c>
      <c r="D154" s="167">
        <f t="shared" si="47"/>
        <v>0</v>
      </c>
      <c r="E154" s="168">
        <f t="shared" si="47"/>
        <v>0</v>
      </c>
      <c r="F154" s="167">
        <f t="shared" si="47"/>
        <v>0</v>
      </c>
      <c r="G154" s="168">
        <f t="shared" si="47"/>
        <v>0</v>
      </c>
      <c r="H154" s="169">
        <f t="shared" si="47"/>
        <v>0</v>
      </c>
      <c r="I154" s="169" t="e">
        <f t="shared" ca="1" si="38"/>
        <v>#VALUE!</v>
      </c>
      <c r="J154" s="169">
        <f t="shared" si="48"/>
        <v>0</v>
      </c>
      <c r="K154" s="170">
        <f t="shared" si="48"/>
        <v>0</v>
      </c>
      <c r="L154" s="169">
        <f t="shared" si="48"/>
        <v>0</v>
      </c>
      <c r="M154" s="169">
        <f t="shared" si="48"/>
        <v>0</v>
      </c>
      <c r="N154" s="169" t="e">
        <f t="shared" ca="1" si="39"/>
        <v>#VALUE!</v>
      </c>
      <c r="O154" s="171" t="str">
        <f t="shared" si="40"/>
        <v/>
      </c>
      <c r="P154" s="171" t="str">
        <f t="shared" ca="1" si="41"/>
        <v/>
      </c>
      <c r="Q154" s="170">
        <f t="shared" ca="1" si="42"/>
        <v>0</v>
      </c>
      <c r="R154" s="170">
        <f t="shared" ca="1" si="43"/>
        <v>0</v>
      </c>
      <c r="S154" s="171" t="b">
        <f t="shared" si="44"/>
        <v>0</v>
      </c>
      <c r="T154" s="171" t="b">
        <f t="shared" ca="1" si="45"/>
        <v>0</v>
      </c>
      <c r="U154" s="172"/>
    </row>
    <row r="155" spans="1:21" hidden="1">
      <c r="A155" s="143">
        <v>85</v>
      </c>
      <c r="B155" s="167">
        <f t="shared" si="47"/>
        <v>0</v>
      </c>
      <c r="C155" s="167">
        <f t="shared" si="47"/>
        <v>0</v>
      </c>
      <c r="D155" s="167">
        <f t="shared" si="47"/>
        <v>0</v>
      </c>
      <c r="E155" s="168">
        <f t="shared" si="47"/>
        <v>0</v>
      </c>
      <c r="F155" s="167">
        <f t="shared" si="47"/>
        <v>0</v>
      </c>
      <c r="G155" s="168">
        <f t="shared" si="47"/>
        <v>0</v>
      </c>
      <c r="H155" s="169">
        <f t="shared" si="47"/>
        <v>0</v>
      </c>
      <c r="I155" s="169" t="e">
        <f t="shared" ca="1" si="38"/>
        <v>#VALUE!</v>
      </c>
      <c r="J155" s="169">
        <f t="shared" si="48"/>
        <v>0</v>
      </c>
      <c r="K155" s="170">
        <f t="shared" si="48"/>
        <v>0</v>
      </c>
      <c r="L155" s="169">
        <f t="shared" si="48"/>
        <v>0</v>
      </c>
      <c r="M155" s="169">
        <f t="shared" si="48"/>
        <v>0</v>
      </c>
      <c r="N155" s="169" t="e">
        <f t="shared" ca="1" si="39"/>
        <v>#VALUE!</v>
      </c>
      <c r="O155" s="171" t="str">
        <f t="shared" si="40"/>
        <v/>
      </c>
      <c r="P155" s="171" t="str">
        <f t="shared" ca="1" si="41"/>
        <v/>
      </c>
      <c r="Q155" s="170">
        <f t="shared" ca="1" si="42"/>
        <v>0</v>
      </c>
      <c r="R155" s="170">
        <f t="shared" ca="1" si="43"/>
        <v>0</v>
      </c>
      <c r="S155" s="171" t="b">
        <f t="shared" si="44"/>
        <v>0</v>
      </c>
      <c r="T155" s="171" t="b">
        <f t="shared" ca="1" si="45"/>
        <v>0</v>
      </c>
      <c r="U155" s="172"/>
    </row>
    <row r="156" spans="1:21" hidden="1">
      <c r="A156" s="143">
        <v>98</v>
      </c>
      <c r="B156" s="167">
        <f t="shared" si="47"/>
        <v>0</v>
      </c>
      <c r="C156" s="167">
        <f t="shared" si="47"/>
        <v>0</v>
      </c>
      <c r="D156" s="167">
        <f t="shared" si="47"/>
        <v>0</v>
      </c>
      <c r="E156" s="168">
        <f t="shared" si="47"/>
        <v>0</v>
      </c>
      <c r="F156" s="167">
        <f t="shared" si="47"/>
        <v>0</v>
      </c>
      <c r="G156" s="168">
        <f t="shared" si="47"/>
        <v>0</v>
      </c>
      <c r="H156" s="169">
        <f t="shared" si="47"/>
        <v>0</v>
      </c>
      <c r="I156" s="169" t="e">
        <f t="shared" ca="1" si="38"/>
        <v>#VALUE!</v>
      </c>
      <c r="J156" s="169">
        <f t="shared" si="48"/>
        <v>0</v>
      </c>
      <c r="K156" s="170">
        <f t="shared" si="48"/>
        <v>0</v>
      </c>
      <c r="L156" s="169">
        <f t="shared" si="48"/>
        <v>0</v>
      </c>
      <c r="M156" s="169">
        <f t="shared" si="48"/>
        <v>0</v>
      </c>
      <c r="N156" s="169" t="e">
        <f t="shared" ca="1" si="39"/>
        <v>#VALUE!</v>
      </c>
      <c r="O156" s="171" t="str">
        <f t="shared" si="40"/>
        <v/>
      </c>
      <c r="P156" s="171" t="str">
        <f t="shared" ca="1" si="41"/>
        <v/>
      </c>
      <c r="Q156" s="170">
        <f t="shared" ca="1" si="42"/>
        <v>0</v>
      </c>
      <c r="R156" s="170">
        <f t="shared" ca="1" si="43"/>
        <v>0</v>
      </c>
      <c r="S156" s="171" t="b">
        <f t="shared" si="44"/>
        <v>0</v>
      </c>
      <c r="T156" s="171" t="b">
        <f t="shared" ca="1" si="45"/>
        <v>0</v>
      </c>
      <c r="U156" s="172"/>
    </row>
    <row r="157" spans="1:21" hidden="1">
      <c r="A157" s="143">
        <v>108</v>
      </c>
      <c r="B157" s="167">
        <f t="shared" si="47"/>
        <v>0</v>
      </c>
      <c r="C157" s="167">
        <f t="shared" si="47"/>
        <v>0</v>
      </c>
      <c r="D157" s="167">
        <f t="shared" si="47"/>
        <v>0</v>
      </c>
      <c r="E157" s="168">
        <f t="shared" si="47"/>
        <v>0</v>
      </c>
      <c r="F157" s="167">
        <f t="shared" si="47"/>
        <v>0</v>
      </c>
      <c r="G157" s="168">
        <f t="shared" si="47"/>
        <v>0</v>
      </c>
      <c r="H157" s="169">
        <f t="shared" si="47"/>
        <v>0</v>
      </c>
      <c r="I157" s="169" t="e">
        <f t="shared" ca="1" si="38"/>
        <v>#VALUE!</v>
      </c>
      <c r="J157" s="169">
        <f t="shared" si="48"/>
        <v>0</v>
      </c>
      <c r="K157" s="170">
        <f t="shared" si="48"/>
        <v>0</v>
      </c>
      <c r="L157" s="169">
        <f t="shared" si="48"/>
        <v>0</v>
      </c>
      <c r="M157" s="169">
        <f t="shared" si="48"/>
        <v>0</v>
      </c>
      <c r="N157" s="169" t="e">
        <f t="shared" ca="1" si="39"/>
        <v>#VALUE!</v>
      </c>
      <c r="O157" s="171" t="str">
        <f t="shared" si="40"/>
        <v/>
      </c>
      <c r="P157" s="171" t="str">
        <f t="shared" ca="1" si="41"/>
        <v/>
      </c>
      <c r="Q157" s="170">
        <f t="shared" ca="1" si="42"/>
        <v>0</v>
      </c>
      <c r="R157" s="170">
        <f t="shared" ca="1" si="43"/>
        <v>0</v>
      </c>
      <c r="S157" s="171" t="b">
        <f t="shared" si="44"/>
        <v>0</v>
      </c>
      <c r="T157" s="171" t="b">
        <f t="shared" ca="1" si="45"/>
        <v>0</v>
      </c>
      <c r="U157" s="172"/>
    </row>
    <row r="158" spans="1:21" hidden="1">
      <c r="A158" s="143">
        <v>117</v>
      </c>
      <c r="B158" s="167">
        <f t="shared" si="47"/>
        <v>0</v>
      </c>
      <c r="C158" s="167">
        <f t="shared" si="47"/>
        <v>0</v>
      </c>
      <c r="D158" s="167">
        <f t="shared" si="47"/>
        <v>0</v>
      </c>
      <c r="E158" s="168">
        <f t="shared" si="47"/>
        <v>0</v>
      </c>
      <c r="F158" s="167">
        <f t="shared" si="47"/>
        <v>0</v>
      </c>
      <c r="G158" s="168">
        <f t="shared" si="47"/>
        <v>0</v>
      </c>
      <c r="H158" s="169">
        <f t="shared" si="47"/>
        <v>0</v>
      </c>
      <c r="I158" s="169" t="e">
        <f t="shared" ca="1" si="38"/>
        <v>#VALUE!</v>
      </c>
      <c r="J158" s="169">
        <f t="shared" si="48"/>
        <v>0</v>
      </c>
      <c r="K158" s="170">
        <f t="shared" si="48"/>
        <v>0</v>
      </c>
      <c r="L158" s="169">
        <f t="shared" si="48"/>
        <v>0</v>
      </c>
      <c r="M158" s="169">
        <f t="shared" si="48"/>
        <v>0</v>
      </c>
      <c r="N158" s="169" t="e">
        <f t="shared" ca="1" si="39"/>
        <v>#VALUE!</v>
      </c>
      <c r="O158" s="171" t="str">
        <f t="shared" si="40"/>
        <v/>
      </c>
      <c r="P158" s="171" t="str">
        <f t="shared" ca="1" si="41"/>
        <v/>
      </c>
      <c r="Q158" s="170">
        <f t="shared" ca="1" si="42"/>
        <v>0</v>
      </c>
      <c r="R158" s="170">
        <f t="shared" ca="1" si="43"/>
        <v>0</v>
      </c>
      <c r="S158" s="171" t="b">
        <f t="shared" si="44"/>
        <v>0</v>
      </c>
      <c r="T158" s="171" t="b">
        <f t="shared" ca="1" si="45"/>
        <v>0</v>
      </c>
      <c r="U158" s="172"/>
    </row>
    <row r="159" spans="1:21" hidden="1">
      <c r="A159" s="143">
        <v>122</v>
      </c>
      <c r="B159" s="167">
        <f t="shared" si="47"/>
        <v>0</v>
      </c>
      <c r="C159" s="167">
        <f t="shared" si="47"/>
        <v>0</v>
      </c>
      <c r="D159" s="167">
        <f t="shared" si="47"/>
        <v>0</v>
      </c>
      <c r="E159" s="168">
        <f t="shared" si="47"/>
        <v>0</v>
      </c>
      <c r="F159" s="167">
        <f t="shared" si="47"/>
        <v>0</v>
      </c>
      <c r="G159" s="168">
        <f t="shared" si="47"/>
        <v>0</v>
      </c>
      <c r="H159" s="169">
        <f t="shared" si="47"/>
        <v>0</v>
      </c>
      <c r="I159" s="169" t="e">
        <f t="shared" ca="1" si="38"/>
        <v>#VALUE!</v>
      </c>
      <c r="J159" s="169">
        <f t="shared" si="48"/>
        <v>0</v>
      </c>
      <c r="K159" s="170">
        <f t="shared" si="48"/>
        <v>0</v>
      </c>
      <c r="L159" s="169">
        <f t="shared" si="48"/>
        <v>0</v>
      </c>
      <c r="M159" s="169">
        <f t="shared" si="48"/>
        <v>0</v>
      </c>
      <c r="N159" s="169" t="e">
        <f t="shared" ca="1" si="39"/>
        <v>#VALUE!</v>
      </c>
      <c r="O159" s="171" t="str">
        <f t="shared" si="40"/>
        <v/>
      </c>
      <c r="P159" s="171" t="str">
        <f t="shared" ca="1" si="41"/>
        <v/>
      </c>
      <c r="Q159" s="170">
        <f t="shared" ca="1" si="42"/>
        <v>0</v>
      </c>
      <c r="R159" s="170">
        <f t="shared" ca="1" si="43"/>
        <v>0</v>
      </c>
      <c r="S159" s="171" t="b">
        <f t="shared" si="44"/>
        <v>0</v>
      </c>
      <c r="T159" s="171" t="b">
        <f t="shared" ca="1" si="45"/>
        <v>0</v>
      </c>
      <c r="U159" s="172"/>
    </row>
    <row r="160" spans="1:21" hidden="1">
      <c r="A160" s="143">
        <v>132</v>
      </c>
      <c r="B160" s="167">
        <f t="shared" si="47"/>
        <v>0</v>
      </c>
      <c r="C160" s="167">
        <f t="shared" si="47"/>
        <v>0</v>
      </c>
      <c r="D160" s="167">
        <f t="shared" si="47"/>
        <v>0</v>
      </c>
      <c r="E160" s="168">
        <f t="shared" si="47"/>
        <v>0</v>
      </c>
      <c r="F160" s="167">
        <f t="shared" si="47"/>
        <v>0</v>
      </c>
      <c r="G160" s="168">
        <f t="shared" si="47"/>
        <v>0</v>
      </c>
      <c r="H160" s="169">
        <f t="shared" si="47"/>
        <v>0</v>
      </c>
      <c r="I160" s="169" t="e">
        <f t="shared" ca="1" si="38"/>
        <v>#VALUE!</v>
      </c>
      <c r="J160" s="169">
        <f t="shared" si="48"/>
        <v>0</v>
      </c>
      <c r="K160" s="170">
        <f t="shared" si="48"/>
        <v>0</v>
      </c>
      <c r="L160" s="169">
        <f t="shared" si="48"/>
        <v>0</v>
      </c>
      <c r="M160" s="169">
        <f t="shared" si="48"/>
        <v>0</v>
      </c>
      <c r="N160" s="169" t="e">
        <f t="shared" ca="1" si="39"/>
        <v>#VALUE!</v>
      </c>
      <c r="O160" s="171" t="str">
        <f t="shared" si="40"/>
        <v/>
      </c>
      <c r="P160" s="171" t="str">
        <f t="shared" ca="1" si="41"/>
        <v/>
      </c>
      <c r="Q160" s="170">
        <f t="shared" ca="1" si="42"/>
        <v>0</v>
      </c>
      <c r="R160" s="170">
        <f t="shared" ca="1" si="43"/>
        <v>0</v>
      </c>
      <c r="S160" s="171" t="b">
        <f t="shared" si="44"/>
        <v>0</v>
      </c>
      <c r="T160" s="171" t="b">
        <f t="shared" ca="1" si="45"/>
        <v>0</v>
      </c>
      <c r="U160" s="172"/>
    </row>
    <row r="161" spans="1:21" hidden="1">
      <c r="A161" s="143">
        <v>142</v>
      </c>
      <c r="B161" s="167">
        <f t="shared" ref="B161:H170" si="49">IF($A161&lt;=$A$8,INDEX(Import.PO,$A161,B$8),0)</f>
        <v>0</v>
      </c>
      <c r="C161" s="167">
        <f t="shared" si="49"/>
        <v>0</v>
      </c>
      <c r="D161" s="167">
        <f t="shared" si="49"/>
        <v>0</v>
      </c>
      <c r="E161" s="168">
        <f t="shared" si="49"/>
        <v>0</v>
      </c>
      <c r="F161" s="167">
        <f t="shared" si="49"/>
        <v>0</v>
      </c>
      <c r="G161" s="168">
        <f t="shared" si="49"/>
        <v>0</v>
      </c>
      <c r="H161" s="169">
        <f t="shared" si="49"/>
        <v>0</v>
      </c>
      <c r="I161" s="169" t="e">
        <f t="shared" ca="1" si="38"/>
        <v>#VALUE!</v>
      </c>
      <c r="J161" s="169">
        <f t="shared" si="48"/>
        <v>0</v>
      </c>
      <c r="K161" s="170">
        <f t="shared" si="48"/>
        <v>0</v>
      </c>
      <c r="L161" s="169">
        <f t="shared" si="48"/>
        <v>0</v>
      </c>
      <c r="M161" s="169">
        <f t="shared" si="48"/>
        <v>0</v>
      </c>
      <c r="N161" s="169" t="e">
        <f t="shared" ca="1" si="39"/>
        <v>#VALUE!</v>
      </c>
      <c r="O161" s="171" t="str">
        <f t="shared" si="40"/>
        <v/>
      </c>
      <c r="P161" s="171" t="str">
        <f t="shared" ca="1" si="41"/>
        <v/>
      </c>
      <c r="Q161" s="170">
        <f t="shared" ca="1" si="42"/>
        <v>0</v>
      </c>
      <c r="R161" s="170">
        <f t="shared" ca="1" si="43"/>
        <v>0</v>
      </c>
      <c r="S161" s="171" t="b">
        <f t="shared" si="44"/>
        <v>0</v>
      </c>
      <c r="T161" s="171" t="b">
        <f t="shared" ca="1" si="45"/>
        <v>0</v>
      </c>
      <c r="U161" s="172"/>
    </row>
    <row r="162" spans="1:21" hidden="1">
      <c r="A162" s="143">
        <v>150</v>
      </c>
      <c r="B162" s="167">
        <f t="shared" si="49"/>
        <v>0</v>
      </c>
      <c r="C162" s="167">
        <f t="shared" si="49"/>
        <v>0</v>
      </c>
      <c r="D162" s="167">
        <f t="shared" si="49"/>
        <v>0</v>
      </c>
      <c r="E162" s="168">
        <f t="shared" si="49"/>
        <v>0</v>
      </c>
      <c r="F162" s="167">
        <f t="shared" si="49"/>
        <v>0</v>
      </c>
      <c r="G162" s="168">
        <f t="shared" si="49"/>
        <v>0</v>
      </c>
      <c r="H162" s="169">
        <f t="shared" si="49"/>
        <v>0</v>
      </c>
      <c r="I162" s="169" t="e">
        <f t="shared" ca="1" si="38"/>
        <v>#VALUE!</v>
      </c>
      <c r="J162" s="169">
        <f t="shared" si="48"/>
        <v>0</v>
      </c>
      <c r="K162" s="170">
        <f t="shared" si="48"/>
        <v>0</v>
      </c>
      <c r="L162" s="169">
        <f t="shared" si="48"/>
        <v>0</v>
      </c>
      <c r="M162" s="169">
        <f t="shared" si="48"/>
        <v>0</v>
      </c>
      <c r="N162" s="169" t="e">
        <f t="shared" ca="1" si="39"/>
        <v>#VALUE!</v>
      </c>
      <c r="O162" s="171" t="str">
        <f t="shared" si="40"/>
        <v/>
      </c>
      <c r="P162" s="171" t="str">
        <f t="shared" ca="1" si="41"/>
        <v/>
      </c>
      <c r="Q162" s="170">
        <f t="shared" ca="1" si="42"/>
        <v>0</v>
      </c>
      <c r="R162" s="170">
        <f t="shared" ca="1" si="43"/>
        <v>0</v>
      </c>
      <c r="S162" s="171" t="b">
        <f t="shared" si="44"/>
        <v>0</v>
      </c>
      <c r="T162" s="171" t="b">
        <f t="shared" ca="1" si="45"/>
        <v>0</v>
      </c>
      <c r="U162" s="172"/>
    </row>
    <row r="163" spans="1:21" hidden="1">
      <c r="A163" s="143">
        <v>160</v>
      </c>
      <c r="B163" s="167">
        <f t="shared" si="49"/>
        <v>0</v>
      </c>
      <c r="C163" s="167">
        <f t="shared" si="49"/>
        <v>0</v>
      </c>
      <c r="D163" s="167">
        <f t="shared" si="49"/>
        <v>0</v>
      </c>
      <c r="E163" s="168">
        <f t="shared" si="49"/>
        <v>0</v>
      </c>
      <c r="F163" s="167">
        <f t="shared" si="49"/>
        <v>0</v>
      </c>
      <c r="G163" s="168">
        <f t="shared" si="49"/>
        <v>0</v>
      </c>
      <c r="H163" s="169">
        <f t="shared" si="49"/>
        <v>0</v>
      </c>
      <c r="I163" s="169" t="e">
        <f t="shared" ca="1" si="38"/>
        <v>#VALUE!</v>
      </c>
      <c r="J163" s="169">
        <f t="shared" si="48"/>
        <v>0</v>
      </c>
      <c r="K163" s="170">
        <f t="shared" si="48"/>
        <v>0</v>
      </c>
      <c r="L163" s="169">
        <f t="shared" si="48"/>
        <v>0</v>
      </c>
      <c r="M163" s="169">
        <f t="shared" si="48"/>
        <v>0</v>
      </c>
      <c r="N163" s="169" t="e">
        <f t="shared" ca="1" si="39"/>
        <v>#VALUE!</v>
      </c>
      <c r="O163" s="171" t="str">
        <f t="shared" si="40"/>
        <v/>
      </c>
      <c r="P163" s="171" t="str">
        <f t="shared" ca="1" si="41"/>
        <v/>
      </c>
      <c r="Q163" s="170">
        <f t="shared" ca="1" si="42"/>
        <v>0</v>
      </c>
      <c r="R163" s="170">
        <f t="shared" ca="1" si="43"/>
        <v>0</v>
      </c>
      <c r="S163" s="171" t="b">
        <f t="shared" si="44"/>
        <v>0</v>
      </c>
      <c r="T163" s="171" t="b">
        <f t="shared" ca="1" si="45"/>
        <v>0</v>
      </c>
      <c r="U163" s="172"/>
    </row>
    <row r="164" spans="1:21" hidden="1">
      <c r="A164" s="143">
        <v>168</v>
      </c>
      <c r="B164" s="167">
        <f t="shared" si="49"/>
        <v>0</v>
      </c>
      <c r="C164" s="167">
        <f t="shared" si="49"/>
        <v>0</v>
      </c>
      <c r="D164" s="167">
        <f t="shared" si="49"/>
        <v>0</v>
      </c>
      <c r="E164" s="168">
        <f t="shared" si="49"/>
        <v>0</v>
      </c>
      <c r="F164" s="167">
        <f t="shared" si="49"/>
        <v>0</v>
      </c>
      <c r="G164" s="168">
        <f t="shared" si="49"/>
        <v>0</v>
      </c>
      <c r="H164" s="169">
        <f t="shared" si="49"/>
        <v>0</v>
      </c>
      <c r="I164" s="169" t="e">
        <f t="shared" ca="1" si="38"/>
        <v>#VALUE!</v>
      </c>
      <c r="J164" s="169">
        <f t="shared" si="48"/>
        <v>0</v>
      </c>
      <c r="K164" s="170">
        <f t="shared" si="48"/>
        <v>0</v>
      </c>
      <c r="L164" s="169">
        <f t="shared" si="48"/>
        <v>0</v>
      </c>
      <c r="M164" s="169">
        <f t="shared" si="48"/>
        <v>0</v>
      </c>
      <c r="N164" s="169" t="e">
        <f t="shared" ca="1" si="39"/>
        <v>#VALUE!</v>
      </c>
      <c r="O164" s="171" t="str">
        <f t="shared" si="40"/>
        <v/>
      </c>
      <c r="P164" s="171" t="str">
        <f t="shared" ca="1" si="41"/>
        <v/>
      </c>
      <c r="Q164" s="170">
        <f t="shared" ca="1" si="42"/>
        <v>0</v>
      </c>
      <c r="R164" s="170">
        <f t="shared" ca="1" si="43"/>
        <v>0</v>
      </c>
      <c r="S164" s="171" t="b">
        <f t="shared" si="44"/>
        <v>0</v>
      </c>
      <c r="T164" s="171" t="b">
        <f t="shared" ca="1" si="45"/>
        <v>0</v>
      </c>
      <c r="U164" s="172"/>
    </row>
    <row r="165" spans="1:21" hidden="1">
      <c r="A165" s="143">
        <v>178</v>
      </c>
      <c r="B165" s="167">
        <f t="shared" si="49"/>
        <v>0</v>
      </c>
      <c r="C165" s="167">
        <f t="shared" si="49"/>
        <v>0</v>
      </c>
      <c r="D165" s="167">
        <f t="shared" si="49"/>
        <v>0</v>
      </c>
      <c r="E165" s="168">
        <f t="shared" si="49"/>
        <v>0</v>
      </c>
      <c r="F165" s="167">
        <f t="shared" si="49"/>
        <v>0</v>
      </c>
      <c r="G165" s="168">
        <f t="shared" si="49"/>
        <v>0</v>
      </c>
      <c r="H165" s="169">
        <f t="shared" si="49"/>
        <v>0</v>
      </c>
      <c r="I165" s="169" t="e">
        <f t="shared" ca="1" si="38"/>
        <v>#VALUE!</v>
      </c>
      <c r="J165" s="169">
        <f t="shared" si="48"/>
        <v>0</v>
      </c>
      <c r="K165" s="170">
        <f t="shared" si="48"/>
        <v>0</v>
      </c>
      <c r="L165" s="169">
        <f t="shared" si="48"/>
        <v>0</v>
      </c>
      <c r="M165" s="169">
        <f t="shared" si="48"/>
        <v>0</v>
      </c>
      <c r="N165" s="169" t="e">
        <f t="shared" ca="1" si="39"/>
        <v>#VALUE!</v>
      </c>
      <c r="O165" s="171" t="str">
        <f t="shared" si="40"/>
        <v/>
      </c>
      <c r="P165" s="171" t="str">
        <f t="shared" ca="1" si="41"/>
        <v/>
      </c>
      <c r="Q165" s="170">
        <f t="shared" ca="1" si="42"/>
        <v>0</v>
      </c>
      <c r="R165" s="170">
        <f t="shared" ca="1" si="43"/>
        <v>0</v>
      </c>
      <c r="S165" s="171" t="b">
        <f t="shared" si="44"/>
        <v>0</v>
      </c>
      <c r="T165" s="171" t="b">
        <f t="shared" ca="1" si="45"/>
        <v>0</v>
      </c>
      <c r="U165" s="172"/>
    </row>
    <row r="166" spans="1:21" hidden="1">
      <c r="A166" s="143">
        <v>183</v>
      </c>
      <c r="B166" s="167">
        <f t="shared" si="49"/>
        <v>0</v>
      </c>
      <c r="C166" s="167">
        <f t="shared" si="49"/>
        <v>0</v>
      </c>
      <c r="D166" s="167">
        <f t="shared" si="49"/>
        <v>0</v>
      </c>
      <c r="E166" s="168">
        <f t="shared" si="49"/>
        <v>0</v>
      </c>
      <c r="F166" s="167">
        <f t="shared" si="49"/>
        <v>0</v>
      </c>
      <c r="G166" s="168">
        <f t="shared" si="49"/>
        <v>0</v>
      </c>
      <c r="H166" s="169">
        <f t="shared" si="49"/>
        <v>0</v>
      </c>
      <c r="I166" s="169" t="e">
        <f t="shared" ca="1" si="38"/>
        <v>#VALUE!</v>
      </c>
      <c r="J166" s="169">
        <f t="shared" si="48"/>
        <v>0</v>
      </c>
      <c r="K166" s="170">
        <f t="shared" si="48"/>
        <v>0</v>
      </c>
      <c r="L166" s="169">
        <f t="shared" si="48"/>
        <v>0</v>
      </c>
      <c r="M166" s="169">
        <f t="shared" si="48"/>
        <v>0</v>
      </c>
      <c r="N166" s="169" t="e">
        <f t="shared" ca="1" si="39"/>
        <v>#VALUE!</v>
      </c>
      <c r="O166" s="171" t="str">
        <f t="shared" si="40"/>
        <v/>
      </c>
      <c r="P166" s="171" t="str">
        <f t="shared" ca="1" si="41"/>
        <v/>
      </c>
      <c r="Q166" s="170">
        <f t="shared" ca="1" si="42"/>
        <v>0</v>
      </c>
      <c r="R166" s="170">
        <f t="shared" ca="1" si="43"/>
        <v>0</v>
      </c>
      <c r="S166" s="171" t="b">
        <f t="shared" si="44"/>
        <v>0</v>
      </c>
      <c r="T166" s="171" t="b">
        <f t="shared" ca="1" si="45"/>
        <v>0</v>
      </c>
      <c r="U166" s="172"/>
    </row>
    <row r="167" spans="1:21" hidden="1">
      <c r="A167" s="143">
        <v>193</v>
      </c>
      <c r="B167" s="167">
        <f t="shared" si="49"/>
        <v>0</v>
      </c>
      <c r="C167" s="167">
        <f t="shared" si="49"/>
        <v>0</v>
      </c>
      <c r="D167" s="167">
        <f t="shared" si="49"/>
        <v>0</v>
      </c>
      <c r="E167" s="168">
        <f t="shared" si="49"/>
        <v>0</v>
      </c>
      <c r="F167" s="167">
        <f t="shared" si="49"/>
        <v>0</v>
      </c>
      <c r="G167" s="168">
        <f t="shared" si="49"/>
        <v>0</v>
      </c>
      <c r="H167" s="169">
        <f t="shared" si="49"/>
        <v>0</v>
      </c>
      <c r="I167" s="169" t="e">
        <f t="shared" ca="1" si="38"/>
        <v>#VALUE!</v>
      </c>
      <c r="J167" s="169">
        <f t="shared" si="48"/>
        <v>0</v>
      </c>
      <c r="K167" s="170">
        <f t="shared" si="48"/>
        <v>0</v>
      </c>
      <c r="L167" s="169">
        <f t="shared" si="48"/>
        <v>0</v>
      </c>
      <c r="M167" s="169">
        <f t="shared" si="48"/>
        <v>0</v>
      </c>
      <c r="N167" s="169" t="e">
        <f t="shared" ca="1" si="39"/>
        <v>#VALUE!</v>
      </c>
      <c r="O167" s="171" t="str">
        <f t="shared" si="40"/>
        <v/>
      </c>
      <c r="P167" s="171" t="str">
        <f t="shared" ca="1" si="41"/>
        <v/>
      </c>
      <c r="Q167" s="170">
        <f t="shared" ca="1" si="42"/>
        <v>0</v>
      </c>
      <c r="R167" s="170">
        <f t="shared" ca="1" si="43"/>
        <v>0</v>
      </c>
      <c r="S167" s="171" t="b">
        <f t="shared" si="44"/>
        <v>0</v>
      </c>
      <c r="T167" s="171" t="b">
        <f t="shared" ca="1" si="45"/>
        <v>0</v>
      </c>
      <c r="U167" s="172"/>
    </row>
    <row r="168" spans="1:21" hidden="1">
      <c r="A168" s="143">
        <v>203</v>
      </c>
      <c r="B168" s="167">
        <f t="shared" si="49"/>
        <v>0</v>
      </c>
      <c r="C168" s="167">
        <f t="shared" si="49"/>
        <v>0</v>
      </c>
      <c r="D168" s="167">
        <f t="shared" si="49"/>
        <v>0</v>
      </c>
      <c r="E168" s="168">
        <f t="shared" si="49"/>
        <v>0</v>
      </c>
      <c r="F168" s="167">
        <f t="shared" si="49"/>
        <v>0</v>
      </c>
      <c r="G168" s="168">
        <f t="shared" si="49"/>
        <v>0</v>
      </c>
      <c r="H168" s="169">
        <f t="shared" si="49"/>
        <v>0</v>
      </c>
      <c r="I168" s="169" t="e">
        <f t="shared" ca="1" si="38"/>
        <v>#VALUE!</v>
      </c>
      <c r="J168" s="169">
        <f t="shared" si="48"/>
        <v>0</v>
      </c>
      <c r="K168" s="170">
        <f t="shared" si="48"/>
        <v>0</v>
      </c>
      <c r="L168" s="169">
        <f t="shared" si="48"/>
        <v>0</v>
      </c>
      <c r="M168" s="169">
        <f t="shared" si="48"/>
        <v>0</v>
      </c>
      <c r="N168" s="169" t="e">
        <f t="shared" ca="1" si="39"/>
        <v>#VALUE!</v>
      </c>
      <c r="O168" s="171" t="str">
        <f t="shared" si="40"/>
        <v/>
      </c>
      <c r="P168" s="171" t="str">
        <f t="shared" ca="1" si="41"/>
        <v/>
      </c>
      <c r="Q168" s="170">
        <f t="shared" ca="1" si="42"/>
        <v>0</v>
      </c>
      <c r="R168" s="170">
        <f t="shared" ca="1" si="43"/>
        <v>0</v>
      </c>
      <c r="S168" s="171" t="b">
        <f t="shared" si="44"/>
        <v>0</v>
      </c>
      <c r="T168" s="171" t="b">
        <f t="shared" ca="1" si="45"/>
        <v>0</v>
      </c>
      <c r="U168" s="172"/>
    </row>
    <row r="169" spans="1:21" hidden="1">
      <c r="A169" s="143">
        <v>207</v>
      </c>
      <c r="B169" s="167">
        <f t="shared" si="49"/>
        <v>0</v>
      </c>
      <c r="C169" s="167">
        <f t="shared" si="49"/>
        <v>0</v>
      </c>
      <c r="D169" s="167">
        <f t="shared" si="49"/>
        <v>0</v>
      </c>
      <c r="E169" s="168">
        <f t="shared" si="49"/>
        <v>0</v>
      </c>
      <c r="F169" s="167">
        <f t="shared" si="49"/>
        <v>0</v>
      </c>
      <c r="G169" s="168">
        <f t="shared" si="49"/>
        <v>0</v>
      </c>
      <c r="H169" s="169">
        <f t="shared" si="49"/>
        <v>0</v>
      </c>
      <c r="I169" s="169" t="e">
        <f t="shared" ca="1" si="38"/>
        <v>#VALUE!</v>
      </c>
      <c r="J169" s="169">
        <f t="shared" si="48"/>
        <v>0</v>
      </c>
      <c r="K169" s="170">
        <f t="shared" si="48"/>
        <v>0</v>
      </c>
      <c r="L169" s="169">
        <f t="shared" si="48"/>
        <v>0</v>
      </c>
      <c r="M169" s="169">
        <f t="shared" si="48"/>
        <v>0</v>
      </c>
      <c r="N169" s="169" t="e">
        <f t="shared" ca="1" si="39"/>
        <v>#VALUE!</v>
      </c>
      <c r="O169" s="171" t="str">
        <f t="shared" si="40"/>
        <v/>
      </c>
      <c r="P169" s="171" t="str">
        <f t="shared" ca="1" si="41"/>
        <v/>
      </c>
      <c r="Q169" s="170">
        <f t="shared" ca="1" si="42"/>
        <v>0</v>
      </c>
      <c r="R169" s="170">
        <f t="shared" ca="1" si="43"/>
        <v>0</v>
      </c>
      <c r="S169" s="171" t="b">
        <f t="shared" si="44"/>
        <v>0</v>
      </c>
      <c r="T169" s="171" t="b">
        <f t="shared" ca="1" si="45"/>
        <v>0</v>
      </c>
      <c r="U169" s="172"/>
    </row>
    <row r="170" spans="1:21" hidden="1">
      <c r="A170" s="143">
        <v>220</v>
      </c>
      <c r="B170" s="167">
        <f t="shared" si="49"/>
        <v>0</v>
      </c>
      <c r="C170" s="167">
        <f t="shared" si="49"/>
        <v>0</v>
      </c>
      <c r="D170" s="167">
        <f t="shared" si="49"/>
        <v>0</v>
      </c>
      <c r="E170" s="168">
        <f t="shared" si="49"/>
        <v>0</v>
      </c>
      <c r="F170" s="167">
        <f t="shared" si="49"/>
        <v>0</v>
      </c>
      <c r="G170" s="168">
        <f t="shared" si="49"/>
        <v>0</v>
      </c>
      <c r="H170" s="169">
        <f t="shared" si="49"/>
        <v>0</v>
      </c>
      <c r="I170" s="169" t="e">
        <f t="shared" ca="1" si="38"/>
        <v>#VALUE!</v>
      </c>
      <c r="J170" s="169">
        <f t="shared" si="48"/>
        <v>0</v>
      </c>
      <c r="K170" s="170">
        <f t="shared" si="48"/>
        <v>0</v>
      </c>
      <c r="L170" s="169">
        <f t="shared" si="48"/>
        <v>0</v>
      </c>
      <c r="M170" s="169">
        <f t="shared" si="48"/>
        <v>0</v>
      </c>
      <c r="N170" s="169" t="e">
        <f t="shared" ca="1" si="39"/>
        <v>#VALUE!</v>
      </c>
      <c r="O170" s="171" t="str">
        <f t="shared" si="40"/>
        <v/>
      </c>
      <c r="P170" s="171" t="str">
        <f t="shared" ca="1" si="41"/>
        <v/>
      </c>
      <c r="Q170" s="170">
        <f t="shared" ca="1" si="42"/>
        <v>0</v>
      </c>
      <c r="R170" s="170">
        <f t="shared" ca="1" si="43"/>
        <v>0</v>
      </c>
      <c r="S170" s="171" t="b">
        <f t="shared" si="44"/>
        <v>0</v>
      </c>
      <c r="T170" s="171" t="b">
        <f t="shared" ca="1" si="45"/>
        <v>0</v>
      </c>
      <c r="U170" s="172"/>
    </row>
    <row r="171" spans="1:21" hidden="1">
      <c r="A171" s="143">
        <v>230</v>
      </c>
      <c r="B171" s="167">
        <f t="shared" ref="B171:H180" si="50">IF($A171&lt;=$A$8,INDEX(Import.PO,$A171,B$8),0)</f>
        <v>0</v>
      </c>
      <c r="C171" s="167">
        <f t="shared" si="50"/>
        <v>0</v>
      </c>
      <c r="D171" s="167">
        <f t="shared" si="50"/>
        <v>0</v>
      </c>
      <c r="E171" s="168">
        <f t="shared" si="50"/>
        <v>0</v>
      </c>
      <c r="F171" s="167">
        <f t="shared" si="50"/>
        <v>0</v>
      </c>
      <c r="G171" s="168">
        <f t="shared" si="50"/>
        <v>0</v>
      </c>
      <c r="H171" s="169">
        <f t="shared" si="50"/>
        <v>0</v>
      </c>
      <c r="I171" s="169" t="e">
        <f t="shared" ca="1" si="38"/>
        <v>#VALUE!</v>
      </c>
      <c r="J171" s="169">
        <f t="shared" ref="J171:M190" si="51">IF($A171&lt;=$A$8,INDEX(Import.PO,$A171,J$8),0)</f>
        <v>0</v>
      </c>
      <c r="K171" s="170">
        <f t="shared" si="51"/>
        <v>0</v>
      </c>
      <c r="L171" s="169">
        <f t="shared" si="51"/>
        <v>0</v>
      </c>
      <c r="M171" s="169">
        <f t="shared" si="51"/>
        <v>0</v>
      </c>
      <c r="N171" s="169" t="e">
        <f t="shared" ca="1" si="39"/>
        <v>#VALUE!</v>
      </c>
      <c r="O171" s="171" t="str">
        <f t="shared" si="40"/>
        <v/>
      </c>
      <c r="P171" s="171" t="str">
        <f t="shared" ca="1" si="41"/>
        <v/>
      </c>
      <c r="Q171" s="170">
        <f t="shared" ca="1" si="42"/>
        <v>0</v>
      </c>
      <c r="R171" s="170">
        <f t="shared" ca="1" si="43"/>
        <v>0</v>
      </c>
      <c r="S171" s="171" t="b">
        <f t="shared" si="44"/>
        <v>0</v>
      </c>
      <c r="T171" s="171" t="b">
        <f t="shared" ca="1" si="45"/>
        <v>0</v>
      </c>
      <c r="U171" s="172"/>
    </row>
    <row r="172" spans="1:21" hidden="1">
      <c r="A172" s="143">
        <v>239</v>
      </c>
      <c r="B172" s="167">
        <f t="shared" si="50"/>
        <v>0</v>
      </c>
      <c r="C172" s="167">
        <f t="shared" si="50"/>
        <v>0</v>
      </c>
      <c r="D172" s="167">
        <f t="shared" si="50"/>
        <v>0</v>
      </c>
      <c r="E172" s="168">
        <f t="shared" si="50"/>
        <v>0</v>
      </c>
      <c r="F172" s="167">
        <f t="shared" si="50"/>
        <v>0</v>
      </c>
      <c r="G172" s="168">
        <f t="shared" si="50"/>
        <v>0</v>
      </c>
      <c r="H172" s="169">
        <f t="shared" si="50"/>
        <v>0</v>
      </c>
      <c r="I172" s="169" t="e">
        <f t="shared" ca="1" si="38"/>
        <v>#VALUE!</v>
      </c>
      <c r="J172" s="169">
        <f t="shared" si="51"/>
        <v>0</v>
      </c>
      <c r="K172" s="170">
        <f t="shared" si="51"/>
        <v>0</v>
      </c>
      <c r="L172" s="169">
        <f t="shared" si="51"/>
        <v>0</v>
      </c>
      <c r="M172" s="169">
        <f t="shared" si="51"/>
        <v>0</v>
      </c>
      <c r="N172" s="169" t="e">
        <f t="shared" ca="1" si="39"/>
        <v>#VALUE!</v>
      </c>
      <c r="O172" s="171" t="str">
        <f t="shared" si="40"/>
        <v/>
      </c>
      <c r="P172" s="171" t="str">
        <f t="shared" ca="1" si="41"/>
        <v/>
      </c>
      <c r="Q172" s="170">
        <f t="shared" ca="1" si="42"/>
        <v>0</v>
      </c>
      <c r="R172" s="170">
        <f t="shared" ca="1" si="43"/>
        <v>0</v>
      </c>
      <c r="S172" s="171" t="b">
        <f t="shared" si="44"/>
        <v>0</v>
      </c>
      <c r="T172" s="171" t="b">
        <f t="shared" ca="1" si="45"/>
        <v>0</v>
      </c>
      <c r="U172" s="172"/>
    </row>
    <row r="173" spans="1:21" hidden="1">
      <c r="A173" s="143">
        <v>246</v>
      </c>
      <c r="B173" s="167">
        <f t="shared" si="50"/>
        <v>0</v>
      </c>
      <c r="C173" s="167">
        <f t="shared" si="50"/>
        <v>0</v>
      </c>
      <c r="D173" s="167">
        <f t="shared" si="50"/>
        <v>0</v>
      </c>
      <c r="E173" s="168">
        <f t="shared" si="50"/>
        <v>0</v>
      </c>
      <c r="F173" s="167">
        <f t="shared" si="50"/>
        <v>0</v>
      </c>
      <c r="G173" s="168">
        <f t="shared" si="50"/>
        <v>0</v>
      </c>
      <c r="H173" s="169">
        <f t="shared" si="50"/>
        <v>0</v>
      </c>
      <c r="I173" s="169" t="e">
        <f t="shared" ca="1" si="38"/>
        <v>#VALUE!</v>
      </c>
      <c r="J173" s="169">
        <f t="shared" si="51"/>
        <v>0</v>
      </c>
      <c r="K173" s="170">
        <f t="shared" si="51"/>
        <v>0</v>
      </c>
      <c r="L173" s="169">
        <f t="shared" si="51"/>
        <v>0</v>
      </c>
      <c r="M173" s="169">
        <f t="shared" si="51"/>
        <v>0</v>
      </c>
      <c r="N173" s="169" t="e">
        <f t="shared" ca="1" si="39"/>
        <v>#VALUE!</v>
      </c>
      <c r="O173" s="171" t="str">
        <f t="shared" si="40"/>
        <v/>
      </c>
      <c r="P173" s="171" t="str">
        <f t="shared" ca="1" si="41"/>
        <v/>
      </c>
      <c r="Q173" s="170">
        <f t="shared" ca="1" si="42"/>
        <v>0</v>
      </c>
      <c r="R173" s="170">
        <f t="shared" ca="1" si="43"/>
        <v>0</v>
      </c>
      <c r="S173" s="171" t="b">
        <f t="shared" si="44"/>
        <v>0</v>
      </c>
      <c r="T173" s="171" t="b">
        <f t="shared" ca="1" si="45"/>
        <v>0</v>
      </c>
      <c r="U173" s="172"/>
    </row>
    <row r="174" spans="1:21" hidden="1">
      <c r="A174" s="143">
        <v>256</v>
      </c>
      <c r="B174" s="167">
        <f t="shared" si="50"/>
        <v>0</v>
      </c>
      <c r="C174" s="167">
        <f t="shared" si="50"/>
        <v>0</v>
      </c>
      <c r="D174" s="167">
        <f t="shared" si="50"/>
        <v>0</v>
      </c>
      <c r="E174" s="168">
        <f t="shared" si="50"/>
        <v>0</v>
      </c>
      <c r="F174" s="167">
        <f t="shared" si="50"/>
        <v>0</v>
      </c>
      <c r="G174" s="168">
        <f t="shared" si="50"/>
        <v>0</v>
      </c>
      <c r="H174" s="169">
        <f t="shared" si="50"/>
        <v>0</v>
      </c>
      <c r="I174" s="169" t="e">
        <f t="shared" ca="1" si="38"/>
        <v>#VALUE!</v>
      </c>
      <c r="J174" s="169">
        <f t="shared" si="51"/>
        <v>0</v>
      </c>
      <c r="K174" s="170">
        <f t="shared" si="51"/>
        <v>0</v>
      </c>
      <c r="L174" s="169">
        <f t="shared" si="51"/>
        <v>0</v>
      </c>
      <c r="M174" s="169">
        <f t="shared" si="51"/>
        <v>0</v>
      </c>
      <c r="N174" s="169" t="e">
        <f t="shared" ca="1" si="39"/>
        <v>#VALUE!</v>
      </c>
      <c r="O174" s="171" t="str">
        <f t="shared" si="40"/>
        <v/>
      </c>
      <c r="P174" s="171" t="str">
        <f t="shared" ca="1" si="41"/>
        <v/>
      </c>
      <c r="Q174" s="170">
        <f t="shared" ca="1" si="42"/>
        <v>0</v>
      </c>
      <c r="R174" s="170">
        <f t="shared" ca="1" si="43"/>
        <v>0</v>
      </c>
      <c r="S174" s="171" t="b">
        <f t="shared" si="44"/>
        <v>0</v>
      </c>
      <c r="T174" s="171" t="b">
        <f t="shared" ca="1" si="45"/>
        <v>0</v>
      </c>
      <c r="U174" s="172"/>
    </row>
    <row r="175" spans="1:21" hidden="1">
      <c r="A175" s="143">
        <v>266</v>
      </c>
      <c r="B175" s="167">
        <f t="shared" si="50"/>
        <v>0</v>
      </c>
      <c r="C175" s="167">
        <f t="shared" si="50"/>
        <v>0</v>
      </c>
      <c r="D175" s="167">
        <f t="shared" si="50"/>
        <v>0</v>
      </c>
      <c r="E175" s="168">
        <f t="shared" si="50"/>
        <v>0</v>
      </c>
      <c r="F175" s="167">
        <f t="shared" si="50"/>
        <v>0</v>
      </c>
      <c r="G175" s="168">
        <f t="shared" si="50"/>
        <v>0</v>
      </c>
      <c r="H175" s="169">
        <f t="shared" si="50"/>
        <v>0</v>
      </c>
      <c r="I175" s="169" t="e">
        <f t="shared" ca="1" si="38"/>
        <v>#VALUE!</v>
      </c>
      <c r="J175" s="169">
        <f t="shared" si="51"/>
        <v>0</v>
      </c>
      <c r="K175" s="170">
        <f t="shared" si="51"/>
        <v>0</v>
      </c>
      <c r="L175" s="169">
        <f t="shared" si="51"/>
        <v>0</v>
      </c>
      <c r="M175" s="169">
        <f t="shared" si="51"/>
        <v>0</v>
      </c>
      <c r="N175" s="169" t="e">
        <f t="shared" ca="1" si="39"/>
        <v>#VALUE!</v>
      </c>
      <c r="O175" s="171" t="str">
        <f t="shared" si="40"/>
        <v/>
      </c>
      <c r="P175" s="171" t="str">
        <f t="shared" ca="1" si="41"/>
        <v/>
      </c>
      <c r="Q175" s="170">
        <f t="shared" ca="1" si="42"/>
        <v>0</v>
      </c>
      <c r="R175" s="170">
        <f t="shared" ca="1" si="43"/>
        <v>0</v>
      </c>
      <c r="S175" s="171" t="b">
        <f t="shared" si="44"/>
        <v>0</v>
      </c>
      <c r="T175" s="171" t="b">
        <f t="shared" ca="1" si="45"/>
        <v>0</v>
      </c>
      <c r="U175" s="172"/>
    </row>
    <row r="176" spans="1:21" hidden="1">
      <c r="A176" s="143">
        <v>270</v>
      </c>
      <c r="B176" s="167">
        <f t="shared" si="50"/>
        <v>0</v>
      </c>
      <c r="C176" s="167">
        <f t="shared" si="50"/>
        <v>0</v>
      </c>
      <c r="D176" s="167">
        <f t="shared" si="50"/>
        <v>0</v>
      </c>
      <c r="E176" s="168">
        <f t="shared" si="50"/>
        <v>0</v>
      </c>
      <c r="F176" s="167">
        <f t="shared" si="50"/>
        <v>0</v>
      </c>
      <c r="G176" s="168">
        <f t="shared" si="50"/>
        <v>0</v>
      </c>
      <c r="H176" s="169">
        <f t="shared" si="50"/>
        <v>0</v>
      </c>
      <c r="I176" s="169" t="e">
        <f t="shared" ca="1" si="38"/>
        <v>#VALUE!</v>
      </c>
      <c r="J176" s="169">
        <f t="shared" si="51"/>
        <v>0</v>
      </c>
      <c r="K176" s="170">
        <f t="shared" si="51"/>
        <v>0</v>
      </c>
      <c r="L176" s="169">
        <f t="shared" si="51"/>
        <v>0</v>
      </c>
      <c r="M176" s="169">
        <f t="shared" si="51"/>
        <v>0</v>
      </c>
      <c r="N176" s="169" t="e">
        <f t="shared" ca="1" si="39"/>
        <v>#VALUE!</v>
      </c>
      <c r="O176" s="171" t="str">
        <f t="shared" si="40"/>
        <v/>
      </c>
      <c r="P176" s="171" t="str">
        <f t="shared" ca="1" si="41"/>
        <v/>
      </c>
      <c r="Q176" s="170">
        <f t="shared" ca="1" si="42"/>
        <v>0</v>
      </c>
      <c r="R176" s="170">
        <f t="shared" ca="1" si="43"/>
        <v>0</v>
      </c>
      <c r="S176" s="171" t="b">
        <f t="shared" si="44"/>
        <v>0</v>
      </c>
      <c r="T176" s="171" t="b">
        <f t="shared" ca="1" si="45"/>
        <v>0</v>
      </c>
      <c r="U176" s="172"/>
    </row>
    <row r="177" spans="1:21" hidden="1">
      <c r="A177" s="143">
        <v>280</v>
      </c>
      <c r="B177" s="167">
        <f t="shared" si="50"/>
        <v>0</v>
      </c>
      <c r="C177" s="167">
        <f t="shared" si="50"/>
        <v>0</v>
      </c>
      <c r="D177" s="167">
        <f t="shared" si="50"/>
        <v>0</v>
      </c>
      <c r="E177" s="168">
        <f t="shared" si="50"/>
        <v>0</v>
      </c>
      <c r="F177" s="167">
        <f t="shared" si="50"/>
        <v>0</v>
      </c>
      <c r="G177" s="168">
        <f t="shared" si="50"/>
        <v>0</v>
      </c>
      <c r="H177" s="169">
        <f t="shared" si="50"/>
        <v>0</v>
      </c>
      <c r="I177" s="169" t="e">
        <f t="shared" ca="1" si="38"/>
        <v>#VALUE!</v>
      </c>
      <c r="J177" s="169">
        <f t="shared" si="51"/>
        <v>0</v>
      </c>
      <c r="K177" s="170">
        <f t="shared" si="51"/>
        <v>0</v>
      </c>
      <c r="L177" s="169">
        <f t="shared" si="51"/>
        <v>0</v>
      </c>
      <c r="M177" s="169">
        <f t="shared" si="51"/>
        <v>0</v>
      </c>
      <c r="N177" s="169" t="e">
        <f t="shared" ca="1" si="39"/>
        <v>#VALUE!</v>
      </c>
      <c r="O177" s="171" t="str">
        <f t="shared" si="40"/>
        <v/>
      </c>
      <c r="P177" s="171" t="str">
        <f t="shared" ca="1" si="41"/>
        <v/>
      </c>
      <c r="Q177" s="170">
        <f t="shared" ca="1" si="42"/>
        <v>0</v>
      </c>
      <c r="R177" s="170">
        <f t="shared" ca="1" si="43"/>
        <v>0</v>
      </c>
      <c r="S177" s="171" t="b">
        <f t="shared" si="44"/>
        <v>0</v>
      </c>
      <c r="T177" s="171" t="b">
        <f t="shared" ca="1" si="45"/>
        <v>0</v>
      </c>
      <c r="U177" s="172"/>
    </row>
    <row r="178" spans="1:21" hidden="1">
      <c r="A178" s="143">
        <v>285</v>
      </c>
      <c r="B178" s="167">
        <f t="shared" si="50"/>
        <v>0</v>
      </c>
      <c r="C178" s="167">
        <f t="shared" si="50"/>
        <v>0</v>
      </c>
      <c r="D178" s="167">
        <f t="shared" si="50"/>
        <v>0</v>
      </c>
      <c r="E178" s="168">
        <f t="shared" si="50"/>
        <v>0</v>
      </c>
      <c r="F178" s="167">
        <f t="shared" si="50"/>
        <v>0</v>
      </c>
      <c r="G178" s="168">
        <f t="shared" si="50"/>
        <v>0</v>
      </c>
      <c r="H178" s="169">
        <f t="shared" si="50"/>
        <v>0</v>
      </c>
      <c r="I178" s="169" t="e">
        <f t="shared" ca="1" si="38"/>
        <v>#VALUE!</v>
      </c>
      <c r="J178" s="169">
        <f t="shared" si="51"/>
        <v>0</v>
      </c>
      <c r="K178" s="170">
        <f t="shared" si="51"/>
        <v>0</v>
      </c>
      <c r="L178" s="169">
        <f t="shared" si="51"/>
        <v>0</v>
      </c>
      <c r="M178" s="169">
        <f t="shared" si="51"/>
        <v>0</v>
      </c>
      <c r="N178" s="169" t="e">
        <f t="shared" ca="1" si="39"/>
        <v>#VALUE!</v>
      </c>
      <c r="O178" s="171" t="str">
        <f t="shared" si="40"/>
        <v/>
      </c>
      <c r="P178" s="171" t="str">
        <f t="shared" ca="1" si="41"/>
        <v/>
      </c>
      <c r="Q178" s="170">
        <f t="shared" ca="1" si="42"/>
        <v>0</v>
      </c>
      <c r="R178" s="170">
        <f t="shared" ca="1" si="43"/>
        <v>0</v>
      </c>
      <c r="S178" s="171" t="b">
        <f t="shared" si="44"/>
        <v>0</v>
      </c>
      <c r="T178" s="171" t="b">
        <f t="shared" ca="1" si="45"/>
        <v>0</v>
      </c>
      <c r="U178" s="172"/>
    </row>
    <row r="179" spans="1:21" hidden="1">
      <c r="A179" s="143">
        <v>297</v>
      </c>
      <c r="B179" s="167">
        <f t="shared" si="50"/>
        <v>0</v>
      </c>
      <c r="C179" s="167">
        <f t="shared" si="50"/>
        <v>0</v>
      </c>
      <c r="D179" s="167">
        <f t="shared" si="50"/>
        <v>0</v>
      </c>
      <c r="E179" s="168">
        <f t="shared" si="50"/>
        <v>0</v>
      </c>
      <c r="F179" s="167">
        <f t="shared" si="50"/>
        <v>0</v>
      </c>
      <c r="G179" s="168">
        <f t="shared" si="50"/>
        <v>0</v>
      </c>
      <c r="H179" s="169">
        <f t="shared" si="50"/>
        <v>0</v>
      </c>
      <c r="I179" s="169" t="e">
        <f t="shared" ca="1" si="38"/>
        <v>#VALUE!</v>
      </c>
      <c r="J179" s="169">
        <f t="shared" si="51"/>
        <v>0</v>
      </c>
      <c r="K179" s="170">
        <f t="shared" si="51"/>
        <v>0</v>
      </c>
      <c r="L179" s="169">
        <f t="shared" si="51"/>
        <v>0</v>
      </c>
      <c r="M179" s="169">
        <f t="shared" si="51"/>
        <v>0</v>
      </c>
      <c r="N179" s="169" t="e">
        <f t="shared" ca="1" si="39"/>
        <v>#VALUE!</v>
      </c>
      <c r="O179" s="171" t="str">
        <f t="shared" si="40"/>
        <v/>
      </c>
      <c r="P179" s="171" t="str">
        <f t="shared" ca="1" si="41"/>
        <v/>
      </c>
      <c r="Q179" s="170">
        <f t="shared" ca="1" si="42"/>
        <v>0</v>
      </c>
      <c r="R179" s="170">
        <f t="shared" ca="1" si="43"/>
        <v>0</v>
      </c>
      <c r="S179" s="171" t="b">
        <f t="shared" si="44"/>
        <v>0</v>
      </c>
      <c r="T179" s="171" t="b">
        <f t="shared" ca="1" si="45"/>
        <v>0</v>
      </c>
      <c r="U179" s="172"/>
    </row>
    <row r="180" spans="1:21" hidden="1">
      <c r="A180" s="143">
        <v>306</v>
      </c>
      <c r="B180" s="167">
        <f t="shared" si="50"/>
        <v>0</v>
      </c>
      <c r="C180" s="167">
        <f t="shared" si="50"/>
        <v>0</v>
      </c>
      <c r="D180" s="167">
        <f t="shared" si="50"/>
        <v>0</v>
      </c>
      <c r="E180" s="168">
        <f t="shared" si="50"/>
        <v>0</v>
      </c>
      <c r="F180" s="167">
        <f t="shared" si="50"/>
        <v>0</v>
      </c>
      <c r="G180" s="168">
        <f t="shared" si="50"/>
        <v>0</v>
      </c>
      <c r="H180" s="169">
        <f t="shared" si="50"/>
        <v>0</v>
      </c>
      <c r="I180" s="169" t="e">
        <f t="shared" ca="1" si="38"/>
        <v>#VALUE!</v>
      </c>
      <c r="J180" s="169">
        <f t="shared" si="51"/>
        <v>0</v>
      </c>
      <c r="K180" s="170">
        <f t="shared" si="51"/>
        <v>0</v>
      </c>
      <c r="L180" s="169">
        <f t="shared" si="51"/>
        <v>0</v>
      </c>
      <c r="M180" s="169">
        <f t="shared" si="51"/>
        <v>0</v>
      </c>
      <c r="N180" s="169" t="e">
        <f t="shared" ca="1" si="39"/>
        <v>#VALUE!</v>
      </c>
      <c r="O180" s="171" t="str">
        <f t="shared" si="40"/>
        <v/>
      </c>
      <c r="P180" s="171" t="str">
        <f t="shared" ca="1" si="41"/>
        <v/>
      </c>
      <c r="Q180" s="170">
        <f t="shared" ca="1" si="42"/>
        <v>0</v>
      </c>
      <c r="R180" s="170">
        <f t="shared" ca="1" si="43"/>
        <v>0</v>
      </c>
      <c r="S180" s="171" t="b">
        <f t="shared" si="44"/>
        <v>0</v>
      </c>
      <c r="T180" s="171" t="b">
        <f t="shared" ca="1" si="45"/>
        <v>0</v>
      </c>
      <c r="U180" s="172"/>
    </row>
    <row r="181" spans="1:21" hidden="1">
      <c r="A181" s="143">
        <v>316</v>
      </c>
      <c r="B181" s="167">
        <f t="shared" ref="B181:H190" si="52">IF($A181&lt;=$A$8,INDEX(Import.PO,$A181,B$8),0)</f>
        <v>0</v>
      </c>
      <c r="C181" s="167">
        <f t="shared" si="52"/>
        <v>0</v>
      </c>
      <c r="D181" s="167">
        <f t="shared" si="52"/>
        <v>0</v>
      </c>
      <c r="E181" s="168">
        <f t="shared" si="52"/>
        <v>0</v>
      </c>
      <c r="F181" s="167">
        <f t="shared" si="52"/>
        <v>0</v>
      </c>
      <c r="G181" s="168">
        <f t="shared" si="52"/>
        <v>0</v>
      </c>
      <c r="H181" s="169">
        <f t="shared" si="52"/>
        <v>0</v>
      </c>
      <c r="I181" s="169" t="e">
        <f t="shared" ca="1" si="38"/>
        <v>#VALUE!</v>
      </c>
      <c r="J181" s="169">
        <f t="shared" si="51"/>
        <v>0</v>
      </c>
      <c r="K181" s="170">
        <f t="shared" si="51"/>
        <v>0</v>
      </c>
      <c r="L181" s="169">
        <f t="shared" si="51"/>
        <v>0</v>
      </c>
      <c r="M181" s="169">
        <f t="shared" si="51"/>
        <v>0</v>
      </c>
      <c r="N181" s="169" t="e">
        <f t="shared" ca="1" si="39"/>
        <v>#VALUE!</v>
      </c>
      <c r="O181" s="171" t="str">
        <f t="shared" si="40"/>
        <v/>
      </c>
      <c r="P181" s="171" t="str">
        <f t="shared" ca="1" si="41"/>
        <v/>
      </c>
      <c r="Q181" s="170">
        <f t="shared" ca="1" si="42"/>
        <v>0</v>
      </c>
      <c r="R181" s="170">
        <f t="shared" ca="1" si="43"/>
        <v>0</v>
      </c>
      <c r="S181" s="171" t="b">
        <f t="shared" si="44"/>
        <v>0</v>
      </c>
      <c r="T181" s="171" t="b">
        <f t="shared" ca="1" si="45"/>
        <v>0</v>
      </c>
      <c r="U181" s="172"/>
    </row>
    <row r="182" spans="1:21" hidden="1">
      <c r="A182" s="143">
        <v>320</v>
      </c>
      <c r="B182" s="167">
        <f t="shared" si="52"/>
        <v>0</v>
      </c>
      <c r="C182" s="167">
        <f t="shared" si="52"/>
        <v>0</v>
      </c>
      <c r="D182" s="167">
        <f t="shared" si="52"/>
        <v>0</v>
      </c>
      <c r="E182" s="168">
        <f t="shared" si="52"/>
        <v>0</v>
      </c>
      <c r="F182" s="167">
        <f t="shared" si="52"/>
        <v>0</v>
      </c>
      <c r="G182" s="168">
        <f t="shared" si="52"/>
        <v>0</v>
      </c>
      <c r="H182" s="169">
        <f t="shared" si="52"/>
        <v>0</v>
      </c>
      <c r="I182" s="169" t="e">
        <f t="shared" ca="1" si="38"/>
        <v>#VALUE!</v>
      </c>
      <c r="J182" s="169">
        <f t="shared" si="51"/>
        <v>0</v>
      </c>
      <c r="K182" s="170">
        <f t="shared" si="51"/>
        <v>0</v>
      </c>
      <c r="L182" s="169">
        <f t="shared" si="51"/>
        <v>0</v>
      </c>
      <c r="M182" s="169">
        <f t="shared" si="51"/>
        <v>0</v>
      </c>
      <c r="N182" s="169" t="e">
        <f t="shared" ca="1" si="39"/>
        <v>#VALUE!</v>
      </c>
      <c r="O182" s="171" t="str">
        <f t="shared" si="40"/>
        <v/>
      </c>
      <c r="P182" s="171" t="str">
        <f t="shared" ca="1" si="41"/>
        <v/>
      </c>
      <c r="Q182" s="170">
        <f t="shared" ca="1" si="42"/>
        <v>0</v>
      </c>
      <c r="R182" s="170">
        <f t="shared" ca="1" si="43"/>
        <v>0</v>
      </c>
      <c r="S182" s="171" t="b">
        <f t="shared" si="44"/>
        <v>0</v>
      </c>
      <c r="T182" s="171" t="b">
        <f t="shared" ca="1" si="45"/>
        <v>0</v>
      </c>
      <c r="U182" s="172"/>
    </row>
    <row r="183" spans="1:21" hidden="1">
      <c r="A183" s="143">
        <v>330</v>
      </c>
      <c r="B183" s="167">
        <f t="shared" si="52"/>
        <v>0</v>
      </c>
      <c r="C183" s="167">
        <f t="shared" si="52"/>
        <v>0</v>
      </c>
      <c r="D183" s="167">
        <f t="shared" si="52"/>
        <v>0</v>
      </c>
      <c r="E183" s="168">
        <f t="shared" si="52"/>
        <v>0</v>
      </c>
      <c r="F183" s="167">
        <f t="shared" si="52"/>
        <v>0</v>
      </c>
      <c r="G183" s="168">
        <f t="shared" si="52"/>
        <v>0</v>
      </c>
      <c r="H183" s="169">
        <f t="shared" si="52"/>
        <v>0</v>
      </c>
      <c r="I183" s="169" t="e">
        <f t="shared" ca="1" si="38"/>
        <v>#VALUE!</v>
      </c>
      <c r="J183" s="169">
        <f t="shared" si="51"/>
        <v>0</v>
      </c>
      <c r="K183" s="170">
        <f t="shared" si="51"/>
        <v>0</v>
      </c>
      <c r="L183" s="169">
        <f t="shared" si="51"/>
        <v>0</v>
      </c>
      <c r="M183" s="169">
        <f t="shared" si="51"/>
        <v>0</v>
      </c>
      <c r="N183" s="169" t="e">
        <f t="shared" ca="1" si="39"/>
        <v>#VALUE!</v>
      </c>
      <c r="O183" s="171" t="str">
        <f t="shared" si="40"/>
        <v/>
      </c>
      <c r="P183" s="171" t="str">
        <f t="shared" ca="1" si="41"/>
        <v/>
      </c>
      <c r="Q183" s="170">
        <f t="shared" ca="1" si="42"/>
        <v>0</v>
      </c>
      <c r="R183" s="170">
        <f t="shared" ca="1" si="43"/>
        <v>0</v>
      </c>
      <c r="S183" s="171" t="b">
        <f t="shared" si="44"/>
        <v>0</v>
      </c>
      <c r="T183" s="171" t="b">
        <f t="shared" ca="1" si="45"/>
        <v>0</v>
      </c>
      <c r="U183" s="172"/>
    </row>
    <row r="184" spans="1:21" hidden="1">
      <c r="A184" s="143">
        <v>335</v>
      </c>
      <c r="B184" s="167">
        <f t="shared" si="52"/>
        <v>0</v>
      </c>
      <c r="C184" s="167">
        <f t="shared" si="52"/>
        <v>0</v>
      </c>
      <c r="D184" s="167">
        <f t="shared" si="52"/>
        <v>0</v>
      </c>
      <c r="E184" s="168">
        <f t="shared" si="52"/>
        <v>0</v>
      </c>
      <c r="F184" s="167">
        <f t="shared" si="52"/>
        <v>0</v>
      </c>
      <c r="G184" s="168">
        <f t="shared" si="52"/>
        <v>0</v>
      </c>
      <c r="H184" s="169">
        <f t="shared" si="52"/>
        <v>0</v>
      </c>
      <c r="I184" s="169" t="e">
        <f t="shared" ca="1" si="38"/>
        <v>#VALUE!</v>
      </c>
      <c r="J184" s="169">
        <f t="shared" si="51"/>
        <v>0</v>
      </c>
      <c r="K184" s="170">
        <f t="shared" si="51"/>
        <v>0</v>
      </c>
      <c r="L184" s="169">
        <f t="shared" si="51"/>
        <v>0</v>
      </c>
      <c r="M184" s="169">
        <f t="shared" si="51"/>
        <v>0</v>
      </c>
      <c r="N184" s="169" t="e">
        <f t="shared" ca="1" si="39"/>
        <v>#VALUE!</v>
      </c>
      <c r="O184" s="171" t="str">
        <f t="shared" si="40"/>
        <v/>
      </c>
      <c r="P184" s="171" t="str">
        <f t="shared" ca="1" si="41"/>
        <v/>
      </c>
      <c r="Q184" s="170">
        <f t="shared" ca="1" si="42"/>
        <v>0</v>
      </c>
      <c r="R184" s="170">
        <f t="shared" ca="1" si="43"/>
        <v>0</v>
      </c>
      <c r="S184" s="171" t="b">
        <f t="shared" si="44"/>
        <v>0</v>
      </c>
      <c r="T184" s="171" t="b">
        <f t="shared" ca="1" si="45"/>
        <v>0</v>
      </c>
      <c r="U184" s="172"/>
    </row>
    <row r="185" spans="1:21" hidden="1">
      <c r="A185" s="143">
        <v>344</v>
      </c>
      <c r="B185" s="167">
        <f t="shared" si="52"/>
        <v>0</v>
      </c>
      <c r="C185" s="167">
        <f t="shared" si="52"/>
        <v>0</v>
      </c>
      <c r="D185" s="167">
        <f t="shared" si="52"/>
        <v>0</v>
      </c>
      <c r="E185" s="168">
        <f t="shared" si="52"/>
        <v>0</v>
      </c>
      <c r="F185" s="167">
        <f t="shared" si="52"/>
        <v>0</v>
      </c>
      <c r="G185" s="168">
        <f t="shared" si="52"/>
        <v>0</v>
      </c>
      <c r="H185" s="169">
        <f t="shared" si="52"/>
        <v>0</v>
      </c>
      <c r="I185" s="169" t="e">
        <f t="shared" ca="1" si="38"/>
        <v>#VALUE!</v>
      </c>
      <c r="J185" s="169">
        <f t="shared" si="51"/>
        <v>0</v>
      </c>
      <c r="K185" s="170">
        <f t="shared" si="51"/>
        <v>0</v>
      </c>
      <c r="L185" s="169">
        <f t="shared" si="51"/>
        <v>0</v>
      </c>
      <c r="M185" s="169">
        <f t="shared" si="51"/>
        <v>0</v>
      </c>
      <c r="N185" s="169" t="e">
        <f t="shared" ca="1" si="39"/>
        <v>#VALUE!</v>
      </c>
      <c r="O185" s="171" t="str">
        <f t="shared" si="40"/>
        <v/>
      </c>
      <c r="P185" s="171" t="str">
        <f t="shared" ca="1" si="41"/>
        <v/>
      </c>
      <c r="Q185" s="170">
        <f t="shared" ca="1" si="42"/>
        <v>0</v>
      </c>
      <c r="R185" s="170">
        <f t="shared" ca="1" si="43"/>
        <v>0</v>
      </c>
      <c r="S185" s="171" t="b">
        <f t="shared" si="44"/>
        <v>0</v>
      </c>
      <c r="T185" s="171" t="b">
        <f t="shared" ca="1" si="45"/>
        <v>0</v>
      </c>
      <c r="U185" s="172"/>
    </row>
    <row r="186" spans="1:21" hidden="1">
      <c r="A186" s="143">
        <v>354</v>
      </c>
      <c r="B186" s="167">
        <f t="shared" si="52"/>
        <v>0</v>
      </c>
      <c r="C186" s="167">
        <f t="shared" si="52"/>
        <v>0</v>
      </c>
      <c r="D186" s="167">
        <f t="shared" si="52"/>
        <v>0</v>
      </c>
      <c r="E186" s="168">
        <f t="shared" si="52"/>
        <v>0</v>
      </c>
      <c r="F186" s="167">
        <f t="shared" si="52"/>
        <v>0</v>
      </c>
      <c r="G186" s="168">
        <f t="shared" si="52"/>
        <v>0</v>
      </c>
      <c r="H186" s="169">
        <f t="shared" si="52"/>
        <v>0</v>
      </c>
      <c r="I186" s="169" t="e">
        <f t="shared" ca="1" si="38"/>
        <v>#VALUE!</v>
      </c>
      <c r="J186" s="169">
        <f t="shared" si="51"/>
        <v>0</v>
      </c>
      <c r="K186" s="170">
        <f t="shared" si="51"/>
        <v>0</v>
      </c>
      <c r="L186" s="169">
        <f t="shared" si="51"/>
        <v>0</v>
      </c>
      <c r="M186" s="169">
        <f t="shared" si="51"/>
        <v>0</v>
      </c>
      <c r="N186" s="169" t="e">
        <f t="shared" ca="1" si="39"/>
        <v>#VALUE!</v>
      </c>
      <c r="O186" s="171" t="str">
        <f t="shared" si="40"/>
        <v/>
      </c>
      <c r="P186" s="171" t="str">
        <f t="shared" ca="1" si="41"/>
        <v/>
      </c>
      <c r="Q186" s="170">
        <f t="shared" ca="1" si="42"/>
        <v>0</v>
      </c>
      <c r="R186" s="170">
        <f t="shared" ca="1" si="43"/>
        <v>0</v>
      </c>
      <c r="S186" s="171" t="b">
        <f t="shared" si="44"/>
        <v>0</v>
      </c>
      <c r="T186" s="171" t="b">
        <f t="shared" ca="1" si="45"/>
        <v>0</v>
      </c>
      <c r="U186" s="172"/>
    </row>
    <row r="187" spans="1:21" hidden="1">
      <c r="A187" s="143">
        <v>358</v>
      </c>
      <c r="B187" s="167">
        <f t="shared" si="52"/>
        <v>0</v>
      </c>
      <c r="C187" s="167">
        <f t="shared" si="52"/>
        <v>0</v>
      </c>
      <c r="D187" s="167">
        <f t="shared" si="52"/>
        <v>0</v>
      </c>
      <c r="E187" s="168">
        <f t="shared" si="52"/>
        <v>0</v>
      </c>
      <c r="F187" s="167">
        <f t="shared" si="52"/>
        <v>0</v>
      </c>
      <c r="G187" s="168">
        <f t="shared" si="52"/>
        <v>0</v>
      </c>
      <c r="H187" s="169">
        <f t="shared" si="52"/>
        <v>0</v>
      </c>
      <c r="I187" s="169" t="e">
        <f t="shared" ca="1" si="38"/>
        <v>#VALUE!</v>
      </c>
      <c r="J187" s="169">
        <f t="shared" si="51"/>
        <v>0</v>
      </c>
      <c r="K187" s="170">
        <f t="shared" si="51"/>
        <v>0</v>
      </c>
      <c r="L187" s="169">
        <f t="shared" si="51"/>
        <v>0</v>
      </c>
      <c r="M187" s="169">
        <f t="shared" si="51"/>
        <v>0</v>
      </c>
      <c r="N187" s="169" t="e">
        <f t="shared" ca="1" si="39"/>
        <v>#VALUE!</v>
      </c>
      <c r="O187" s="171" t="str">
        <f t="shared" si="40"/>
        <v/>
      </c>
      <c r="P187" s="171" t="str">
        <f t="shared" ca="1" si="41"/>
        <v/>
      </c>
      <c r="Q187" s="170">
        <f t="shared" ca="1" si="42"/>
        <v>0</v>
      </c>
      <c r="R187" s="170">
        <f t="shared" ca="1" si="43"/>
        <v>0</v>
      </c>
      <c r="S187" s="171" t="b">
        <f t="shared" si="44"/>
        <v>0</v>
      </c>
      <c r="T187" s="171" t="b">
        <f t="shared" ca="1" si="45"/>
        <v>0</v>
      </c>
      <c r="U187" s="172"/>
    </row>
    <row r="188" spans="1:21" hidden="1">
      <c r="A188" s="143">
        <v>368</v>
      </c>
      <c r="B188" s="167">
        <f t="shared" si="52"/>
        <v>0</v>
      </c>
      <c r="C188" s="167">
        <f t="shared" si="52"/>
        <v>0</v>
      </c>
      <c r="D188" s="167">
        <f t="shared" si="52"/>
        <v>0</v>
      </c>
      <c r="E188" s="168">
        <f t="shared" si="52"/>
        <v>0</v>
      </c>
      <c r="F188" s="167">
        <f t="shared" si="52"/>
        <v>0</v>
      </c>
      <c r="G188" s="168">
        <f t="shared" si="52"/>
        <v>0</v>
      </c>
      <c r="H188" s="169">
        <f t="shared" si="52"/>
        <v>0</v>
      </c>
      <c r="I188" s="169" t="e">
        <f t="shared" ca="1" si="38"/>
        <v>#VALUE!</v>
      </c>
      <c r="J188" s="169">
        <f t="shared" si="51"/>
        <v>0</v>
      </c>
      <c r="K188" s="170">
        <f t="shared" si="51"/>
        <v>0</v>
      </c>
      <c r="L188" s="169">
        <f t="shared" si="51"/>
        <v>0</v>
      </c>
      <c r="M188" s="169">
        <f t="shared" si="51"/>
        <v>0</v>
      </c>
      <c r="N188" s="169" t="e">
        <f t="shared" ca="1" si="39"/>
        <v>#VALUE!</v>
      </c>
      <c r="O188" s="171" t="str">
        <f t="shared" si="40"/>
        <v/>
      </c>
      <c r="P188" s="171" t="str">
        <f t="shared" ca="1" si="41"/>
        <v/>
      </c>
      <c r="Q188" s="170">
        <f t="shared" ca="1" si="42"/>
        <v>0</v>
      </c>
      <c r="R188" s="170">
        <f t="shared" ca="1" si="43"/>
        <v>0</v>
      </c>
      <c r="S188" s="171" t="b">
        <f t="shared" si="44"/>
        <v>0</v>
      </c>
      <c r="T188" s="171" t="b">
        <f t="shared" ca="1" si="45"/>
        <v>0</v>
      </c>
      <c r="U188" s="172"/>
    </row>
    <row r="189" spans="1:21" hidden="1">
      <c r="A189" s="143">
        <v>372</v>
      </c>
      <c r="B189" s="167">
        <f t="shared" si="52"/>
        <v>0</v>
      </c>
      <c r="C189" s="167">
        <f t="shared" si="52"/>
        <v>0</v>
      </c>
      <c r="D189" s="167">
        <f t="shared" si="52"/>
        <v>0</v>
      </c>
      <c r="E189" s="168">
        <f t="shared" si="52"/>
        <v>0</v>
      </c>
      <c r="F189" s="167">
        <f t="shared" si="52"/>
        <v>0</v>
      </c>
      <c r="G189" s="168">
        <f t="shared" si="52"/>
        <v>0</v>
      </c>
      <c r="H189" s="169">
        <f t="shared" si="52"/>
        <v>0</v>
      </c>
      <c r="I189" s="169" t="e">
        <f t="shared" ca="1" si="38"/>
        <v>#VALUE!</v>
      </c>
      <c r="J189" s="169">
        <f t="shared" si="51"/>
        <v>0</v>
      </c>
      <c r="K189" s="170">
        <f t="shared" si="51"/>
        <v>0</v>
      </c>
      <c r="L189" s="169">
        <f t="shared" si="51"/>
        <v>0</v>
      </c>
      <c r="M189" s="169">
        <f t="shared" si="51"/>
        <v>0</v>
      </c>
      <c r="N189" s="169" t="e">
        <f t="shared" ca="1" si="39"/>
        <v>#VALUE!</v>
      </c>
      <c r="O189" s="171" t="str">
        <f t="shared" si="40"/>
        <v/>
      </c>
      <c r="P189" s="171" t="str">
        <f t="shared" ca="1" si="41"/>
        <v/>
      </c>
      <c r="Q189" s="170">
        <f t="shared" ca="1" si="42"/>
        <v>0</v>
      </c>
      <c r="R189" s="170">
        <f t="shared" ca="1" si="43"/>
        <v>0</v>
      </c>
      <c r="S189" s="171" t="b">
        <f t="shared" si="44"/>
        <v>0</v>
      </c>
      <c r="T189" s="171" t="b">
        <f t="shared" ca="1" si="45"/>
        <v>0</v>
      </c>
      <c r="U189" s="172"/>
    </row>
    <row r="190" spans="1:21" hidden="1">
      <c r="A190" s="143">
        <v>382</v>
      </c>
      <c r="B190" s="167">
        <f t="shared" si="52"/>
        <v>0</v>
      </c>
      <c r="C190" s="167">
        <f t="shared" si="52"/>
        <v>0</v>
      </c>
      <c r="D190" s="167">
        <f t="shared" si="52"/>
        <v>0</v>
      </c>
      <c r="E190" s="168">
        <f t="shared" si="52"/>
        <v>0</v>
      </c>
      <c r="F190" s="167">
        <f t="shared" si="52"/>
        <v>0</v>
      </c>
      <c r="G190" s="168">
        <f t="shared" si="52"/>
        <v>0</v>
      </c>
      <c r="H190" s="169">
        <f t="shared" si="52"/>
        <v>0</v>
      </c>
      <c r="I190" s="169" t="e">
        <f t="shared" ca="1" si="38"/>
        <v>#VALUE!</v>
      </c>
      <c r="J190" s="169">
        <f t="shared" si="51"/>
        <v>0</v>
      </c>
      <c r="K190" s="170">
        <f t="shared" si="51"/>
        <v>0</v>
      </c>
      <c r="L190" s="169">
        <f t="shared" si="51"/>
        <v>0</v>
      </c>
      <c r="M190" s="169">
        <f t="shared" si="51"/>
        <v>0</v>
      </c>
      <c r="N190" s="169" t="e">
        <f t="shared" ca="1" si="39"/>
        <v>#VALUE!</v>
      </c>
      <c r="O190" s="171" t="str">
        <f t="shared" si="40"/>
        <v/>
      </c>
      <c r="P190" s="171" t="str">
        <f t="shared" ca="1" si="41"/>
        <v/>
      </c>
      <c r="Q190" s="170">
        <f t="shared" ca="1" si="42"/>
        <v>0</v>
      </c>
      <c r="R190" s="170">
        <f t="shared" ca="1" si="43"/>
        <v>0</v>
      </c>
      <c r="S190" s="171" t="b">
        <f t="shared" si="44"/>
        <v>0</v>
      </c>
      <c r="T190" s="171" t="b">
        <f t="shared" ca="1" si="45"/>
        <v>0</v>
      </c>
      <c r="U190" s="172"/>
    </row>
    <row r="191" spans="1:21" hidden="1">
      <c r="A191" s="143">
        <v>386</v>
      </c>
      <c r="B191" s="167">
        <f t="shared" ref="B191:H200" si="53">IF($A191&lt;=$A$8,INDEX(Import.PO,$A191,B$8),0)</f>
        <v>0</v>
      </c>
      <c r="C191" s="167">
        <f t="shared" si="53"/>
        <v>0</v>
      </c>
      <c r="D191" s="167">
        <f t="shared" si="53"/>
        <v>0</v>
      </c>
      <c r="E191" s="168">
        <f t="shared" si="53"/>
        <v>0</v>
      </c>
      <c r="F191" s="167">
        <f t="shared" si="53"/>
        <v>0</v>
      </c>
      <c r="G191" s="168">
        <f t="shared" si="53"/>
        <v>0</v>
      </c>
      <c r="H191" s="169">
        <f t="shared" si="53"/>
        <v>0</v>
      </c>
      <c r="I191" s="169" t="e">
        <f t="shared" ca="1" si="38"/>
        <v>#VALUE!</v>
      </c>
      <c r="J191" s="169">
        <f t="shared" ref="J191:M210" si="54">IF($A191&lt;=$A$8,INDEX(Import.PO,$A191,J$8),0)</f>
        <v>0</v>
      </c>
      <c r="K191" s="170">
        <f t="shared" si="54"/>
        <v>0</v>
      </c>
      <c r="L191" s="169">
        <f t="shared" si="54"/>
        <v>0</v>
      </c>
      <c r="M191" s="169">
        <f t="shared" si="54"/>
        <v>0</v>
      </c>
      <c r="N191" s="169" t="e">
        <f t="shared" ca="1" si="39"/>
        <v>#VALUE!</v>
      </c>
      <c r="O191" s="171" t="str">
        <f t="shared" si="40"/>
        <v/>
      </c>
      <c r="P191" s="171" t="str">
        <f t="shared" ca="1" si="41"/>
        <v/>
      </c>
      <c r="Q191" s="170">
        <f t="shared" ca="1" si="42"/>
        <v>0</v>
      </c>
      <c r="R191" s="170">
        <f t="shared" ca="1" si="43"/>
        <v>0</v>
      </c>
      <c r="S191" s="171" t="b">
        <f t="shared" si="44"/>
        <v>0</v>
      </c>
      <c r="T191" s="171" t="b">
        <f t="shared" ca="1" si="45"/>
        <v>0</v>
      </c>
      <c r="U191" s="172"/>
    </row>
    <row r="192" spans="1:21" hidden="1">
      <c r="A192" s="143">
        <v>396</v>
      </c>
      <c r="B192" s="167">
        <f t="shared" si="53"/>
        <v>0</v>
      </c>
      <c r="C192" s="167">
        <f t="shared" si="53"/>
        <v>0</v>
      </c>
      <c r="D192" s="167">
        <f t="shared" si="53"/>
        <v>0</v>
      </c>
      <c r="E192" s="168">
        <f t="shared" si="53"/>
        <v>0</v>
      </c>
      <c r="F192" s="167">
        <f t="shared" si="53"/>
        <v>0</v>
      </c>
      <c r="G192" s="168">
        <f t="shared" si="53"/>
        <v>0</v>
      </c>
      <c r="H192" s="169">
        <f t="shared" si="53"/>
        <v>0</v>
      </c>
      <c r="I192" s="169" t="e">
        <f t="shared" ca="1" si="38"/>
        <v>#VALUE!</v>
      </c>
      <c r="J192" s="169">
        <f t="shared" si="54"/>
        <v>0</v>
      </c>
      <c r="K192" s="170">
        <f t="shared" si="54"/>
        <v>0</v>
      </c>
      <c r="L192" s="169">
        <f t="shared" si="54"/>
        <v>0</v>
      </c>
      <c r="M192" s="169">
        <f t="shared" si="54"/>
        <v>0</v>
      </c>
      <c r="N192" s="169" t="e">
        <f t="shared" ca="1" si="39"/>
        <v>#VALUE!</v>
      </c>
      <c r="O192" s="171" t="str">
        <f t="shared" si="40"/>
        <v/>
      </c>
      <c r="P192" s="171" t="str">
        <f t="shared" ca="1" si="41"/>
        <v/>
      </c>
      <c r="Q192" s="170">
        <f t="shared" ca="1" si="42"/>
        <v>0</v>
      </c>
      <c r="R192" s="170">
        <f t="shared" ca="1" si="43"/>
        <v>0</v>
      </c>
      <c r="S192" s="171" t="b">
        <f t="shared" si="44"/>
        <v>0</v>
      </c>
      <c r="T192" s="171" t="b">
        <f t="shared" ca="1" si="45"/>
        <v>0</v>
      </c>
      <c r="U192" s="172"/>
    </row>
    <row r="193" spans="1:21" hidden="1">
      <c r="A193" s="143">
        <v>400</v>
      </c>
      <c r="B193" s="167">
        <f t="shared" si="53"/>
        <v>0</v>
      </c>
      <c r="C193" s="167">
        <f t="shared" si="53"/>
        <v>0</v>
      </c>
      <c r="D193" s="167">
        <f t="shared" si="53"/>
        <v>0</v>
      </c>
      <c r="E193" s="168">
        <f t="shared" si="53"/>
        <v>0</v>
      </c>
      <c r="F193" s="167">
        <f t="shared" si="53"/>
        <v>0</v>
      </c>
      <c r="G193" s="168">
        <f t="shared" si="53"/>
        <v>0</v>
      </c>
      <c r="H193" s="169">
        <f t="shared" si="53"/>
        <v>0</v>
      </c>
      <c r="I193" s="169" t="e">
        <f t="shared" ca="1" si="38"/>
        <v>#VALUE!</v>
      </c>
      <c r="J193" s="169">
        <f t="shared" si="54"/>
        <v>0</v>
      </c>
      <c r="K193" s="170">
        <f t="shared" si="54"/>
        <v>0</v>
      </c>
      <c r="L193" s="169">
        <f t="shared" si="54"/>
        <v>0</v>
      </c>
      <c r="M193" s="169">
        <f t="shared" si="54"/>
        <v>0</v>
      </c>
      <c r="N193" s="169" t="e">
        <f t="shared" ca="1" si="39"/>
        <v>#VALUE!</v>
      </c>
      <c r="O193" s="171" t="str">
        <f t="shared" si="40"/>
        <v/>
      </c>
      <c r="P193" s="171" t="str">
        <f t="shared" ca="1" si="41"/>
        <v/>
      </c>
      <c r="Q193" s="170">
        <f t="shared" ca="1" si="42"/>
        <v>0</v>
      </c>
      <c r="R193" s="170">
        <f t="shared" ca="1" si="43"/>
        <v>0</v>
      </c>
      <c r="S193" s="171" t="b">
        <f t="shared" si="44"/>
        <v>0</v>
      </c>
      <c r="T193" s="171" t="b">
        <f t="shared" ca="1" si="45"/>
        <v>0</v>
      </c>
      <c r="U193" s="172"/>
    </row>
    <row r="194" spans="1:21" hidden="1">
      <c r="A194" s="143">
        <v>410</v>
      </c>
      <c r="B194" s="167">
        <f t="shared" si="53"/>
        <v>0</v>
      </c>
      <c r="C194" s="167">
        <f t="shared" si="53"/>
        <v>0</v>
      </c>
      <c r="D194" s="167">
        <f t="shared" si="53"/>
        <v>0</v>
      </c>
      <c r="E194" s="168">
        <f t="shared" si="53"/>
        <v>0</v>
      </c>
      <c r="F194" s="167">
        <f t="shared" si="53"/>
        <v>0</v>
      </c>
      <c r="G194" s="168">
        <f t="shared" si="53"/>
        <v>0</v>
      </c>
      <c r="H194" s="169">
        <f t="shared" si="53"/>
        <v>0</v>
      </c>
      <c r="I194" s="169" t="e">
        <f t="shared" ca="1" si="38"/>
        <v>#VALUE!</v>
      </c>
      <c r="J194" s="169">
        <f t="shared" si="54"/>
        <v>0</v>
      </c>
      <c r="K194" s="170">
        <f t="shared" si="54"/>
        <v>0</v>
      </c>
      <c r="L194" s="169">
        <f t="shared" si="54"/>
        <v>0</v>
      </c>
      <c r="M194" s="169">
        <f t="shared" si="54"/>
        <v>0</v>
      </c>
      <c r="N194" s="169" t="e">
        <f t="shared" ca="1" si="39"/>
        <v>#VALUE!</v>
      </c>
      <c r="O194" s="171" t="str">
        <f t="shared" si="40"/>
        <v/>
      </c>
      <c r="P194" s="171" t="str">
        <f t="shared" ca="1" si="41"/>
        <v/>
      </c>
      <c r="Q194" s="170">
        <f t="shared" ca="1" si="42"/>
        <v>0</v>
      </c>
      <c r="R194" s="170">
        <f t="shared" ca="1" si="43"/>
        <v>0</v>
      </c>
      <c r="S194" s="171" t="b">
        <f t="shared" si="44"/>
        <v>0</v>
      </c>
      <c r="T194" s="171" t="b">
        <f t="shared" ca="1" si="45"/>
        <v>0</v>
      </c>
      <c r="U194" s="172"/>
    </row>
    <row r="195" spans="1:21" hidden="1">
      <c r="A195" s="143">
        <v>414</v>
      </c>
      <c r="B195" s="167">
        <f t="shared" si="53"/>
        <v>0</v>
      </c>
      <c r="C195" s="167">
        <f t="shared" si="53"/>
        <v>0</v>
      </c>
      <c r="D195" s="167">
        <f t="shared" si="53"/>
        <v>0</v>
      </c>
      <c r="E195" s="168">
        <f t="shared" si="53"/>
        <v>0</v>
      </c>
      <c r="F195" s="167">
        <f t="shared" si="53"/>
        <v>0</v>
      </c>
      <c r="G195" s="168">
        <f t="shared" si="53"/>
        <v>0</v>
      </c>
      <c r="H195" s="169">
        <f t="shared" si="53"/>
        <v>0</v>
      </c>
      <c r="I195" s="169" t="e">
        <f t="shared" ca="1" si="38"/>
        <v>#VALUE!</v>
      </c>
      <c r="J195" s="169">
        <f t="shared" si="54"/>
        <v>0</v>
      </c>
      <c r="K195" s="170">
        <f t="shared" si="54"/>
        <v>0</v>
      </c>
      <c r="L195" s="169">
        <f t="shared" si="54"/>
        <v>0</v>
      </c>
      <c r="M195" s="169">
        <f t="shared" si="54"/>
        <v>0</v>
      </c>
      <c r="N195" s="169" t="e">
        <f t="shared" ca="1" si="39"/>
        <v>#VALUE!</v>
      </c>
      <c r="O195" s="171" t="str">
        <f t="shared" si="40"/>
        <v/>
      </c>
      <c r="P195" s="171" t="str">
        <f t="shared" ca="1" si="41"/>
        <v/>
      </c>
      <c r="Q195" s="170">
        <f t="shared" ca="1" si="42"/>
        <v>0</v>
      </c>
      <c r="R195" s="170">
        <f t="shared" ca="1" si="43"/>
        <v>0</v>
      </c>
      <c r="S195" s="171" t="b">
        <f t="shared" si="44"/>
        <v>0</v>
      </c>
      <c r="T195" s="171" t="b">
        <f t="shared" ca="1" si="45"/>
        <v>0</v>
      </c>
      <c r="U195" s="172"/>
    </row>
    <row r="196" spans="1:21" hidden="1">
      <c r="A196" s="143">
        <v>424</v>
      </c>
      <c r="B196" s="167">
        <f t="shared" si="53"/>
        <v>0</v>
      </c>
      <c r="C196" s="167">
        <f t="shared" si="53"/>
        <v>0</v>
      </c>
      <c r="D196" s="167">
        <f t="shared" si="53"/>
        <v>0</v>
      </c>
      <c r="E196" s="168">
        <f t="shared" si="53"/>
        <v>0</v>
      </c>
      <c r="F196" s="167">
        <f t="shared" si="53"/>
        <v>0</v>
      </c>
      <c r="G196" s="168">
        <f t="shared" si="53"/>
        <v>0</v>
      </c>
      <c r="H196" s="169">
        <f t="shared" si="53"/>
        <v>0</v>
      </c>
      <c r="I196" s="169" t="e">
        <f t="shared" ca="1" si="38"/>
        <v>#VALUE!</v>
      </c>
      <c r="J196" s="169">
        <f t="shared" si="54"/>
        <v>0</v>
      </c>
      <c r="K196" s="170">
        <f t="shared" si="54"/>
        <v>0</v>
      </c>
      <c r="L196" s="169">
        <f t="shared" si="54"/>
        <v>0</v>
      </c>
      <c r="M196" s="169">
        <f t="shared" si="54"/>
        <v>0</v>
      </c>
      <c r="N196" s="169" t="e">
        <f t="shared" ca="1" si="39"/>
        <v>#VALUE!</v>
      </c>
      <c r="O196" s="171" t="str">
        <f t="shared" si="40"/>
        <v/>
      </c>
      <c r="P196" s="171" t="str">
        <f t="shared" ca="1" si="41"/>
        <v/>
      </c>
      <c r="Q196" s="170">
        <f t="shared" ca="1" si="42"/>
        <v>0</v>
      </c>
      <c r="R196" s="170">
        <f t="shared" ca="1" si="43"/>
        <v>0</v>
      </c>
      <c r="S196" s="171" t="b">
        <f t="shared" si="44"/>
        <v>0</v>
      </c>
      <c r="T196" s="171" t="b">
        <f t="shared" ca="1" si="45"/>
        <v>0</v>
      </c>
      <c r="U196" s="172"/>
    </row>
    <row r="197" spans="1:21" hidden="1">
      <c r="A197" s="143">
        <v>429</v>
      </c>
      <c r="B197" s="167">
        <f t="shared" si="53"/>
        <v>0</v>
      </c>
      <c r="C197" s="167">
        <f t="shared" si="53"/>
        <v>0</v>
      </c>
      <c r="D197" s="167">
        <f t="shared" si="53"/>
        <v>0</v>
      </c>
      <c r="E197" s="168">
        <f t="shared" si="53"/>
        <v>0</v>
      </c>
      <c r="F197" s="167">
        <f t="shared" si="53"/>
        <v>0</v>
      </c>
      <c r="G197" s="168">
        <f t="shared" si="53"/>
        <v>0</v>
      </c>
      <c r="H197" s="169">
        <f t="shared" si="53"/>
        <v>0</v>
      </c>
      <c r="I197" s="169" t="e">
        <f t="shared" ca="1" si="38"/>
        <v>#VALUE!</v>
      </c>
      <c r="J197" s="169">
        <f t="shared" si="54"/>
        <v>0</v>
      </c>
      <c r="K197" s="170">
        <f t="shared" si="54"/>
        <v>0</v>
      </c>
      <c r="L197" s="169">
        <f t="shared" si="54"/>
        <v>0</v>
      </c>
      <c r="M197" s="169">
        <f t="shared" si="54"/>
        <v>0</v>
      </c>
      <c r="N197" s="169" t="e">
        <f t="shared" ca="1" si="39"/>
        <v>#VALUE!</v>
      </c>
      <c r="O197" s="171" t="str">
        <f t="shared" si="40"/>
        <v/>
      </c>
      <c r="P197" s="171" t="str">
        <f t="shared" ca="1" si="41"/>
        <v/>
      </c>
      <c r="Q197" s="170">
        <f t="shared" ca="1" si="42"/>
        <v>0</v>
      </c>
      <c r="R197" s="170">
        <f t="shared" ca="1" si="43"/>
        <v>0</v>
      </c>
      <c r="S197" s="171" t="b">
        <f t="shared" si="44"/>
        <v>0</v>
      </c>
      <c r="T197" s="171" t="b">
        <f t="shared" ca="1" si="45"/>
        <v>0</v>
      </c>
      <c r="U197" s="172"/>
    </row>
    <row r="198" spans="1:21" hidden="1">
      <c r="A198" s="143">
        <v>432</v>
      </c>
      <c r="B198" s="167">
        <f t="shared" si="53"/>
        <v>0</v>
      </c>
      <c r="C198" s="167">
        <f t="shared" si="53"/>
        <v>0</v>
      </c>
      <c r="D198" s="167">
        <f t="shared" si="53"/>
        <v>0</v>
      </c>
      <c r="E198" s="168">
        <f t="shared" si="53"/>
        <v>0</v>
      </c>
      <c r="F198" s="167">
        <f t="shared" si="53"/>
        <v>0</v>
      </c>
      <c r="G198" s="168">
        <f t="shared" si="53"/>
        <v>0</v>
      </c>
      <c r="H198" s="169">
        <f t="shared" si="53"/>
        <v>0</v>
      </c>
      <c r="I198" s="169" t="e">
        <f t="shared" ca="1" si="38"/>
        <v>#VALUE!</v>
      </c>
      <c r="J198" s="169">
        <f t="shared" si="54"/>
        <v>0</v>
      </c>
      <c r="K198" s="170">
        <f t="shared" si="54"/>
        <v>0</v>
      </c>
      <c r="L198" s="169">
        <f t="shared" si="54"/>
        <v>0</v>
      </c>
      <c r="M198" s="169">
        <f t="shared" si="54"/>
        <v>0</v>
      </c>
      <c r="N198" s="169" t="e">
        <f t="shared" ca="1" si="39"/>
        <v>#VALUE!</v>
      </c>
      <c r="O198" s="171" t="str">
        <f t="shared" si="40"/>
        <v/>
      </c>
      <c r="P198" s="171" t="str">
        <f t="shared" ca="1" si="41"/>
        <v/>
      </c>
      <c r="Q198" s="170">
        <f t="shared" ca="1" si="42"/>
        <v>0</v>
      </c>
      <c r="R198" s="170">
        <f t="shared" ca="1" si="43"/>
        <v>0</v>
      </c>
      <c r="S198" s="171" t="b">
        <f t="shared" si="44"/>
        <v>0</v>
      </c>
      <c r="T198" s="171" t="b">
        <f t="shared" ca="1" si="45"/>
        <v>0</v>
      </c>
      <c r="U198" s="172"/>
    </row>
    <row r="199" spans="1:21" hidden="1">
      <c r="A199" s="143">
        <v>445</v>
      </c>
      <c r="B199" s="167">
        <f t="shared" si="53"/>
        <v>0</v>
      </c>
      <c r="C199" s="167">
        <f t="shared" si="53"/>
        <v>0</v>
      </c>
      <c r="D199" s="167">
        <f t="shared" si="53"/>
        <v>0</v>
      </c>
      <c r="E199" s="168">
        <f t="shared" si="53"/>
        <v>0</v>
      </c>
      <c r="F199" s="167">
        <f t="shared" si="53"/>
        <v>0</v>
      </c>
      <c r="G199" s="168">
        <f t="shared" si="53"/>
        <v>0</v>
      </c>
      <c r="H199" s="169">
        <f t="shared" si="53"/>
        <v>0</v>
      </c>
      <c r="I199" s="169" t="e">
        <f t="shared" ca="1" si="38"/>
        <v>#VALUE!</v>
      </c>
      <c r="J199" s="169">
        <f t="shared" si="54"/>
        <v>0</v>
      </c>
      <c r="K199" s="170">
        <f t="shared" si="54"/>
        <v>0</v>
      </c>
      <c r="L199" s="169">
        <f t="shared" si="54"/>
        <v>0</v>
      </c>
      <c r="M199" s="169">
        <f t="shared" si="54"/>
        <v>0</v>
      </c>
      <c r="N199" s="169" t="e">
        <f t="shared" ca="1" si="39"/>
        <v>#VALUE!</v>
      </c>
      <c r="O199" s="171" t="str">
        <f t="shared" si="40"/>
        <v/>
      </c>
      <c r="P199" s="171" t="str">
        <f t="shared" ca="1" si="41"/>
        <v/>
      </c>
      <c r="Q199" s="170">
        <f t="shared" ca="1" si="42"/>
        <v>0</v>
      </c>
      <c r="R199" s="170">
        <f t="shared" ca="1" si="43"/>
        <v>0</v>
      </c>
      <c r="S199" s="171" t="b">
        <f t="shared" si="44"/>
        <v>0</v>
      </c>
      <c r="T199" s="171" t="b">
        <f t="shared" ca="1" si="45"/>
        <v>0</v>
      </c>
      <c r="U199" s="172"/>
    </row>
    <row r="200" spans="1:21" hidden="1">
      <c r="A200" s="143">
        <v>460</v>
      </c>
      <c r="B200" s="167">
        <f t="shared" si="53"/>
        <v>0</v>
      </c>
      <c r="C200" s="167">
        <f t="shared" si="53"/>
        <v>0</v>
      </c>
      <c r="D200" s="167">
        <f t="shared" si="53"/>
        <v>0</v>
      </c>
      <c r="E200" s="168">
        <f t="shared" si="53"/>
        <v>0</v>
      </c>
      <c r="F200" s="167">
        <f t="shared" si="53"/>
        <v>0</v>
      </c>
      <c r="G200" s="168">
        <f t="shared" si="53"/>
        <v>0</v>
      </c>
      <c r="H200" s="169">
        <f t="shared" si="53"/>
        <v>0</v>
      </c>
      <c r="I200" s="169" t="e">
        <f t="shared" ca="1" si="38"/>
        <v>#VALUE!</v>
      </c>
      <c r="J200" s="169">
        <f t="shared" si="54"/>
        <v>0</v>
      </c>
      <c r="K200" s="170">
        <f t="shared" si="54"/>
        <v>0</v>
      </c>
      <c r="L200" s="169">
        <f t="shared" si="54"/>
        <v>0</v>
      </c>
      <c r="M200" s="169">
        <f t="shared" si="54"/>
        <v>0</v>
      </c>
      <c r="N200" s="169" t="e">
        <f t="shared" ca="1" si="39"/>
        <v>#VALUE!</v>
      </c>
      <c r="O200" s="171" t="str">
        <f t="shared" si="40"/>
        <v/>
      </c>
      <c r="P200" s="171" t="str">
        <f t="shared" ca="1" si="41"/>
        <v/>
      </c>
      <c r="Q200" s="170">
        <f t="shared" ca="1" si="42"/>
        <v>0</v>
      </c>
      <c r="R200" s="170">
        <f t="shared" ca="1" si="43"/>
        <v>0</v>
      </c>
      <c r="S200" s="171" t="b">
        <f t="shared" si="44"/>
        <v>0</v>
      </c>
      <c r="T200" s="171" t="b">
        <f t="shared" ca="1" si="45"/>
        <v>0</v>
      </c>
      <c r="U200" s="172"/>
    </row>
    <row r="201" spans="1:21" hidden="1">
      <c r="A201" s="143">
        <v>471</v>
      </c>
      <c r="B201" s="167">
        <f t="shared" ref="B201:H210" si="55">IF($A201&lt;=$A$8,INDEX(Import.PO,$A201,B$8),0)</f>
        <v>0</v>
      </c>
      <c r="C201" s="167">
        <f t="shared" si="55"/>
        <v>0</v>
      </c>
      <c r="D201" s="167">
        <f t="shared" si="55"/>
        <v>0</v>
      </c>
      <c r="E201" s="168">
        <f t="shared" si="55"/>
        <v>0</v>
      </c>
      <c r="F201" s="167">
        <f t="shared" si="55"/>
        <v>0</v>
      </c>
      <c r="G201" s="168">
        <f t="shared" si="55"/>
        <v>0</v>
      </c>
      <c r="H201" s="169">
        <f t="shared" si="55"/>
        <v>0</v>
      </c>
      <c r="I201" s="169" t="e">
        <f t="shared" ca="1" si="38"/>
        <v>#VALUE!</v>
      </c>
      <c r="J201" s="169">
        <f t="shared" si="54"/>
        <v>0</v>
      </c>
      <c r="K201" s="170">
        <f t="shared" si="54"/>
        <v>0</v>
      </c>
      <c r="L201" s="169">
        <f t="shared" si="54"/>
        <v>0</v>
      </c>
      <c r="M201" s="169">
        <f t="shared" si="54"/>
        <v>0</v>
      </c>
      <c r="N201" s="169" t="e">
        <f t="shared" ca="1" si="39"/>
        <v>#VALUE!</v>
      </c>
      <c r="O201" s="171" t="str">
        <f t="shared" si="40"/>
        <v/>
      </c>
      <c r="P201" s="171" t="str">
        <f t="shared" ca="1" si="41"/>
        <v/>
      </c>
      <c r="Q201" s="170">
        <f t="shared" ca="1" si="42"/>
        <v>0</v>
      </c>
      <c r="R201" s="170">
        <f t="shared" ca="1" si="43"/>
        <v>0</v>
      </c>
      <c r="S201" s="171" t="b">
        <f t="shared" si="44"/>
        <v>0</v>
      </c>
      <c r="T201" s="171" t="b">
        <f t="shared" ca="1" si="45"/>
        <v>0</v>
      </c>
      <c r="U201" s="172"/>
    </row>
    <row r="202" spans="1:21" hidden="1">
      <c r="A202" s="143">
        <v>146</v>
      </c>
      <c r="B202" s="167">
        <f t="shared" si="55"/>
        <v>0</v>
      </c>
      <c r="C202" s="167">
        <f t="shared" si="55"/>
        <v>0</v>
      </c>
      <c r="D202" s="167">
        <f t="shared" si="55"/>
        <v>0</v>
      </c>
      <c r="E202" s="168">
        <f t="shared" si="55"/>
        <v>0</v>
      </c>
      <c r="F202" s="167">
        <f t="shared" si="55"/>
        <v>0</v>
      </c>
      <c r="G202" s="168">
        <f t="shared" si="55"/>
        <v>0</v>
      </c>
      <c r="H202" s="169">
        <f t="shared" si="55"/>
        <v>0</v>
      </c>
      <c r="I202" s="169" t="e">
        <f t="shared" ca="1" si="38"/>
        <v>#VALUE!</v>
      </c>
      <c r="J202" s="169">
        <f t="shared" si="54"/>
        <v>0</v>
      </c>
      <c r="K202" s="170">
        <f t="shared" si="54"/>
        <v>0</v>
      </c>
      <c r="L202" s="169">
        <f t="shared" si="54"/>
        <v>0</v>
      </c>
      <c r="M202" s="169">
        <f t="shared" si="54"/>
        <v>0</v>
      </c>
      <c r="N202" s="169" t="e">
        <f t="shared" ca="1" si="39"/>
        <v>#VALUE!</v>
      </c>
      <c r="O202" s="171" t="str">
        <f t="shared" si="40"/>
        <v/>
      </c>
      <c r="P202" s="171" t="str">
        <f t="shared" ca="1" si="41"/>
        <v/>
      </c>
      <c r="Q202" s="170">
        <f t="shared" ca="1" si="42"/>
        <v>0</v>
      </c>
      <c r="R202" s="170">
        <f t="shared" ca="1" si="43"/>
        <v>0</v>
      </c>
      <c r="S202" s="171" t="b">
        <f t="shared" si="44"/>
        <v>0</v>
      </c>
      <c r="T202" s="171" t="b">
        <f t="shared" ca="1" si="45"/>
        <v>0</v>
      </c>
      <c r="U202" s="172"/>
    </row>
    <row r="203" spans="1:21" hidden="1">
      <c r="A203" s="143">
        <v>216</v>
      </c>
      <c r="B203" s="167">
        <f t="shared" si="55"/>
        <v>0</v>
      </c>
      <c r="C203" s="167">
        <f t="shared" si="55"/>
        <v>0</v>
      </c>
      <c r="D203" s="167">
        <f t="shared" si="55"/>
        <v>0</v>
      </c>
      <c r="E203" s="168">
        <f t="shared" si="55"/>
        <v>0</v>
      </c>
      <c r="F203" s="167">
        <f t="shared" si="55"/>
        <v>0</v>
      </c>
      <c r="G203" s="168">
        <f t="shared" si="55"/>
        <v>0</v>
      </c>
      <c r="H203" s="169">
        <f t="shared" si="55"/>
        <v>0</v>
      </c>
      <c r="I203" s="169" t="e">
        <f t="shared" ref="I203:I266" ca="1" si="56">IF($P203=ROW($P203)-ROW($P$10),SUMIF(OFFSET($P$10,1,0,$A$7),$P203,OFFSET($H$10,1,0,$A$7)),OFFSET($I$10,$P203,0))</f>
        <v>#VALUE!</v>
      </c>
      <c r="J203" s="169">
        <f t="shared" si="54"/>
        <v>0</v>
      </c>
      <c r="K203" s="170">
        <f t="shared" si="54"/>
        <v>0</v>
      </c>
      <c r="L203" s="169">
        <f t="shared" si="54"/>
        <v>0</v>
      </c>
      <c r="M203" s="169">
        <f t="shared" si="54"/>
        <v>0</v>
      </c>
      <c r="N203" s="169" t="e">
        <f t="shared" ref="N203:N266" ca="1" si="57">IF($P203=ROW($P203)-ROW($P$10),SUMIF(OFFSET($P$10,1,0,$A$7),$P203,OFFSET($M$10,1,0,$A$7)),OFFSET($N$10,$P203,0))</f>
        <v>#VALUE!</v>
      </c>
      <c r="O203" s="171" t="str">
        <f t="shared" ref="O203:O266" si="58">IF($S203,D203&amp;"-"&amp;E203,"")</f>
        <v/>
      </c>
      <c r="P203" s="171" t="str">
        <f t="shared" ref="P203:P266" ca="1" si="59">IF($S203,MATCH(O203,OFFSET($O$10,1,0,$A$7),0),"")</f>
        <v/>
      </c>
      <c r="Q203" s="170">
        <f t="shared" ref="Q203:Q266" ca="1" si="60">IF($P203=ROW($P203)-ROW($P$10),$N203/$M$7,IF(ISNUMBER($P203),TEXT(OFFSET($Q$10,$P203,0)," 0,00% "),0))</f>
        <v>0</v>
      </c>
      <c r="R203" s="170">
        <f t="shared" ref="R203:R266" ca="1" si="61">SUMIF(OFFSET($Q$10,1,0,$A$7),"&gt;="&amp;$N203/$M$7,OFFSET($Q$10,1,0,$A$7))</f>
        <v>0</v>
      </c>
      <c r="S203" s="171" t="b">
        <f t="shared" ref="S203:S266" si="62">E203&lt;&gt;0</f>
        <v>0</v>
      </c>
      <c r="T203" s="171" t="b">
        <f t="shared" ref="T203:T266" ca="1" si="63">IF($P203=ROW($P203)-ROW($P$10),R203&lt;=$Q$8,IF(ISNUMBER($P203),OFFSET($T$10,VALUE($P203),0),FALSE))</f>
        <v>0</v>
      </c>
      <c r="U203" s="172"/>
    </row>
    <row r="204" spans="1:21" hidden="1">
      <c r="A204" s="143">
        <v>293</v>
      </c>
      <c r="B204" s="167">
        <f t="shared" si="55"/>
        <v>0</v>
      </c>
      <c r="C204" s="167">
        <f t="shared" si="55"/>
        <v>0</v>
      </c>
      <c r="D204" s="167">
        <f t="shared" si="55"/>
        <v>0</v>
      </c>
      <c r="E204" s="168">
        <f t="shared" si="55"/>
        <v>0</v>
      </c>
      <c r="F204" s="167">
        <f t="shared" si="55"/>
        <v>0</v>
      </c>
      <c r="G204" s="168">
        <f t="shared" si="55"/>
        <v>0</v>
      </c>
      <c r="H204" s="169">
        <f t="shared" si="55"/>
        <v>0</v>
      </c>
      <c r="I204" s="169" t="e">
        <f t="shared" ca="1" si="56"/>
        <v>#VALUE!</v>
      </c>
      <c r="J204" s="169">
        <f t="shared" si="54"/>
        <v>0</v>
      </c>
      <c r="K204" s="170">
        <f t="shared" si="54"/>
        <v>0</v>
      </c>
      <c r="L204" s="169">
        <f t="shared" si="54"/>
        <v>0</v>
      </c>
      <c r="M204" s="169">
        <f t="shared" si="54"/>
        <v>0</v>
      </c>
      <c r="N204" s="169" t="e">
        <f t="shared" ca="1" si="57"/>
        <v>#VALUE!</v>
      </c>
      <c r="O204" s="171" t="str">
        <f t="shared" si="58"/>
        <v/>
      </c>
      <c r="P204" s="171" t="str">
        <f t="shared" ca="1" si="59"/>
        <v/>
      </c>
      <c r="Q204" s="170">
        <f t="shared" ca="1" si="60"/>
        <v>0</v>
      </c>
      <c r="R204" s="170">
        <f t="shared" ca="1" si="61"/>
        <v>0</v>
      </c>
      <c r="S204" s="171" t="b">
        <f t="shared" si="62"/>
        <v>0</v>
      </c>
      <c r="T204" s="171" t="b">
        <f t="shared" ca="1" si="63"/>
        <v>0</v>
      </c>
      <c r="U204" s="172"/>
    </row>
    <row r="205" spans="1:21" hidden="1">
      <c r="A205" s="143">
        <v>149</v>
      </c>
      <c r="B205" s="167">
        <f t="shared" si="55"/>
        <v>0</v>
      </c>
      <c r="C205" s="167">
        <f t="shared" si="55"/>
        <v>0</v>
      </c>
      <c r="D205" s="167">
        <f t="shared" si="55"/>
        <v>0</v>
      </c>
      <c r="E205" s="168">
        <f t="shared" si="55"/>
        <v>0</v>
      </c>
      <c r="F205" s="167">
        <f t="shared" si="55"/>
        <v>0</v>
      </c>
      <c r="G205" s="168">
        <f t="shared" si="55"/>
        <v>0</v>
      </c>
      <c r="H205" s="169">
        <f t="shared" si="55"/>
        <v>0</v>
      </c>
      <c r="I205" s="169" t="e">
        <f t="shared" ca="1" si="56"/>
        <v>#VALUE!</v>
      </c>
      <c r="J205" s="169">
        <f t="shared" si="54"/>
        <v>0</v>
      </c>
      <c r="K205" s="170">
        <f t="shared" si="54"/>
        <v>0</v>
      </c>
      <c r="L205" s="169">
        <f t="shared" si="54"/>
        <v>0</v>
      </c>
      <c r="M205" s="169">
        <f t="shared" si="54"/>
        <v>0</v>
      </c>
      <c r="N205" s="169" t="e">
        <f t="shared" ca="1" si="57"/>
        <v>#VALUE!</v>
      </c>
      <c r="O205" s="171" t="str">
        <f t="shared" si="58"/>
        <v/>
      </c>
      <c r="P205" s="171" t="str">
        <f t="shared" ca="1" si="59"/>
        <v/>
      </c>
      <c r="Q205" s="170">
        <f t="shared" ca="1" si="60"/>
        <v>0</v>
      </c>
      <c r="R205" s="170">
        <f t="shared" ca="1" si="61"/>
        <v>0</v>
      </c>
      <c r="S205" s="171" t="b">
        <f t="shared" si="62"/>
        <v>0</v>
      </c>
      <c r="T205" s="171" t="b">
        <f t="shared" ca="1" si="63"/>
        <v>0</v>
      </c>
      <c r="U205" s="172"/>
    </row>
    <row r="206" spans="1:21" hidden="1">
      <c r="A206" s="143">
        <v>219</v>
      </c>
      <c r="B206" s="167">
        <f t="shared" si="55"/>
        <v>0</v>
      </c>
      <c r="C206" s="167">
        <f t="shared" si="55"/>
        <v>0</v>
      </c>
      <c r="D206" s="167">
        <f t="shared" si="55"/>
        <v>0</v>
      </c>
      <c r="E206" s="168">
        <f t="shared" si="55"/>
        <v>0</v>
      </c>
      <c r="F206" s="167">
        <f t="shared" si="55"/>
        <v>0</v>
      </c>
      <c r="G206" s="168">
        <f t="shared" si="55"/>
        <v>0</v>
      </c>
      <c r="H206" s="169">
        <f t="shared" si="55"/>
        <v>0</v>
      </c>
      <c r="I206" s="169" t="e">
        <f t="shared" ca="1" si="56"/>
        <v>#VALUE!</v>
      </c>
      <c r="J206" s="169">
        <f t="shared" si="54"/>
        <v>0</v>
      </c>
      <c r="K206" s="170">
        <f t="shared" si="54"/>
        <v>0</v>
      </c>
      <c r="L206" s="169">
        <f t="shared" si="54"/>
        <v>0</v>
      </c>
      <c r="M206" s="169">
        <f t="shared" si="54"/>
        <v>0</v>
      </c>
      <c r="N206" s="169" t="e">
        <f t="shared" ca="1" si="57"/>
        <v>#VALUE!</v>
      </c>
      <c r="O206" s="171" t="str">
        <f t="shared" si="58"/>
        <v/>
      </c>
      <c r="P206" s="171" t="str">
        <f t="shared" ca="1" si="59"/>
        <v/>
      </c>
      <c r="Q206" s="170">
        <f t="shared" ca="1" si="60"/>
        <v>0</v>
      </c>
      <c r="R206" s="170">
        <f t="shared" ca="1" si="61"/>
        <v>0</v>
      </c>
      <c r="S206" s="171" t="b">
        <f t="shared" si="62"/>
        <v>0</v>
      </c>
      <c r="T206" s="171" t="b">
        <f t="shared" ca="1" si="63"/>
        <v>0</v>
      </c>
      <c r="U206" s="172"/>
    </row>
    <row r="207" spans="1:21" hidden="1">
      <c r="A207" s="143">
        <v>296</v>
      </c>
      <c r="B207" s="167">
        <f t="shared" si="55"/>
        <v>0</v>
      </c>
      <c r="C207" s="167">
        <f t="shared" si="55"/>
        <v>0</v>
      </c>
      <c r="D207" s="167">
        <f t="shared" si="55"/>
        <v>0</v>
      </c>
      <c r="E207" s="168">
        <f t="shared" si="55"/>
        <v>0</v>
      </c>
      <c r="F207" s="167">
        <f t="shared" si="55"/>
        <v>0</v>
      </c>
      <c r="G207" s="168">
        <f t="shared" si="55"/>
        <v>0</v>
      </c>
      <c r="H207" s="169">
        <f t="shared" si="55"/>
        <v>0</v>
      </c>
      <c r="I207" s="169" t="e">
        <f t="shared" ca="1" si="56"/>
        <v>#VALUE!</v>
      </c>
      <c r="J207" s="169">
        <f t="shared" si="54"/>
        <v>0</v>
      </c>
      <c r="K207" s="170">
        <f t="shared" si="54"/>
        <v>0</v>
      </c>
      <c r="L207" s="169">
        <f t="shared" si="54"/>
        <v>0</v>
      </c>
      <c r="M207" s="169">
        <f t="shared" si="54"/>
        <v>0</v>
      </c>
      <c r="N207" s="169" t="e">
        <f t="shared" ca="1" si="57"/>
        <v>#VALUE!</v>
      </c>
      <c r="O207" s="171" t="str">
        <f t="shared" si="58"/>
        <v/>
      </c>
      <c r="P207" s="171" t="str">
        <f t="shared" ca="1" si="59"/>
        <v/>
      </c>
      <c r="Q207" s="170">
        <f t="shared" ca="1" si="60"/>
        <v>0</v>
      </c>
      <c r="R207" s="170">
        <f t="shared" ca="1" si="61"/>
        <v>0</v>
      </c>
      <c r="S207" s="171" t="b">
        <f t="shared" si="62"/>
        <v>0</v>
      </c>
      <c r="T207" s="171" t="b">
        <f t="shared" ca="1" si="63"/>
        <v>0</v>
      </c>
      <c r="U207" s="172"/>
    </row>
    <row r="208" spans="1:21" hidden="1">
      <c r="A208" s="143">
        <v>163</v>
      </c>
      <c r="B208" s="167">
        <f t="shared" si="55"/>
        <v>0</v>
      </c>
      <c r="C208" s="167">
        <f t="shared" si="55"/>
        <v>0</v>
      </c>
      <c r="D208" s="167">
        <f t="shared" si="55"/>
        <v>0</v>
      </c>
      <c r="E208" s="168">
        <f t="shared" si="55"/>
        <v>0</v>
      </c>
      <c r="F208" s="167">
        <f t="shared" si="55"/>
        <v>0</v>
      </c>
      <c r="G208" s="168">
        <f t="shared" si="55"/>
        <v>0</v>
      </c>
      <c r="H208" s="169">
        <f t="shared" si="55"/>
        <v>0</v>
      </c>
      <c r="I208" s="169" t="e">
        <f t="shared" ca="1" si="56"/>
        <v>#VALUE!</v>
      </c>
      <c r="J208" s="169">
        <f t="shared" si="54"/>
        <v>0</v>
      </c>
      <c r="K208" s="170">
        <f t="shared" si="54"/>
        <v>0</v>
      </c>
      <c r="L208" s="169">
        <f t="shared" si="54"/>
        <v>0</v>
      </c>
      <c r="M208" s="169">
        <f t="shared" si="54"/>
        <v>0</v>
      </c>
      <c r="N208" s="169" t="e">
        <f t="shared" ca="1" si="57"/>
        <v>#VALUE!</v>
      </c>
      <c r="O208" s="171" t="str">
        <f t="shared" si="58"/>
        <v/>
      </c>
      <c r="P208" s="171" t="str">
        <f t="shared" ca="1" si="59"/>
        <v/>
      </c>
      <c r="Q208" s="170">
        <f t="shared" ca="1" si="60"/>
        <v>0</v>
      </c>
      <c r="R208" s="170">
        <f t="shared" ca="1" si="61"/>
        <v>0</v>
      </c>
      <c r="S208" s="171" t="b">
        <f t="shared" si="62"/>
        <v>0</v>
      </c>
      <c r="T208" s="171" t="b">
        <f t="shared" ca="1" si="63"/>
        <v>0</v>
      </c>
      <c r="U208" s="172"/>
    </row>
    <row r="209" spans="1:21" hidden="1">
      <c r="A209" s="143">
        <v>185</v>
      </c>
      <c r="B209" s="167">
        <f t="shared" si="55"/>
        <v>0</v>
      </c>
      <c r="C209" s="167">
        <f t="shared" si="55"/>
        <v>0</v>
      </c>
      <c r="D209" s="167">
        <f t="shared" si="55"/>
        <v>0</v>
      </c>
      <c r="E209" s="168">
        <f t="shared" si="55"/>
        <v>0</v>
      </c>
      <c r="F209" s="167">
        <f t="shared" si="55"/>
        <v>0</v>
      </c>
      <c r="G209" s="168">
        <f t="shared" si="55"/>
        <v>0</v>
      </c>
      <c r="H209" s="169">
        <f t="shared" si="55"/>
        <v>0</v>
      </c>
      <c r="I209" s="169" t="e">
        <f t="shared" ca="1" si="56"/>
        <v>#VALUE!</v>
      </c>
      <c r="J209" s="169">
        <f t="shared" si="54"/>
        <v>0</v>
      </c>
      <c r="K209" s="170">
        <f t="shared" si="54"/>
        <v>0</v>
      </c>
      <c r="L209" s="169">
        <f t="shared" si="54"/>
        <v>0</v>
      </c>
      <c r="M209" s="169">
        <f t="shared" si="54"/>
        <v>0</v>
      </c>
      <c r="N209" s="169" t="e">
        <f t="shared" ca="1" si="57"/>
        <v>#VALUE!</v>
      </c>
      <c r="O209" s="171" t="str">
        <f t="shared" si="58"/>
        <v/>
      </c>
      <c r="P209" s="171" t="str">
        <f t="shared" ca="1" si="59"/>
        <v/>
      </c>
      <c r="Q209" s="170">
        <f t="shared" ca="1" si="60"/>
        <v>0</v>
      </c>
      <c r="R209" s="170">
        <f t="shared" ca="1" si="61"/>
        <v>0</v>
      </c>
      <c r="S209" s="171" t="b">
        <f t="shared" si="62"/>
        <v>0</v>
      </c>
      <c r="T209" s="171" t="b">
        <f t="shared" ca="1" si="63"/>
        <v>0</v>
      </c>
      <c r="U209" s="172"/>
    </row>
    <row r="210" spans="1:21" hidden="1">
      <c r="A210" s="143">
        <v>233</v>
      </c>
      <c r="B210" s="167">
        <f t="shared" si="55"/>
        <v>0</v>
      </c>
      <c r="C210" s="167">
        <f t="shared" si="55"/>
        <v>0</v>
      </c>
      <c r="D210" s="167">
        <f t="shared" si="55"/>
        <v>0</v>
      </c>
      <c r="E210" s="168">
        <f t="shared" si="55"/>
        <v>0</v>
      </c>
      <c r="F210" s="167">
        <f t="shared" si="55"/>
        <v>0</v>
      </c>
      <c r="G210" s="168">
        <f t="shared" si="55"/>
        <v>0</v>
      </c>
      <c r="H210" s="169">
        <f t="shared" si="55"/>
        <v>0</v>
      </c>
      <c r="I210" s="169" t="e">
        <f t="shared" ca="1" si="56"/>
        <v>#VALUE!</v>
      </c>
      <c r="J210" s="169">
        <f t="shared" si="54"/>
        <v>0</v>
      </c>
      <c r="K210" s="170">
        <f t="shared" si="54"/>
        <v>0</v>
      </c>
      <c r="L210" s="169">
        <f t="shared" si="54"/>
        <v>0</v>
      </c>
      <c r="M210" s="169">
        <f t="shared" si="54"/>
        <v>0</v>
      </c>
      <c r="N210" s="169" t="e">
        <f t="shared" ca="1" si="57"/>
        <v>#VALUE!</v>
      </c>
      <c r="O210" s="171" t="str">
        <f t="shared" si="58"/>
        <v/>
      </c>
      <c r="P210" s="171" t="str">
        <f t="shared" ca="1" si="59"/>
        <v/>
      </c>
      <c r="Q210" s="170">
        <f t="shared" ca="1" si="60"/>
        <v>0</v>
      </c>
      <c r="R210" s="170">
        <f t="shared" ca="1" si="61"/>
        <v>0</v>
      </c>
      <c r="S210" s="171" t="b">
        <f t="shared" si="62"/>
        <v>0</v>
      </c>
      <c r="T210" s="171" t="b">
        <f t="shared" ca="1" si="63"/>
        <v>0</v>
      </c>
      <c r="U210" s="172"/>
    </row>
    <row r="211" spans="1:21" hidden="1">
      <c r="A211" s="143">
        <v>248</v>
      </c>
      <c r="B211" s="167">
        <f t="shared" ref="B211:H220" si="64">IF($A211&lt;=$A$8,INDEX(Import.PO,$A211,B$8),0)</f>
        <v>0</v>
      </c>
      <c r="C211" s="167">
        <f t="shared" si="64"/>
        <v>0</v>
      </c>
      <c r="D211" s="167">
        <f t="shared" si="64"/>
        <v>0</v>
      </c>
      <c r="E211" s="168">
        <f t="shared" si="64"/>
        <v>0</v>
      </c>
      <c r="F211" s="167">
        <f t="shared" si="64"/>
        <v>0</v>
      </c>
      <c r="G211" s="168">
        <f t="shared" si="64"/>
        <v>0</v>
      </c>
      <c r="H211" s="169">
        <f t="shared" si="64"/>
        <v>0</v>
      </c>
      <c r="I211" s="169" t="e">
        <f t="shared" ca="1" si="56"/>
        <v>#VALUE!</v>
      </c>
      <c r="J211" s="169">
        <f t="shared" ref="J211:M230" si="65">IF($A211&lt;=$A$8,INDEX(Import.PO,$A211,J$8),0)</f>
        <v>0</v>
      </c>
      <c r="K211" s="170">
        <f t="shared" si="65"/>
        <v>0</v>
      </c>
      <c r="L211" s="169">
        <f t="shared" si="65"/>
        <v>0</v>
      </c>
      <c r="M211" s="169">
        <f t="shared" si="65"/>
        <v>0</v>
      </c>
      <c r="N211" s="169" t="e">
        <f t="shared" ca="1" si="57"/>
        <v>#VALUE!</v>
      </c>
      <c r="O211" s="171" t="str">
        <f t="shared" si="58"/>
        <v/>
      </c>
      <c r="P211" s="171" t="str">
        <f t="shared" ca="1" si="59"/>
        <v/>
      </c>
      <c r="Q211" s="170">
        <f t="shared" ca="1" si="60"/>
        <v>0</v>
      </c>
      <c r="R211" s="170">
        <f t="shared" ca="1" si="61"/>
        <v>0</v>
      </c>
      <c r="S211" s="171" t="b">
        <f t="shared" si="62"/>
        <v>0</v>
      </c>
      <c r="T211" s="171" t="b">
        <f t="shared" ca="1" si="63"/>
        <v>0</v>
      </c>
      <c r="U211" s="172"/>
    </row>
    <row r="212" spans="1:21" hidden="1">
      <c r="A212" s="143">
        <v>288</v>
      </c>
      <c r="B212" s="167">
        <f t="shared" si="64"/>
        <v>0</v>
      </c>
      <c r="C212" s="167">
        <f t="shared" si="64"/>
        <v>0</v>
      </c>
      <c r="D212" s="167">
        <f t="shared" si="64"/>
        <v>0</v>
      </c>
      <c r="E212" s="168">
        <f t="shared" si="64"/>
        <v>0</v>
      </c>
      <c r="F212" s="167">
        <f t="shared" si="64"/>
        <v>0</v>
      </c>
      <c r="G212" s="168">
        <f t="shared" si="64"/>
        <v>0</v>
      </c>
      <c r="H212" s="169">
        <f t="shared" si="64"/>
        <v>0</v>
      </c>
      <c r="I212" s="169" t="e">
        <f t="shared" ca="1" si="56"/>
        <v>#VALUE!</v>
      </c>
      <c r="J212" s="169">
        <f t="shared" si="65"/>
        <v>0</v>
      </c>
      <c r="K212" s="170">
        <f t="shared" si="65"/>
        <v>0</v>
      </c>
      <c r="L212" s="169">
        <f t="shared" si="65"/>
        <v>0</v>
      </c>
      <c r="M212" s="169">
        <f t="shared" si="65"/>
        <v>0</v>
      </c>
      <c r="N212" s="169" t="e">
        <f t="shared" ca="1" si="57"/>
        <v>#VALUE!</v>
      </c>
      <c r="O212" s="171" t="str">
        <f t="shared" si="58"/>
        <v/>
      </c>
      <c r="P212" s="171" t="str">
        <f t="shared" ca="1" si="59"/>
        <v/>
      </c>
      <c r="Q212" s="170">
        <f t="shared" ca="1" si="60"/>
        <v>0</v>
      </c>
      <c r="R212" s="170">
        <f t="shared" ca="1" si="61"/>
        <v>0</v>
      </c>
      <c r="S212" s="171" t="b">
        <f t="shared" si="62"/>
        <v>0</v>
      </c>
      <c r="T212" s="171" t="b">
        <f t="shared" ca="1" si="63"/>
        <v>0</v>
      </c>
      <c r="U212" s="172"/>
    </row>
    <row r="213" spans="1:21" hidden="1">
      <c r="A213" s="143">
        <v>338</v>
      </c>
      <c r="B213" s="167">
        <f t="shared" si="64"/>
        <v>0</v>
      </c>
      <c r="C213" s="167">
        <f t="shared" si="64"/>
        <v>0</v>
      </c>
      <c r="D213" s="167">
        <f t="shared" si="64"/>
        <v>0</v>
      </c>
      <c r="E213" s="168">
        <f t="shared" si="64"/>
        <v>0</v>
      </c>
      <c r="F213" s="167">
        <f t="shared" si="64"/>
        <v>0</v>
      </c>
      <c r="G213" s="168">
        <f t="shared" si="64"/>
        <v>0</v>
      </c>
      <c r="H213" s="169">
        <f t="shared" si="64"/>
        <v>0</v>
      </c>
      <c r="I213" s="169" t="e">
        <f t="shared" ca="1" si="56"/>
        <v>#VALUE!</v>
      </c>
      <c r="J213" s="169">
        <f t="shared" si="65"/>
        <v>0</v>
      </c>
      <c r="K213" s="170">
        <f t="shared" si="65"/>
        <v>0</v>
      </c>
      <c r="L213" s="169">
        <f t="shared" si="65"/>
        <v>0</v>
      </c>
      <c r="M213" s="169">
        <f t="shared" si="65"/>
        <v>0</v>
      </c>
      <c r="N213" s="169" t="e">
        <f t="shared" ca="1" si="57"/>
        <v>#VALUE!</v>
      </c>
      <c r="O213" s="171" t="str">
        <f t="shared" si="58"/>
        <v/>
      </c>
      <c r="P213" s="171" t="str">
        <f t="shared" ca="1" si="59"/>
        <v/>
      </c>
      <c r="Q213" s="170">
        <f t="shared" ca="1" si="60"/>
        <v>0</v>
      </c>
      <c r="R213" s="170">
        <f t="shared" ca="1" si="61"/>
        <v>0</v>
      </c>
      <c r="S213" s="171" t="b">
        <f t="shared" si="62"/>
        <v>0</v>
      </c>
      <c r="T213" s="171" t="b">
        <f t="shared" ca="1" si="63"/>
        <v>0</v>
      </c>
      <c r="U213" s="172"/>
    </row>
    <row r="214" spans="1:21" hidden="1">
      <c r="A214" s="143">
        <v>55</v>
      </c>
      <c r="B214" s="167">
        <f t="shared" si="64"/>
        <v>0</v>
      </c>
      <c r="C214" s="167">
        <f t="shared" si="64"/>
        <v>0</v>
      </c>
      <c r="D214" s="167">
        <f t="shared" si="64"/>
        <v>0</v>
      </c>
      <c r="E214" s="168">
        <f t="shared" si="64"/>
        <v>0</v>
      </c>
      <c r="F214" s="167">
        <f t="shared" si="64"/>
        <v>0</v>
      </c>
      <c r="G214" s="168">
        <f t="shared" si="64"/>
        <v>0</v>
      </c>
      <c r="H214" s="169">
        <f t="shared" si="64"/>
        <v>0</v>
      </c>
      <c r="I214" s="169" t="e">
        <f t="shared" ca="1" si="56"/>
        <v>#VALUE!</v>
      </c>
      <c r="J214" s="169">
        <f t="shared" si="65"/>
        <v>0</v>
      </c>
      <c r="K214" s="170">
        <f t="shared" si="65"/>
        <v>0</v>
      </c>
      <c r="L214" s="169">
        <f t="shared" si="65"/>
        <v>0</v>
      </c>
      <c r="M214" s="169">
        <f t="shared" si="65"/>
        <v>0</v>
      </c>
      <c r="N214" s="169" t="e">
        <f t="shared" ca="1" si="57"/>
        <v>#VALUE!</v>
      </c>
      <c r="O214" s="171" t="str">
        <f t="shared" si="58"/>
        <v/>
      </c>
      <c r="P214" s="171" t="str">
        <f t="shared" ca="1" si="59"/>
        <v/>
      </c>
      <c r="Q214" s="170">
        <f t="shared" ca="1" si="60"/>
        <v>0</v>
      </c>
      <c r="R214" s="170">
        <f t="shared" ca="1" si="61"/>
        <v>0</v>
      </c>
      <c r="S214" s="171" t="b">
        <f t="shared" si="62"/>
        <v>0</v>
      </c>
      <c r="T214" s="171" t="b">
        <f t="shared" ca="1" si="63"/>
        <v>0</v>
      </c>
      <c r="U214" s="172"/>
    </row>
    <row r="215" spans="1:21" hidden="1">
      <c r="A215" s="143">
        <v>67</v>
      </c>
      <c r="B215" s="167">
        <f t="shared" si="64"/>
        <v>0</v>
      </c>
      <c r="C215" s="167">
        <f t="shared" si="64"/>
        <v>0</v>
      </c>
      <c r="D215" s="167">
        <f t="shared" si="64"/>
        <v>0</v>
      </c>
      <c r="E215" s="168">
        <f t="shared" si="64"/>
        <v>0</v>
      </c>
      <c r="F215" s="167">
        <f t="shared" si="64"/>
        <v>0</v>
      </c>
      <c r="G215" s="168">
        <f t="shared" si="64"/>
        <v>0</v>
      </c>
      <c r="H215" s="169">
        <f t="shared" si="64"/>
        <v>0</v>
      </c>
      <c r="I215" s="169" t="e">
        <f t="shared" ca="1" si="56"/>
        <v>#VALUE!</v>
      </c>
      <c r="J215" s="169">
        <f t="shared" si="65"/>
        <v>0</v>
      </c>
      <c r="K215" s="170">
        <f t="shared" si="65"/>
        <v>0</v>
      </c>
      <c r="L215" s="169">
        <f t="shared" si="65"/>
        <v>0</v>
      </c>
      <c r="M215" s="169">
        <f t="shared" si="65"/>
        <v>0</v>
      </c>
      <c r="N215" s="169" t="e">
        <f t="shared" ca="1" si="57"/>
        <v>#VALUE!</v>
      </c>
      <c r="O215" s="171" t="str">
        <f t="shared" si="58"/>
        <v/>
      </c>
      <c r="P215" s="171" t="str">
        <f t="shared" ca="1" si="59"/>
        <v/>
      </c>
      <c r="Q215" s="170">
        <f t="shared" ca="1" si="60"/>
        <v>0</v>
      </c>
      <c r="R215" s="170">
        <f t="shared" ca="1" si="61"/>
        <v>0</v>
      </c>
      <c r="S215" s="171" t="b">
        <f t="shared" si="62"/>
        <v>0</v>
      </c>
      <c r="T215" s="171" t="b">
        <f t="shared" ca="1" si="63"/>
        <v>0</v>
      </c>
      <c r="U215" s="172"/>
    </row>
    <row r="216" spans="1:21" hidden="1">
      <c r="A216" s="143">
        <v>74</v>
      </c>
      <c r="B216" s="167">
        <f t="shared" si="64"/>
        <v>0</v>
      </c>
      <c r="C216" s="167">
        <f t="shared" si="64"/>
        <v>0</v>
      </c>
      <c r="D216" s="167">
        <f t="shared" si="64"/>
        <v>0</v>
      </c>
      <c r="E216" s="168">
        <f t="shared" si="64"/>
        <v>0</v>
      </c>
      <c r="F216" s="167">
        <f t="shared" si="64"/>
        <v>0</v>
      </c>
      <c r="G216" s="168">
        <f t="shared" si="64"/>
        <v>0</v>
      </c>
      <c r="H216" s="169">
        <f t="shared" si="64"/>
        <v>0</v>
      </c>
      <c r="I216" s="169" t="e">
        <f t="shared" ca="1" si="56"/>
        <v>#VALUE!</v>
      </c>
      <c r="J216" s="169">
        <f t="shared" si="65"/>
        <v>0</v>
      </c>
      <c r="K216" s="170">
        <f t="shared" si="65"/>
        <v>0</v>
      </c>
      <c r="L216" s="169">
        <f t="shared" si="65"/>
        <v>0</v>
      </c>
      <c r="M216" s="169">
        <f t="shared" si="65"/>
        <v>0</v>
      </c>
      <c r="N216" s="169" t="e">
        <f t="shared" ca="1" si="57"/>
        <v>#VALUE!</v>
      </c>
      <c r="O216" s="171" t="str">
        <f t="shared" si="58"/>
        <v/>
      </c>
      <c r="P216" s="171" t="str">
        <f t="shared" ca="1" si="59"/>
        <v/>
      </c>
      <c r="Q216" s="170">
        <f t="shared" ca="1" si="60"/>
        <v>0</v>
      </c>
      <c r="R216" s="170">
        <f t="shared" ca="1" si="61"/>
        <v>0</v>
      </c>
      <c r="S216" s="171" t="b">
        <f t="shared" si="62"/>
        <v>0</v>
      </c>
      <c r="T216" s="171" t="b">
        <f t="shared" ca="1" si="63"/>
        <v>0</v>
      </c>
      <c r="U216" s="172"/>
    </row>
    <row r="217" spans="1:21" hidden="1">
      <c r="A217" s="143">
        <v>88</v>
      </c>
      <c r="B217" s="167">
        <f t="shared" si="64"/>
        <v>0</v>
      </c>
      <c r="C217" s="167">
        <f t="shared" si="64"/>
        <v>0</v>
      </c>
      <c r="D217" s="167">
        <f t="shared" si="64"/>
        <v>0</v>
      </c>
      <c r="E217" s="168">
        <f t="shared" si="64"/>
        <v>0</v>
      </c>
      <c r="F217" s="167">
        <f t="shared" si="64"/>
        <v>0</v>
      </c>
      <c r="G217" s="168">
        <f t="shared" si="64"/>
        <v>0</v>
      </c>
      <c r="H217" s="169">
        <f t="shared" si="64"/>
        <v>0</v>
      </c>
      <c r="I217" s="169" t="e">
        <f t="shared" ca="1" si="56"/>
        <v>#VALUE!</v>
      </c>
      <c r="J217" s="169">
        <f t="shared" si="65"/>
        <v>0</v>
      </c>
      <c r="K217" s="170">
        <f t="shared" si="65"/>
        <v>0</v>
      </c>
      <c r="L217" s="169">
        <f t="shared" si="65"/>
        <v>0</v>
      </c>
      <c r="M217" s="169">
        <f t="shared" si="65"/>
        <v>0</v>
      </c>
      <c r="N217" s="169" t="e">
        <f t="shared" ca="1" si="57"/>
        <v>#VALUE!</v>
      </c>
      <c r="O217" s="171" t="str">
        <f t="shared" si="58"/>
        <v/>
      </c>
      <c r="P217" s="171" t="str">
        <f t="shared" ca="1" si="59"/>
        <v/>
      </c>
      <c r="Q217" s="170">
        <f t="shared" ca="1" si="60"/>
        <v>0</v>
      </c>
      <c r="R217" s="170">
        <f t="shared" ca="1" si="61"/>
        <v>0</v>
      </c>
      <c r="S217" s="171" t="b">
        <f t="shared" si="62"/>
        <v>0</v>
      </c>
      <c r="T217" s="171" t="b">
        <f t="shared" ca="1" si="63"/>
        <v>0</v>
      </c>
      <c r="U217" s="172"/>
    </row>
    <row r="218" spans="1:21" hidden="1">
      <c r="A218" s="143">
        <v>135</v>
      </c>
      <c r="B218" s="167">
        <f t="shared" si="64"/>
        <v>0</v>
      </c>
      <c r="C218" s="167">
        <f t="shared" si="64"/>
        <v>0</v>
      </c>
      <c r="D218" s="167">
        <f t="shared" si="64"/>
        <v>0</v>
      </c>
      <c r="E218" s="168">
        <f t="shared" si="64"/>
        <v>0</v>
      </c>
      <c r="F218" s="167">
        <f t="shared" si="64"/>
        <v>0</v>
      </c>
      <c r="G218" s="168">
        <f t="shared" si="64"/>
        <v>0</v>
      </c>
      <c r="H218" s="169">
        <f t="shared" si="64"/>
        <v>0</v>
      </c>
      <c r="I218" s="169" t="e">
        <f t="shared" ca="1" si="56"/>
        <v>#VALUE!</v>
      </c>
      <c r="J218" s="169">
        <f t="shared" si="65"/>
        <v>0</v>
      </c>
      <c r="K218" s="170">
        <f t="shared" si="65"/>
        <v>0</v>
      </c>
      <c r="L218" s="169">
        <f t="shared" si="65"/>
        <v>0</v>
      </c>
      <c r="M218" s="169">
        <f t="shared" si="65"/>
        <v>0</v>
      </c>
      <c r="N218" s="169" t="e">
        <f t="shared" ca="1" si="57"/>
        <v>#VALUE!</v>
      </c>
      <c r="O218" s="171" t="str">
        <f t="shared" si="58"/>
        <v/>
      </c>
      <c r="P218" s="171" t="str">
        <f t="shared" ca="1" si="59"/>
        <v/>
      </c>
      <c r="Q218" s="170">
        <f t="shared" ca="1" si="60"/>
        <v>0</v>
      </c>
      <c r="R218" s="170">
        <f t="shared" ca="1" si="61"/>
        <v>0</v>
      </c>
      <c r="S218" s="171" t="b">
        <f t="shared" si="62"/>
        <v>0</v>
      </c>
      <c r="T218" s="171" t="b">
        <f t="shared" ca="1" si="63"/>
        <v>0</v>
      </c>
      <c r="U218" s="172"/>
    </row>
    <row r="219" spans="1:21" hidden="1">
      <c r="A219" s="143">
        <v>171</v>
      </c>
      <c r="B219" s="167">
        <f t="shared" si="64"/>
        <v>0</v>
      </c>
      <c r="C219" s="167">
        <f t="shared" si="64"/>
        <v>0</v>
      </c>
      <c r="D219" s="167">
        <f t="shared" si="64"/>
        <v>0</v>
      </c>
      <c r="E219" s="168">
        <f t="shared" si="64"/>
        <v>0</v>
      </c>
      <c r="F219" s="167">
        <f t="shared" si="64"/>
        <v>0</v>
      </c>
      <c r="G219" s="168">
        <f t="shared" si="64"/>
        <v>0</v>
      </c>
      <c r="H219" s="169">
        <f t="shared" si="64"/>
        <v>0</v>
      </c>
      <c r="I219" s="169" t="e">
        <f t="shared" ca="1" si="56"/>
        <v>#VALUE!</v>
      </c>
      <c r="J219" s="169">
        <f t="shared" si="65"/>
        <v>0</v>
      </c>
      <c r="K219" s="170">
        <f t="shared" si="65"/>
        <v>0</v>
      </c>
      <c r="L219" s="169">
        <f t="shared" si="65"/>
        <v>0</v>
      </c>
      <c r="M219" s="169">
        <f t="shared" si="65"/>
        <v>0</v>
      </c>
      <c r="N219" s="169" t="e">
        <f t="shared" ca="1" si="57"/>
        <v>#VALUE!</v>
      </c>
      <c r="O219" s="171" t="str">
        <f t="shared" si="58"/>
        <v/>
      </c>
      <c r="P219" s="171" t="str">
        <f t="shared" ca="1" si="59"/>
        <v/>
      </c>
      <c r="Q219" s="170">
        <f t="shared" ca="1" si="60"/>
        <v>0</v>
      </c>
      <c r="R219" s="170">
        <f t="shared" ca="1" si="61"/>
        <v>0</v>
      </c>
      <c r="S219" s="171" t="b">
        <f t="shared" si="62"/>
        <v>0</v>
      </c>
      <c r="T219" s="171" t="b">
        <f t="shared" ca="1" si="63"/>
        <v>0</v>
      </c>
      <c r="U219" s="172"/>
    </row>
    <row r="220" spans="1:21" hidden="1">
      <c r="A220" s="143">
        <v>196</v>
      </c>
      <c r="B220" s="167">
        <f t="shared" si="64"/>
        <v>0</v>
      </c>
      <c r="C220" s="167">
        <f t="shared" si="64"/>
        <v>0</v>
      </c>
      <c r="D220" s="167">
        <f t="shared" si="64"/>
        <v>0</v>
      </c>
      <c r="E220" s="168">
        <f t="shared" si="64"/>
        <v>0</v>
      </c>
      <c r="F220" s="167">
        <f t="shared" si="64"/>
        <v>0</v>
      </c>
      <c r="G220" s="168">
        <f t="shared" si="64"/>
        <v>0</v>
      </c>
      <c r="H220" s="169">
        <f t="shared" si="64"/>
        <v>0</v>
      </c>
      <c r="I220" s="169" t="e">
        <f t="shared" ca="1" si="56"/>
        <v>#VALUE!</v>
      </c>
      <c r="J220" s="169">
        <f t="shared" si="65"/>
        <v>0</v>
      </c>
      <c r="K220" s="170">
        <f t="shared" si="65"/>
        <v>0</v>
      </c>
      <c r="L220" s="169">
        <f t="shared" si="65"/>
        <v>0</v>
      </c>
      <c r="M220" s="169">
        <f t="shared" si="65"/>
        <v>0</v>
      </c>
      <c r="N220" s="169" t="e">
        <f t="shared" ca="1" si="57"/>
        <v>#VALUE!</v>
      </c>
      <c r="O220" s="171" t="str">
        <f t="shared" si="58"/>
        <v/>
      </c>
      <c r="P220" s="171" t="str">
        <f t="shared" ca="1" si="59"/>
        <v/>
      </c>
      <c r="Q220" s="170">
        <f t="shared" ca="1" si="60"/>
        <v>0</v>
      </c>
      <c r="R220" s="170">
        <f t="shared" ca="1" si="61"/>
        <v>0</v>
      </c>
      <c r="S220" s="171" t="b">
        <f t="shared" si="62"/>
        <v>0</v>
      </c>
      <c r="T220" s="171" t="b">
        <f t="shared" ca="1" si="63"/>
        <v>0</v>
      </c>
      <c r="U220" s="172"/>
    </row>
    <row r="221" spans="1:21" hidden="1">
      <c r="A221" s="143">
        <v>210</v>
      </c>
      <c r="B221" s="167">
        <f t="shared" ref="B221:H230" si="66">IF($A221&lt;=$A$8,INDEX(Import.PO,$A221,B$8),0)</f>
        <v>0</v>
      </c>
      <c r="C221" s="167">
        <f t="shared" si="66"/>
        <v>0</v>
      </c>
      <c r="D221" s="167">
        <f t="shared" si="66"/>
        <v>0</v>
      </c>
      <c r="E221" s="168">
        <f t="shared" si="66"/>
        <v>0</v>
      </c>
      <c r="F221" s="167">
        <f t="shared" si="66"/>
        <v>0</v>
      </c>
      <c r="G221" s="168">
        <f t="shared" si="66"/>
        <v>0</v>
      </c>
      <c r="H221" s="169">
        <f t="shared" si="66"/>
        <v>0</v>
      </c>
      <c r="I221" s="169" t="e">
        <f t="shared" ca="1" si="56"/>
        <v>#VALUE!</v>
      </c>
      <c r="J221" s="169">
        <f t="shared" si="65"/>
        <v>0</v>
      </c>
      <c r="K221" s="170">
        <f t="shared" si="65"/>
        <v>0</v>
      </c>
      <c r="L221" s="169">
        <f t="shared" si="65"/>
        <v>0</v>
      </c>
      <c r="M221" s="169">
        <f t="shared" si="65"/>
        <v>0</v>
      </c>
      <c r="N221" s="169" t="e">
        <f t="shared" ca="1" si="57"/>
        <v>#VALUE!</v>
      </c>
      <c r="O221" s="171" t="str">
        <f t="shared" si="58"/>
        <v/>
      </c>
      <c r="P221" s="171" t="str">
        <f t="shared" ca="1" si="59"/>
        <v/>
      </c>
      <c r="Q221" s="170">
        <f t="shared" ca="1" si="60"/>
        <v>0</v>
      </c>
      <c r="R221" s="170">
        <f t="shared" ca="1" si="61"/>
        <v>0</v>
      </c>
      <c r="S221" s="171" t="b">
        <f t="shared" si="62"/>
        <v>0</v>
      </c>
      <c r="T221" s="171" t="b">
        <f t="shared" ca="1" si="63"/>
        <v>0</v>
      </c>
      <c r="U221" s="172"/>
    </row>
    <row r="222" spans="1:21" hidden="1">
      <c r="A222" s="143">
        <v>259</v>
      </c>
      <c r="B222" s="167">
        <f t="shared" si="66"/>
        <v>0</v>
      </c>
      <c r="C222" s="167">
        <f t="shared" si="66"/>
        <v>0</v>
      </c>
      <c r="D222" s="167">
        <f t="shared" si="66"/>
        <v>0</v>
      </c>
      <c r="E222" s="168">
        <f t="shared" si="66"/>
        <v>0</v>
      </c>
      <c r="F222" s="167">
        <f t="shared" si="66"/>
        <v>0</v>
      </c>
      <c r="G222" s="168">
        <f t="shared" si="66"/>
        <v>0</v>
      </c>
      <c r="H222" s="169">
        <f t="shared" si="66"/>
        <v>0</v>
      </c>
      <c r="I222" s="169" t="e">
        <f t="shared" ca="1" si="56"/>
        <v>#VALUE!</v>
      </c>
      <c r="J222" s="169">
        <f t="shared" si="65"/>
        <v>0</v>
      </c>
      <c r="K222" s="170">
        <f t="shared" si="65"/>
        <v>0</v>
      </c>
      <c r="L222" s="169">
        <f t="shared" si="65"/>
        <v>0</v>
      </c>
      <c r="M222" s="169">
        <f t="shared" si="65"/>
        <v>0</v>
      </c>
      <c r="N222" s="169" t="e">
        <f t="shared" ca="1" si="57"/>
        <v>#VALUE!</v>
      </c>
      <c r="O222" s="171" t="str">
        <f t="shared" si="58"/>
        <v/>
      </c>
      <c r="P222" s="171" t="str">
        <f t="shared" ca="1" si="59"/>
        <v/>
      </c>
      <c r="Q222" s="170">
        <f t="shared" ca="1" si="60"/>
        <v>0</v>
      </c>
      <c r="R222" s="170">
        <f t="shared" ca="1" si="61"/>
        <v>0</v>
      </c>
      <c r="S222" s="171" t="b">
        <f t="shared" si="62"/>
        <v>0</v>
      </c>
      <c r="T222" s="171" t="b">
        <f t="shared" ca="1" si="63"/>
        <v>0</v>
      </c>
      <c r="U222" s="172"/>
    </row>
    <row r="223" spans="1:21" hidden="1">
      <c r="A223" s="143">
        <v>273</v>
      </c>
      <c r="B223" s="167">
        <f t="shared" si="66"/>
        <v>0</v>
      </c>
      <c r="C223" s="167">
        <f t="shared" si="66"/>
        <v>0</v>
      </c>
      <c r="D223" s="167">
        <f t="shared" si="66"/>
        <v>0</v>
      </c>
      <c r="E223" s="168">
        <f t="shared" si="66"/>
        <v>0</v>
      </c>
      <c r="F223" s="167">
        <f t="shared" si="66"/>
        <v>0</v>
      </c>
      <c r="G223" s="168">
        <f t="shared" si="66"/>
        <v>0</v>
      </c>
      <c r="H223" s="169">
        <f t="shared" si="66"/>
        <v>0</v>
      </c>
      <c r="I223" s="169" t="e">
        <f t="shared" ca="1" si="56"/>
        <v>#VALUE!</v>
      </c>
      <c r="J223" s="169">
        <f t="shared" si="65"/>
        <v>0</v>
      </c>
      <c r="K223" s="170">
        <f t="shared" si="65"/>
        <v>0</v>
      </c>
      <c r="L223" s="169">
        <f t="shared" si="65"/>
        <v>0</v>
      </c>
      <c r="M223" s="169">
        <f t="shared" si="65"/>
        <v>0</v>
      </c>
      <c r="N223" s="169" t="e">
        <f t="shared" ca="1" si="57"/>
        <v>#VALUE!</v>
      </c>
      <c r="O223" s="171" t="str">
        <f t="shared" si="58"/>
        <v/>
      </c>
      <c r="P223" s="171" t="str">
        <f t="shared" ca="1" si="59"/>
        <v/>
      </c>
      <c r="Q223" s="170">
        <f t="shared" ca="1" si="60"/>
        <v>0</v>
      </c>
      <c r="R223" s="170">
        <f t="shared" ca="1" si="61"/>
        <v>0</v>
      </c>
      <c r="S223" s="171" t="b">
        <f t="shared" si="62"/>
        <v>0</v>
      </c>
      <c r="T223" s="171" t="b">
        <f t="shared" ca="1" si="63"/>
        <v>0</v>
      </c>
      <c r="U223" s="172"/>
    </row>
    <row r="224" spans="1:21" hidden="1">
      <c r="A224" s="143">
        <v>309</v>
      </c>
      <c r="B224" s="167">
        <f t="shared" si="66"/>
        <v>0</v>
      </c>
      <c r="C224" s="167">
        <f t="shared" si="66"/>
        <v>0</v>
      </c>
      <c r="D224" s="167">
        <f t="shared" si="66"/>
        <v>0</v>
      </c>
      <c r="E224" s="168">
        <f t="shared" si="66"/>
        <v>0</v>
      </c>
      <c r="F224" s="167">
        <f t="shared" si="66"/>
        <v>0</v>
      </c>
      <c r="G224" s="168">
        <f t="shared" si="66"/>
        <v>0</v>
      </c>
      <c r="H224" s="169">
        <f t="shared" si="66"/>
        <v>0</v>
      </c>
      <c r="I224" s="169" t="e">
        <f t="shared" ca="1" si="56"/>
        <v>#VALUE!</v>
      </c>
      <c r="J224" s="169">
        <f t="shared" si="65"/>
        <v>0</v>
      </c>
      <c r="K224" s="170">
        <f t="shared" si="65"/>
        <v>0</v>
      </c>
      <c r="L224" s="169">
        <f t="shared" si="65"/>
        <v>0</v>
      </c>
      <c r="M224" s="169">
        <f t="shared" si="65"/>
        <v>0</v>
      </c>
      <c r="N224" s="169" t="e">
        <f t="shared" ca="1" si="57"/>
        <v>#VALUE!</v>
      </c>
      <c r="O224" s="171" t="str">
        <f t="shared" si="58"/>
        <v/>
      </c>
      <c r="P224" s="171" t="str">
        <f t="shared" ca="1" si="59"/>
        <v/>
      </c>
      <c r="Q224" s="170">
        <f t="shared" ca="1" si="60"/>
        <v>0</v>
      </c>
      <c r="R224" s="170">
        <f t="shared" ca="1" si="61"/>
        <v>0</v>
      </c>
      <c r="S224" s="171" t="b">
        <f t="shared" si="62"/>
        <v>0</v>
      </c>
      <c r="T224" s="171" t="b">
        <f t="shared" ca="1" si="63"/>
        <v>0</v>
      </c>
      <c r="U224" s="172"/>
    </row>
    <row r="225" spans="1:21" hidden="1">
      <c r="A225" s="143">
        <v>323</v>
      </c>
      <c r="B225" s="167">
        <f t="shared" si="66"/>
        <v>0</v>
      </c>
      <c r="C225" s="167">
        <f t="shared" si="66"/>
        <v>0</v>
      </c>
      <c r="D225" s="167">
        <f t="shared" si="66"/>
        <v>0</v>
      </c>
      <c r="E225" s="168">
        <f t="shared" si="66"/>
        <v>0</v>
      </c>
      <c r="F225" s="167">
        <f t="shared" si="66"/>
        <v>0</v>
      </c>
      <c r="G225" s="168">
        <f t="shared" si="66"/>
        <v>0</v>
      </c>
      <c r="H225" s="169">
        <f t="shared" si="66"/>
        <v>0</v>
      </c>
      <c r="I225" s="169" t="e">
        <f t="shared" ca="1" si="56"/>
        <v>#VALUE!</v>
      </c>
      <c r="J225" s="169">
        <f t="shared" si="65"/>
        <v>0</v>
      </c>
      <c r="K225" s="170">
        <f t="shared" si="65"/>
        <v>0</v>
      </c>
      <c r="L225" s="169">
        <f t="shared" si="65"/>
        <v>0</v>
      </c>
      <c r="M225" s="169">
        <f t="shared" si="65"/>
        <v>0</v>
      </c>
      <c r="N225" s="169" t="e">
        <f t="shared" ca="1" si="57"/>
        <v>#VALUE!</v>
      </c>
      <c r="O225" s="171" t="str">
        <f t="shared" si="58"/>
        <v/>
      </c>
      <c r="P225" s="171" t="str">
        <f t="shared" ca="1" si="59"/>
        <v/>
      </c>
      <c r="Q225" s="170">
        <f t="shared" ca="1" si="60"/>
        <v>0</v>
      </c>
      <c r="R225" s="170">
        <f t="shared" ca="1" si="61"/>
        <v>0</v>
      </c>
      <c r="S225" s="171" t="b">
        <f t="shared" si="62"/>
        <v>0</v>
      </c>
      <c r="T225" s="171" t="b">
        <f t="shared" ca="1" si="63"/>
        <v>0</v>
      </c>
      <c r="U225" s="172"/>
    </row>
    <row r="226" spans="1:21" hidden="1">
      <c r="A226" s="143">
        <v>347</v>
      </c>
      <c r="B226" s="167">
        <f t="shared" si="66"/>
        <v>0</v>
      </c>
      <c r="C226" s="167">
        <f t="shared" si="66"/>
        <v>0</v>
      </c>
      <c r="D226" s="167">
        <f t="shared" si="66"/>
        <v>0</v>
      </c>
      <c r="E226" s="168">
        <f t="shared" si="66"/>
        <v>0</v>
      </c>
      <c r="F226" s="167">
        <f t="shared" si="66"/>
        <v>0</v>
      </c>
      <c r="G226" s="168">
        <f t="shared" si="66"/>
        <v>0</v>
      </c>
      <c r="H226" s="169">
        <f t="shared" si="66"/>
        <v>0</v>
      </c>
      <c r="I226" s="169" t="e">
        <f t="shared" ca="1" si="56"/>
        <v>#VALUE!</v>
      </c>
      <c r="J226" s="169">
        <f t="shared" si="65"/>
        <v>0</v>
      </c>
      <c r="K226" s="170">
        <f t="shared" si="65"/>
        <v>0</v>
      </c>
      <c r="L226" s="169">
        <f t="shared" si="65"/>
        <v>0</v>
      </c>
      <c r="M226" s="169">
        <f t="shared" si="65"/>
        <v>0</v>
      </c>
      <c r="N226" s="169" t="e">
        <f t="shared" ca="1" si="57"/>
        <v>#VALUE!</v>
      </c>
      <c r="O226" s="171" t="str">
        <f t="shared" si="58"/>
        <v/>
      </c>
      <c r="P226" s="171" t="str">
        <f t="shared" ca="1" si="59"/>
        <v/>
      </c>
      <c r="Q226" s="170">
        <f t="shared" ca="1" si="60"/>
        <v>0</v>
      </c>
      <c r="R226" s="170">
        <f t="shared" ca="1" si="61"/>
        <v>0</v>
      </c>
      <c r="S226" s="171" t="b">
        <f t="shared" si="62"/>
        <v>0</v>
      </c>
      <c r="T226" s="171" t="b">
        <f t="shared" ca="1" si="63"/>
        <v>0</v>
      </c>
      <c r="U226" s="172"/>
    </row>
    <row r="227" spans="1:21" hidden="1">
      <c r="A227" s="143">
        <v>361</v>
      </c>
      <c r="B227" s="167">
        <f t="shared" si="66"/>
        <v>0</v>
      </c>
      <c r="C227" s="167">
        <f t="shared" si="66"/>
        <v>0</v>
      </c>
      <c r="D227" s="167">
        <f t="shared" si="66"/>
        <v>0</v>
      </c>
      <c r="E227" s="168">
        <f t="shared" si="66"/>
        <v>0</v>
      </c>
      <c r="F227" s="167">
        <f t="shared" si="66"/>
        <v>0</v>
      </c>
      <c r="G227" s="168">
        <f t="shared" si="66"/>
        <v>0</v>
      </c>
      <c r="H227" s="169">
        <f t="shared" si="66"/>
        <v>0</v>
      </c>
      <c r="I227" s="169" t="e">
        <f t="shared" ca="1" si="56"/>
        <v>#VALUE!</v>
      </c>
      <c r="J227" s="169">
        <f t="shared" si="65"/>
        <v>0</v>
      </c>
      <c r="K227" s="170">
        <f t="shared" si="65"/>
        <v>0</v>
      </c>
      <c r="L227" s="169">
        <f t="shared" si="65"/>
        <v>0</v>
      </c>
      <c r="M227" s="169">
        <f t="shared" si="65"/>
        <v>0</v>
      </c>
      <c r="N227" s="169" t="e">
        <f t="shared" ca="1" si="57"/>
        <v>#VALUE!</v>
      </c>
      <c r="O227" s="171" t="str">
        <f t="shared" si="58"/>
        <v/>
      </c>
      <c r="P227" s="171" t="str">
        <f t="shared" ca="1" si="59"/>
        <v/>
      </c>
      <c r="Q227" s="170">
        <f t="shared" ca="1" si="60"/>
        <v>0</v>
      </c>
      <c r="R227" s="170">
        <f t="shared" ca="1" si="61"/>
        <v>0</v>
      </c>
      <c r="S227" s="171" t="b">
        <f t="shared" si="62"/>
        <v>0</v>
      </c>
      <c r="T227" s="171" t="b">
        <f t="shared" ca="1" si="63"/>
        <v>0</v>
      </c>
      <c r="U227" s="172"/>
    </row>
    <row r="228" spans="1:21" hidden="1">
      <c r="A228" s="143">
        <v>375</v>
      </c>
      <c r="B228" s="167">
        <f t="shared" si="66"/>
        <v>0</v>
      </c>
      <c r="C228" s="167">
        <f t="shared" si="66"/>
        <v>0</v>
      </c>
      <c r="D228" s="167">
        <f t="shared" si="66"/>
        <v>0</v>
      </c>
      <c r="E228" s="168">
        <f t="shared" si="66"/>
        <v>0</v>
      </c>
      <c r="F228" s="167">
        <f t="shared" si="66"/>
        <v>0</v>
      </c>
      <c r="G228" s="168">
        <f t="shared" si="66"/>
        <v>0</v>
      </c>
      <c r="H228" s="169">
        <f t="shared" si="66"/>
        <v>0</v>
      </c>
      <c r="I228" s="169" t="e">
        <f t="shared" ca="1" si="56"/>
        <v>#VALUE!</v>
      </c>
      <c r="J228" s="169">
        <f t="shared" si="65"/>
        <v>0</v>
      </c>
      <c r="K228" s="170">
        <f t="shared" si="65"/>
        <v>0</v>
      </c>
      <c r="L228" s="169">
        <f t="shared" si="65"/>
        <v>0</v>
      </c>
      <c r="M228" s="169">
        <f t="shared" si="65"/>
        <v>0</v>
      </c>
      <c r="N228" s="169" t="e">
        <f t="shared" ca="1" si="57"/>
        <v>#VALUE!</v>
      </c>
      <c r="O228" s="171" t="str">
        <f t="shared" si="58"/>
        <v/>
      </c>
      <c r="P228" s="171" t="str">
        <f t="shared" ca="1" si="59"/>
        <v/>
      </c>
      <c r="Q228" s="170">
        <f t="shared" ca="1" si="60"/>
        <v>0</v>
      </c>
      <c r="R228" s="170">
        <f t="shared" ca="1" si="61"/>
        <v>0</v>
      </c>
      <c r="S228" s="171" t="b">
        <f t="shared" si="62"/>
        <v>0</v>
      </c>
      <c r="T228" s="171" t="b">
        <f t="shared" ca="1" si="63"/>
        <v>0</v>
      </c>
      <c r="U228" s="172"/>
    </row>
    <row r="229" spans="1:21" hidden="1">
      <c r="A229" s="143">
        <v>389</v>
      </c>
      <c r="B229" s="167">
        <f t="shared" si="66"/>
        <v>0</v>
      </c>
      <c r="C229" s="167">
        <f t="shared" si="66"/>
        <v>0</v>
      </c>
      <c r="D229" s="167">
        <f t="shared" si="66"/>
        <v>0</v>
      </c>
      <c r="E229" s="168">
        <f t="shared" si="66"/>
        <v>0</v>
      </c>
      <c r="F229" s="167">
        <f t="shared" si="66"/>
        <v>0</v>
      </c>
      <c r="G229" s="168">
        <f t="shared" si="66"/>
        <v>0</v>
      </c>
      <c r="H229" s="169">
        <f t="shared" si="66"/>
        <v>0</v>
      </c>
      <c r="I229" s="169" t="e">
        <f t="shared" ca="1" si="56"/>
        <v>#VALUE!</v>
      </c>
      <c r="J229" s="169">
        <f t="shared" si="65"/>
        <v>0</v>
      </c>
      <c r="K229" s="170">
        <f t="shared" si="65"/>
        <v>0</v>
      </c>
      <c r="L229" s="169">
        <f t="shared" si="65"/>
        <v>0</v>
      </c>
      <c r="M229" s="169">
        <f t="shared" si="65"/>
        <v>0</v>
      </c>
      <c r="N229" s="169" t="e">
        <f t="shared" ca="1" si="57"/>
        <v>#VALUE!</v>
      </c>
      <c r="O229" s="171" t="str">
        <f t="shared" si="58"/>
        <v/>
      </c>
      <c r="P229" s="171" t="str">
        <f t="shared" ca="1" si="59"/>
        <v/>
      </c>
      <c r="Q229" s="170">
        <f t="shared" ca="1" si="60"/>
        <v>0</v>
      </c>
      <c r="R229" s="170">
        <f t="shared" ca="1" si="61"/>
        <v>0</v>
      </c>
      <c r="S229" s="171" t="b">
        <f t="shared" si="62"/>
        <v>0</v>
      </c>
      <c r="T229" s="171" t="b">
        <f t="shared" ca="1" si="63"/>
        <v>0</v>
      </c>
      <c r="U229" s="172"/>
    </row>
    <row r="230" spans="1:21" hidden="1">
      <c r="A230" s="143">
        <v>403</v>
      </c>
      <c r="B230" s="167">
        <f t="shared" si="66"/>
        <v>0</v>
      </c>
      <c r="C230" s="167">
        <f t="shared" si="66"/>
        <v>0</v>
      </c>
      <c r="D230" s="167">
        <f t="shared" si="66"/>
        <v>0</v>
      </c>
      <c r="E230" s="168">
        <f t="shared" si="66"/>
        <v>0</v>
      </c>
      <c r="F230" s="167">
        <f t="shared" si="66"/>
        <v>0</v>
      </c>
      <c r="G230" s="168">
        <f t="shared" si="66"/>
        <v>0</v>
      </c>
      <c r="H230" s="169">
        <f t="shared" si="66"/>
        <v>0</v>
      </c>
      <c r="I230" s="169" t="e">
        <f t="shared" ca="1" si="56"/>
        <v>#VALUE!</v>
      </c>
      <c r="J230" s="169">
        <f t="shared" si="65"/>
        <v>0</v>
      </c>
      <c r="K230" s="170">
        <f t="shared" si="65"/>
        <v>0</v>
      </c>
      <c r="L230" s="169">
        <f t="shared" si="65"/>
        <v>0</v>
      </c>
      <c r="M230" s="169">
        <f t="shared" si="65"/>
        <v>0</v>
      </c>
      <c r="N230" s="169" t="e">
        <f t="shared" ca="1" si="57"/>
        <v>#VALUE!</v>
      </c>
      <c r="O230" s="171" t="str">
        <f t="shared" si="58"/>
        <v/>
      </c>
      <c r="P230" s="171" t="str">
        <f t="shared" ca="1" si="59"/>
        <v/>
      </c>
      <c r="Q230" s="170">
        <f t="shared" ca="1" si="60"/>
        <v>0</v>
      </c>
      <c r="R230" s="170">
        <f t="shared" ca="1" si="61"/>
        <v>0</v>
      </c>
      <c r="S230" s="171" t="b">
        <f t="shared" si="62"/>
        <v>0</v>
      </c>
      <c r="T230" s="171" t="b">
        <f t="shared" ca="1" si="63"/>
        <v>0</v>
      </c>
      <c r="U230" s="172"/>
    </row>
    <row r="231" spans="1:21" hidden="1">
      <c r="A231" s="143">
        <v>417</v>
      </c>
      <c r="B231" s="167">
        <f t="shared" ref="B231:H240" si="67">IF($A231&lt;=$A$8,INDEX(Import.PO,$A231,B$8),0)</f>
        <v>0</v>
      </c>
      <c r="C231" s="167">
        <f t="shared" si="67"/>
        <v>0</v>
      </c>
      <c r="D231" s="167">
        <f t="shared" si="67"/>
        <v>0</v>
      </c>
      <c r="E231" s="168">
        <f t="shared" si="67"/>
        <v>0</v>
      </c>
      <c r="F231" s="167">
        <f t="shared" si="67"/>
        <v>0</v>
      </c>
      <c r="G231" s="168">
        <f t="shared" si="67"/>
        <v>0</v>
      </c>
      <c r="H231" s="169">
        <f t="shared" si="67"/>
        <v>0</v>
      </c>
      <c r="I231" s="169" t="e">
        <f t="shared" ca="1" si="56"/>
        <v>#VALUE!</v>
      </c>
      <c r="J231" s="169">
        <f t="shared" ref="J231:M250" si="68">IF($A231&lt;=$A$8,INDEX(Import.PO,$A231,J$8),0)</f>
        <v>0</v>
      </c>
      <c r="K231" s="170">
        <f t="shared" si="68"/>
        <v>0</v>
      </c>
      <c r="L231" s="169">
        <f t="shared" si="68"/>
        <v>0</v>
      </c>
      <c r="M231" s="169">
        <f t="shared" si="68"/>
        <v>0</v>
      </c>
      <c r="N231" s="169" t="e">
        <f t="shared" ca="1" si="57"/>
        <v>#VALUE!</v>
      </c>
      <c r="O231" s="171" t="str">
        <f t="shared" si="58"/>
        <v/>
      </c>
      <c r="P231" s="171" t="str">
        <f t="shared" ca="1" si="59"/>
        <v/>
      </c>
      <c r="Q231" s="170">
        <f t="shared" ca="1" si="60"/>
        <v>0</v>
      </c>
      <c r="R231" s="170">
        <f t="shared" ca="1" si="61"/>
        <v>0</v>
      </c>
      <c r="S231" s="171" t="b">
        <f t="shared" si="62"/>
        <v>0</v>
      </c>
      <c r="T231" s="171" t="b">
        <f t="shared" ca="1" si="63"/>
        <v>0</v>
      </c>
      <c r="U231" s="172"/>
    </row>
    <row r="232" spans="1:21" hidden="1">
      <c r="A232" s="143">
        <v>435</v>
      </c>
      <c r="B232" s="167">
        <f t="shared" si="67"/>
        <v>0</v>
      </c>
      <c r="C232" s="167">
        <f t="shared" si="67"/>
        <v>0</v>
      </c>
      <c r="D232" s="167">
        <f t="shared" si="67"/>
        <v>0</v>
      </c>
      <c r="E232" s="168">
        <f t="shared" si="67"/>
        <v>0</v>
      </c>
      <c r="F232" s="167">
        <f t="shared" si="67"/>
        <v>0</v>
      </c>
      <c r="G232" s="168">
        <f t="shared" si="67"/>
        <v>0</v>
      </c>
      <c r="H232" s="169">
        <f t="shared" si="67"/>
        <v>0</v>
      </c>
      <c r="I232" s="169" t="e">
        <f t="shared" ca="1" si="56"/>
        <v>#VALUE!</v>
      </c>
      <c r="J232" s="169">
        <f t="shared" si="68"/>
        <v>0</v>
      </c>
      <c r="K232" s="170">
        <f t="shared" si="68"/>
        <v>0</v>
      </c>
      <c r="L232" s="169">
        <f t="shared" si="68"/>
        <v>0</v>
      </c>
      <c r="M232" s="169">
        <f t="shared" si="68"/>
        <v>0</v>
      </c>
      <c r="N232" s="169" t="e">
        <f t="shared" ca="1" si="57"/>
        <v>#VALUE!</v>
      </c>
      <c r="O232" s="171" t="str">
        <f t="shared" si="58"/>
        <v/>
      </c>
      <c r="P232" s="171" t="str">
        <f t="shared" ca="1" si="59"/>
        <v/>
      </c>
      <c r="Q232" s="170">
        <f t="shared" ca="1" si="60"/>
        <v>0</v>
      </c>
      <c r="R232" s="170">
        <f t="shared" ca="1" si="61"/>
        <v>0</v>
      </c>
      <c r="S232" s="171" t="b">
        <f t="shared" si="62"/>
        <v>0</v>
      </c>
      <c r="T232" s="171" t="b">
        <f t="shared" ca="1" si="63"/>
        <v>0</v>
      </c>
      <c r="U232" s="172"/>
    </row>
    <row r="233" spans="1:21" hidden="1">
      <c r="A233" s="143">
        <v>34</v>
      </c>
      <c r="B233" s="167">
        <f t="shared" si="67"/>
        <v>0</v>
      </c>
      <c r="C233" s="167">
        <f t="shared" si="67"/>
        <v>0</v>
      </c>
      <c r="D233" s="167">
        <f t="shared" si="67"/>
        <v>0</v>
      </c>
      <c r="E233" s="168">
        <f t="shared" si="67"/>
        <v>0</v>
      </c>
      <c r="F233" s="167">
        <f t="shared" si="67"/>
        <v>0</v>
      </c>
      <c r="G233" s="168">
        <f t="shared" si="67"/>
        <v>0</v>
      </c>
      <c r="H233" s="169">
        <f t="shared" si="67"/>
        <v>0</v>
      </c>
      <c r="I233" s="169" t="e">
        <f t="shared" ca="1" si="56"/>
        <v>#VALUE!</v>
      </c>
      <c r="J233" s="169">
        <f t="shared" si="68"/>
        <v>0</v>
      </c>
      <c r="K233" s="170">
        <f t="shared" si="68"/>
        <v>0</v>
      </c>
      <c r="L233" s="169">
        <f t="shared" si="68"/>
        <v>0</v>
      </c>
      <c r="M233" s="169">
        <f t="shared" si="68"/>
        <v>0</v>
      </c>
      <c r="N233" s="169" t="e">
        <f t="shared" ca="1" si="57"/>
        <v>#VALUE!</v>
      </c>
      <c r="O233" s="171" t="str">
        <f t="shared" si="58"/>
        <v/>
      </c>
      <c r="P233" s="171" t="str">
        <f t="shared" ca="1" si="59"/>
        <v/>
      </c>
      <c r="Q233" s="170">
        <f t="shared" ca="1" si="60"/>
        <v>0</v>
      </c>
      <c r="R233" s="170">
        <f t="shared" ca="1" si="61"/>
        <v>0</v>
      </c>
      <c r="S233" s="171" t="b">
        <f t="shared" si="62"/>
        <v>0</v>
      </c>
      <c r="T233" s="171" t="b">
        <f t="shared" ca="1" si="63"/>
        <v>0</v>
      </c>
      <c r="U233" s="172"/>
    </row>
    <row r="234" spans="1:21" hidden="1">
      <c r="A234" s="143">
        <v>57</v>
      </c>
      <c r="B234" s="167">
        <f t="shared" si="67"/>
        <v>0</v>
      </c>
      <c r="C234" s="167">
        <f t="shared" si="67"/>
        <v>0</v>
      </c>
      <c r="D234" s="167">
        <f t="shared" si="67"/>
        <v>0</v>
      </c>
      <c r="E234" s="168">
        <f t="shared" si="67"/>
        <v>0</v>
      </c>
      <c r="F234" s="167">
        <f t="shared" si="67"/>
        <v>0</v>
      </c>
      <c r="G234" s="168">
        <f t="shared" si="67"/>
        <v>0</v>
      </c>
      <c r="H234" s="169">
        <f t="shared" si="67"/>
        <v>0</v>
      </c>
      <c r="I234" s="169" t="e">
        <f t="shared" ca="1" si="56"/>
        <v>#VALUE!</v>
      </c>
      <c r="J234" s="169">
        <f t="shared" si="68"/>
        <v>0</v>
      </c>
      <c r="K234" s="170">
        <f t="shared" si="68"/>
        <v>0</v>
      </c>
      <c r="L234" s="169">
        <f t="shared" si="68"/>
        <v>0</v>
      </c>
      <c r="M234" s="169">
        <f t="shared" si="68"/>
        <v>0</v>
      </c>
      <c r="N234" s="169" t="e">
        <f t="shared" ca="1" si="57"/>
        <v>#VALUE!</v>
      </c>
      <c r="O234" s="171" t="str">
        <f t="shared" si="58"/>
        <v/>
      </c>
      <c r="P234" s="171" t="str">
        <f t="shared" ca="1" si="59"/>
        <v/>
      </c>
      <c r="Q234" s="170">
        <f t="shared" ca="1" si="60"/>
        <v>0</v>
      </c>
      <c r="R234" s="170">
        <f t="shared" ca="1" si="61"/>
        <v>0</v>
      </c>
      <c r="S234" s="171" t="b">
        <f t="shared" si="62"/>
        <v>0</v>
      </c>
      <c r="T234" s="171" t="b">
        <f t="shared" ca="1" si="63"/>
        <v>0</v>
      </c>
      <c r="U234" s="172"/>
    </row>
    <row r="235" spans="1:21" hidden="1">
      <c r="A235" s="143">
        <v>65</v>
      </c>
      <c r="B235" s="167">
        <f t="shared" si="67"/>
        <v>0</v>
      </c>
      <c r="C235" s="167">
        <f t="shared" si="67"/>
        <v>0</v>
      </c>
      <c r="D235" s="167">
        <f t="shared" si="67"/>
        <v>0</v>
      </c>
      <c r="E235" s="168">
        <f t="shared" si="67"/>
        <v>0</v>
      </c>
      <c r="F235" s="167">
        <f t="shared" si="67"/>
        <v>0</v>
      </c>
      <c r="G235" s="168">
        <f t="shared" si="67"/>
        <v>0</v>
      </c>
      <c r="H235" s="169">
        <f t="shared" si="67"/>
        <v>0</v>
      </c>
      <c r="I235" s="169" t="e">
        <f t="shared" ca="1" si="56"/>
        <v>#VALUE!</v>
      </c>
      <c r="J235" s="169">
        <f t="shared" si="68"/>
        <v>0</v>
      </c>
      <c r="K235" s="170">
        <f t="shared" si="68"/>
        <v>0</v>
      </c>
      <c r="L235" s="169">
        <f t="shared" si="68"/>
        <v>0</v>
      </c>
      <c r="M235" s="169">
        <f t="shared" si="68"/>
        <v>0</v>
      </c>
      <c r="N235" s="169" t="e">
        <f t="shared" ca="1" si="57"/>
        <v>#VALUE!</v>
      </c>
      <c r="O235" s="171" t="str">
        <f t="shared" si="58"/>
        <v/>
      </c>
      <c r="P235" s="171" t="str">
        <f t="shared" ca="1" si="59"/>
        <v/>
      </c>
      <c r="Q235" s="170">
        <f t="shared" ca="1" si="60"/>
        <v>0</v>
      </c>
      <c r="R235" s="170">
        <f t="shared" ca="1" si="61"/>
        <v>0</v>
      </c>
      <c r="S235" s="171" t="b">
        <f t="shared" si="62"/>
        <v>0</v>
      </c>
      <c r="T235" s="171" t="b">
        <f t="shared" ca="1" si="63"/>
        <v>0</v>
      </c>
      <c r="U235" s="172"/>
    </row>
    <row r="236" spans="1:21" hidden="1">
      <c r="A236" s="143">
        <v>72</v>
      </c>
      <c r="B236" s="167">
        <f t="shared" si="67"/>
        <v>0</v>
      </c>
      <c r="C236" s="167">
        <f t="shared" si="67"/>
        <v>0</v>
      </c>
      <c r="D236" s="167">
        <f t="shared" si="67"/>
        <v>0</v>
      </c>
      <c r="E236" s="168">
        <f t="shared" si="67"/>
        <v>0</v>
      </c>
      <c r="F236" s="167">
        <f t="shared" si="67"/>
        <v>0</v>
      </c>
      <c r="G236" s="168">
        <f t="shared" si="67"/>
        <v>0</v>
      </c>
      <c r="H236" s="169">
        <f t="shared" si="67"/>
        <v>0</v>
      </c>
      <c r="I236" s="169" t="e">
        <f t="shared" ca="1" si="56"/>
        <v>#VALUE!</v>
      </c>
      <c r="J236" s="169">
        <f t="shared" si="68"/>
        <v>0</v>
      </c>
      <c r="K236" s="170">
        <f t="shared" si="68"/>
        <v>0</v>
      </c>
      <c r="L236" s="169">
        <f t="shared" si="68"/>
        <v>0</v>
      </c>
      <c r="M236" s="169">
        <f t="shared" si="68"/>
        <v>0</v>
      </c>
      <c r="N236" s="169" t="e">
        <f t="shared" ca="1" si="57"/>
        <v>#VALUE!</v>
      </c>
      <c r="O236" s="171" t="str">
        <f t="shared" si="58"/>
        <v/>
      </c>
      <c r="P236" s="171" t="str">
        <f t="shared" ca="1" si="59"/>
        <v/>
      </c>
      <c r="Q236" s="170">
        <f t="shared" ca="1" si="60"/>
        <v>0</v>
      </c>
      <c r="R236" s="170">
        <f t="shared" ca="1" si="61"/>
        <v>0</v>
      </c>
      <c r="S236" s="171" t="b">
        <f t="shared" si="62"/>
        <v>0</v>
      </c>
      <c r="T236" s="171" t="b">
        <f t="shared" ca="1" si="63"/>
        <v>0</v>
      </c>
      <c r="U236" s="172"/>
    </row>
    <row r="237" spans="1:21" hidden="1">
      <c r="A237" s="143">
        <v>86</v>
      </c>
      <c r="B237" s="167">
        <f t="shared" si="67"/>
        <v>0</v>
      </c>
      <c r="C237" s="167">
        <f t="shared" si="67"/>
        <v>0</v>
      </c>
      <c r="D237" s="167">
        <f t="shared" si="67"/>
        <v>0</v>
      </c>
      <c r="E237" s="168">
        <f t="shared" si="67"/>
        <v>0</v>
      </c>
      <c r="F237" s="167">
        <f t="shared" si="67"/>
        <v>0</v>
      </c>
      <c r="G237" s="168">
        <f t="shared" si="67"/>
        <v>0</v>
      </c>
      <c r="H237" s="169">
        <f t="shared" si="67"/>
        <v>0</v>
      </c>
      <c r="I237" s="169" t="e">
        <f t="shared" ca="1" si="56"/>
        <v>#VALUE!</v>
      </c>
      <c r="J237" s="169">
        <f t="shared" si="68"/>
        <v>0</v>
      </c>
      <c r="K237" s="170">
        <f t="shared" si="68"/>
        <v>0</v>
      </c>
      <c r="L237" s="169">
        <f t="shared" si="68"/>
        <v>0</v>
      </c>
      <c r="M237" s="169">
        <f t="shared" si="68"/>
        <v>0</v>
      </c>
      <c r="N237" s="169" t="e">
        <f t="shared" ca="1" si="57"/>
        <v>#VALUE!</v>
      </c>
      <c r="O237" s="171" t="str">
        <f t="shared" si="58"/>
        <v/>
      </c>
      <c r="P237" s="171" t="str">
        <f t="shared" ca="1" si="59"/>
        <v/>
      </c>
      <c r="Q237" s="170">
        <f t="shared" ca="1" si="60"/>
        <v>0</v>
      </c>
      <c r="R237" s="170">
        <f t="shared" ca="1" si="61"/>
        <v>0</v>
      </c>
      <c r="S237" s="171" t="b">
        <f t="shared" si="62"/>
        <v>0</v>
      </c>
      <c r="T237" s="171" t="b">
        <f t="shared" ca="1" si="63"/>
        <v>0</v>
      </c>
      <c r="U237" s="172"/>
    </row>
    <row r="238" spans="1:21" hidden="1">
      <c r="A238" s="143">
        <v>102</v>
      </c>
      <c r="B238" s="167">
        <f t="shared" si="67"/>
        <v>0</v>
      </c>
      <c r="C238" s="167">
        <f t="shared" si="67"/>
        <v>0</v>
      </c>
      <c r="D238" s="167">
        <f t="shared" si="67"/>
        <v>0</v>
      </c>
      <c r="E238" s="168">
        <f t="shared" si="67"/>
        <v>0</v>
      </c>
      <c r="F238" s="167">
        <f t="shared" si="67"/>
        <v>0</v>
      </c>
      <c r="G238" s="168">
        <f t="shared" si="67"/>
        <v>0</v>
      </c>
      <c r="H238" s="169">
        <f t="shared" si="67"/>
        <v>0</v>
      </c>
      <c r="I238" s="169" t="e">
        <f t="shared" ca="1" si="56"/>
        <v>#VALUE!</v>
      </c>
      <c r="J238" s="169">
        <f t="shared" si="68"/>
        <v>0</v>
      </c>
      <c r="K238" s="170">
        <f t="shared" si="68"/>
        <v>0</v>
      </c>
      <c r="L238" s="169">
        <f t="shared" si="68"/>
        <v>0</v>
      </c>
      <c r="M238" s="169">
        <f t="shared" si="68"/>
        <v>0</v>
      </c>
      <c r="N238" s="169" t="e">
        <f t="shared" ca="1" si="57"/>
        <v>#VALUE!</v>
      </c>
      <c r="O238" s="171" t="str">
        <f t="shared" si="58"/>
        <v/>
      </c>
      <c r="P238" s="171" t="str">
        <f t="shared" ca="1" si="59"/>
        <v/>
      </c>
      <c r="Q238" s="170">
        <f t="shared" ca="1" si="60"/>
        <v>0</v>
      </c>
      <c r="R238" s="170">
        <f t="shared" ca="1" si="61"/>
        <v>0</v>
      </c>
      <c r="S238" s="171" t="b">
        <f t="shared" si="62"/>
        <v>0</v>
      </c>
      <c r="T238" s="171" t="b">
        <f t="shared" ca="1" si="63"/>
        <v>0</v>
      </c>
      <c r="U238" s="172"/>
    </row>
    <row r="239" spans="1:21" hidden="1">
      <c r="A239" s="143">
        <v>133</v>
      </c>
      <c r="B239" s="167">
        <f t="shared" si="67"/>
        <v>0</v>
      </c>
      <c r="C239" s="167">
        <f t="shared" si="67"/>
        <v>0</v>
      </c>
      <c r="D239" s="167">
        <f t="shared" si="67"/>
        <v>0</v>
      </c>
      <c r="E239" s="168">
        <f t="shared" si="67"/>
        <v>0</v>
      </c>
      <c r="F239" s="167">
        <f t="shared" si="67"/>
        <v>0</v>
      </c>
      <c r="G239" s="168">
        <f t="shared" si="67"/>
        <v>0</v>
      </c>
      <c r="H239" s="169">
        <f t="shared" si="67"/>
        <v>0</v>
      </c>
      <c r="I239" s="169" t="e">
        <f t="shared" ca="1" si="56"/>
        <v>#VALUE!</v>
      </c>
      <c r="J239" s="169">
        <f t="shared" si="68"/>
        <v>0</v>
      </c>
      <c r="K239" s="170">
        <f t="shared" si="68"/>
        <v>0</v>
      </c>
      <c r="L239" s="169">
        <f t="shared" si="68"/>
        <v>0</v>
      </c>
      <c r="M239" s="169">
        <f t="shared" si="68"/>
        <v>0</v>
      </c>
      <c r="N239" s="169" t="e">
        <f t="shared" ca="1" si="57"/>
        <v>#VALUE!</v>
      </c>
      <c r="O239" s="171" t="str">
        <f t="shared" si="58"/>
        <v/>
      </c>
      <c r="P239" s="171" t="str">
        <f t="shared" ca="1" si="59"/>
        <v/>
      </c>
      <c r="Q239" s="170">
        <f t="shared" ca="1" si="60"/>
        <v>0</v>
      </c>
      <c r="R239" s="170">
        <f t="shared" ca="1" si="61"/>
        <v>0</v>
      </c>
      <c r="S239" s="171" t="b">
        <f t="shared" si="62"/>
        <v>0</v>
      </c>
      <c r="T239" s="171" t="b">
        <f t="shared" ca="1" si="63"/>
        <v>0</v>
      </c>
      <c r="U239" s="172"/>
    </row>
    <row r="240" spans="1:21" hidden="1">
      <c r="A240" s="143">
        <v>154</v>
      </c>
      <c r="B240" s="167">
        <f t="shared" si="67"/>
        <v>0</v>
      </c>
      <c r="C240" s="167">
        <f t="shared" si="67"/>
        <v>0</v>
      </c>
      <c r="D240" s="167">
        <f t="shared" si="67"/>
        <v>0</v>
      </c>
      <c r="E240" s="168">
        <f t="shared" si="67"/>
        <v>0</v>
      </c>
      <c r="F240" s="167">
        <f t="shared" si="67"/>
        <v>0</v>
      </c>
      <c r="G240" s="168">
        <f t="shared" si="67"/>
        <v>0</v>
      </c>
      <c r="H240" s="169">
        <f t="shared" si="67"/>
        <v>0</v>
      </c>
      <c r="I240" s="169" t="e">
        <f t="shared" ca="1" si="56"/>
        <v>#VALUE!</v>
      </c>
      <c r="J240" s="169">
        <f t="shared" si="68"/>
        <v>0</v>
      </c>
      <c r="K240" s="170">
        <f t="shared" si="68"/>
        <v>0</v>
      </c>
      <c r="L240" s="169">
        <f t="shared" si="68"/>
        <v>0</v>
      </c>
      <c r="M240" s="169">
        <f t="shared" si="68"/>
        <v>0</v>
      </c>
      <c r="N240" s="169" t="e">
        <f t="shared" ca="1" si="57"/>
        <v>#VALUE!</v>
      </c>
      <c r="O240" s="171" t="str">
        <f t="shared" si="58"/>
        <v/>
      </c>
      <c r="P240" s="171" t="str">
        <f t="shared" ca="1" si="59"/>
        <v/>
      </c>
      <c r="Q240" s="170">
        <f t="shared" ca="1" si="60"/>
        <v>0</v>
      </c>
      <c r="R240" s="170">
        <f t="shared" ca="1" si="61"/>
        <v>0</v>
      </c>
      <c r="S240" s="171" t="b">
        <f t="shared" si="62"/>
        <v>0</v>
      </c>
      <c r="T240" s="171" t="b">
        <f t="shared" ca="1" si="63"/>
        <v>0</v>
      </c>
      <c r="U240" s="172"/>
    </row>
    <row r="241" spans="1:21" hidden="1">
      <c r="A241" s="143">
        <v>169</v>
      </c>
      <c r="B241" s="167">
        <f t="shared" ref="B241:H250" si="69">IF($A241&lt;=$A$8,INDEX(Import.PO,$A241,B$8),0)</f>
        <v>0</v>
      </c>
      <c r="C241" s="167">
        <f t="shared" si="69"/>
        <v>0</v>
      </c>
      <c r="D241" s="167">
        <f t="shared" si="69"/>
        <v>0</v>
      </c>
      <c r="E241" s="168">
        <f t="shared" si="69"/>
        <v>0</v>
      </c>
      <c r="F241" s="167">
        <f t="shared" si="69"/>
        <v>0</v>
      </c>
      <c r="G241" s="168">
        <f t="shared" si="69"/>
        <v>0</v>
      </c>
      <c r="H241" s="169">
        <f t="shared" si="69"/>
        <v>0</v>
      </c>
      <c r="I241" s="169" t="e">
        <f t="shared" ca="1" si="56"/>
        <v>#VALUE!</v>
      </c>
      <c r="J241" s="169">
        <f t="shared" si="68"/>
        <v>0</v>
      </c>
      <c r="K241" s="170">
        <f t="shared" si="68"/>
        <v>0</v>
      </c>
      <c r="L241" s="169">
        <f t="shared" si="68"/>
        <v>0</v>
      </c>
      <c r="M241" s="169">
        <f t="shared" si="68"/>
        <v>0</v>
      </c>
      <c r="N241" s="169" t="e">
        <f t="shared" ca="1" si="57"/>
        <v>#VALUE!</v>
      </c>
      <c r="O241" s="171" t="str">
        <f t="shared" si="58"/>
        <v/>
      </c>
      <c r="P241" s="171" t="str">
        <f t="shared" ca="1" si="59"/>
        <v/>
      </c>
      <c r="Q241" s="170">
        <f t="shared" ca="1" si="60"/>
        <v>0</v>
      </c>
      <c r="R241" s="170">
        <f t="shared" ca="1" si="61"/>
        <v>0</v>
      </c>
      <c r="S241" s="171" t="b">
        <f t="shared" si="62"/>
        <v>0</v>
      </c>
      <c r="T241" s="171" t="b">
        <f t="shared" ca="1" si="63"/>
        <v>0</v>
      </c>
      <c r="U241" s="172"/>
    </row>
    <row r="242" spans="1:21" hidden="1">
      <c r="A242" s="143">
        <v>194</v>
      </c>
      <c r="B242" s="167">
        <f t="shared" si="69"/>
        <v>0</v>
      </c>
      <c r="C242" s="167">
        <f t="shared" si="69"/>
        <v>0</v>
      </c>
      <c r="D242" s="167">
        <f t="shared" si="69"/>
        <v>0</v>
      </c>
      <c r="E242" s="168">
        <f t="shared" si="69"/>
        <v>0</v>
      </c>
      <c r="F242" s="167">
        <f t="shared" si="69"/>
        <v>0</v>
      </c>
      <c r="G242" s="168">
        <f t="shared" si="69"/>
        <v>0</v>
      </c>
      <c r="H242" s="169">
        <f t="shared" si="69"/>
        <v>0</v>
      </c>
      <c r="I242" s="169" t="e">
        <f t="shared" ca="1" si="56"/>
        <v>#VALUE!</v>
      </c>
      <c r="J242" s="169">
        <f t="shared" si="68"/>
        <v>0</v>
      </c>
      <c r="K242" s="170">
        <f t="shared" si="68"/>
        <v>0</v>
      </c>
      <c r="L242" s="169">
        <f t="shared" si="68"/>
        <v>0</v>
      </c>
      <c r="M242" s="169">
        <f t="shared" si="68"/>
        <v>0</v>
      </c>
      <c r="N242" s="169" t="e">
        <f t="shared" ca="1" si="57"/>
        <v>#VALUE!</v>
      </c>
      <c r="O242" s="171" t="str">
        <f t="shared" si="58"/>
        <v/>
      </c>
      <c r="P242" s="171" t="str">
        <f t="shared" ca="1" si="59"/>
        <v/>
      </c>
      <c r="Q242" s="170">
        <f t="shared" ca="1" si="60"/>
        <v>0</v>
      </c>
      <c r="R242" s="170">
        <f t="shared" ca="1" si="61"/>
        <v>0</v>
      </c>
      <c r="S242" s="171" t="b">
        <f t="shared" si="62"/>
        <v>0</v>
      </c>
      <c r="T242" s="171" t="b">
        <f t="shared" ca="1" si="63"/>
        <v>0</v>
      </c>
      <c r="U242" s="172"/>
    </row>
    <row r="243" spans="1:21" hidden="1">
      <c r="A243" s="143">
        <v>208</v>
      </c>
      <c r="B243" s="167">
        <f t="shared" si="69"/>
        <v>0</v>
      </c>
      <c r="C243" s="167">
        <f t="shared" si="69"/>
        <v>0</v>
      </c>
      <c r="D243" s="167">
        <f t="shared" si="69"/>
        <v>0</v>
      </c>
      <c r="E243" s="168">
        <f t="shared" si="69"/>
        <v>0</v>
      </c>
      <c r="F243" s="167">
        <f t="shared" si="69"/>
        <v>0</v>
      </c>
      <c r="G243" s="168">
        <f t="shared" si="69"/>
        <v>0</v>
      </c>
      <c r="H243" s="169">
        <f t="shared" si="69"/>
        <v>0</v>
      </c>
      <c r="I243" s="169" t="e">
        <f t="shared" ca="1" si="56"/>
        <v>#VALUE!</v>
      </c>
      <c r="J243" s="169">
        <f t="shared" si="68"/>
        <v>0</v>
      </c>
      <c r="K243" s="170">
        <f t="shared" si="68"/>
        <v>0</v>
      </c>
      <c r="L243" s="169">
        <f t="shared" si="68"/>
        <v>0</v>
      </c>
      <c r="M243" s="169">
        <f t="shared" si="68"/>
        <v>0</v>
      </c>
      <c r="N243" s="169" t="e">
        <f t="shared" ca="1" si="57"/>
        <v>#VALUE!</v>
      </c>
      <c r="O243" s="171" t="str">
        <f t="shared" si="58"/>
        <v/>
      </c>
      <c r="P243" s="171" t="str">
        <f t="shared" ca="1" si="59"/>
        <v/>
      </c>
      <c r="Q243" s="170">
        <f t="shared" ca="1" si="60"/>
        <v>0</v>
      </c>
      <c r="R243" s="170">
        <f t="shared" ca="1" si="61"/>
        <v>0</v>
      </c>
      <c r="S243" s="171" t="b">
        <f t="shared" si="62"/>
        <v>0</v>
      </c>
      <c r="T243" s="171" t="b">
        <f t="shared" ca="1" si="63"/>
        <v>0</v>
      </c>
      <c r="U243" s="172"/>
    </row>
    <row r="244" spans="1:21" hidden="1">
      <c r="A244" s="143">
        <v>224</v>
      </c>
      <c r="B244" s="167">
        <f t="shared" si="69"/>
        <v>0</v>
      </c>
      <c r="C244" s="167">
        <f t="shared" si="69"/>
        <v>0</v>
      </c>
      <c r="D244" s="167">
        <f t="shared" si="69"/>
        <v>0</v>
      </c>
      <c r="E244" s="168">
        <f t="shared" si="69"/>
        <v>0</v>
      </c>
      <c r="F244" s="167">
        <f t="shared" si="69"/>
        <v>0</v>
      </c>
      <c r="G244" s="168">
        <f t="shared" si="69"/>
        <v>0</v>
      </c>
      <c r="H244" s="169">
        <f t="shared" si="69"/>
        <v>0</v>
      </c>
      <c r="I244" s="169" t="e">
        <f t="shared" ca="1" si="56"/>
        <v>#VALUE!</v>
      </c>
      <c r="J244" s="169">
        <f t="shared" si="68"/>
        <v>0</v>
      </c>
      <c r="K244" s="170">
        <f t="shared" si="68"/>
        <v>0</v>
      </c>
      <c r="L244" s="169">
        <f t="shared" si="68"/>
        <v>0</v>
      </c>
      <c r="M244" s="169">
        <f t="shared" si="68"/>
        <v>0</v>
      </c>
      <c r="N244" s="169" t="e">
        <f t="shared" ca="1" si="57"/>
        <v>#VALUE!</v>
      </c>
      <c r="O244" s="171" t="str">
        <f t="shared" si="58"/>
        <v/>
      </c>
      <c r="P244" s="171" t="str">
        <f t="shared" ca="1" si="59"/>
        <v/>
      </c>
      <c r="Q244" s="170">
        <f t="shared" ca="1" si="60"/>
        <v>0</v>
      </c>
      <c r="R244" s="170">
        <f t="shared" ca="1" si="61"/>
        <v>0</v>
      </c>
      <c r="S244" s="171" t="b">
        <f t="shared" si="62"/>
        <v>0</v>
      </c>
      <c r="T244" s="171" t="b">
        <f t="shared" ca="1" si="63"/>
        <v>0</v>
      </c>
      <c r="U244" s="172"/>
    </row>
    <row r="245" spans="1:21" hidden="1">
      <c r="A245" s="143">
        <v>257</v>
      </c>
      <c r="B245" s="167">
        <f t="shared" si="69"/>
        <v>0</v>
      </c>
      <c r="C245" s="167">
        <f t="shared" si="69"/>
        <v>0</v>
      </c>
      <c r="D245" s="167">
        <f t="shared" si="69"/>
        <v>0</v>
      </c>
      <c r="E245" s="168">
        <f t="shared" si="69"/>
        <v>0</v>
      </c>
      <c r="F245" s="167">
        <f t="shared" si="69"/>
        <v>0</v>
      </c>
      <c r="G245" s="168">
        <f t="shared" si="69"/>
        <v>0</v>
      </c>
      <c r="H245" s="169">
        <f t="shared" si="69"/>
        <v>0</v>
      </c>
      <c r="I245" s="169" t="e">
        <f t="shared" ca="1" si="56"/>
        <v>#VALUE!</v>
      </c>
      <c r="J245" s="169">
        <f t="shared" si="68"/>
        <v>0</v>
      </c>
      <c r="K245" s="170">
        <f t="shared" si="68"/>
        <v>0</v>
      </c>
      <c r="L245" s="169">
        <f t="shared" si="68"/>
        <v>0</v>
      </c>
      <c r="M245" s="169">
        <f t="shared" si="68"/>
        <v>0</v>
      </c>
      <c r="N245" s="169" t="e">
        <f t="shared" ca="1" si="57"/>
        <v>#VALUE!</v>
      </c>
      <c r="O245" s="171" t="str">
        <f t="shared" si="58"/>
        <v/>
      </c>
      <c r="P245" s="171" t="str">
        <f t="shared" ca="1" si="59"/>
        <v/>
      </c>
      <c r="Q245" s="170">
        <f t="shared" ca="1" si="60"/>
        <v>0</v>
      </c>
      <c r="R245" s="170">
        <f t="shared" ca="1" si="61"/>
        <v>0</v>
      </c>
      <c r="S245" s="171" t="b">
        <f t="shared" si="62"/>
        <v>0</v>
      </c>
      <c r="T245" s="171" t="b">
        <f t="shared" ca="1" si="63"/>
        <v>0</v>
      </c>
      <c r="U245" s="172"/>
    </row>
    <row r="246" spans="1:21" hidden="1">
      <c r="A246" s="143">
        <v>271</v>
      </c>
      <c r="B246" s="167">
        <f t="shared" si="69"/>
        <v>0</v>
      </c>
      <c r="C246" s="167">
        <f t="shared" si="69"/>
        <v>0</v>
      </c>
      <c r="D246" s="167">
        <f t="shared" si="69"/>
        <v>0</v>
      </c>
      <c r="E246" s="168">
        <f t="shared" si="69"/>
        <v>0</v>
      </c>
      <c r="F246" s="167">
        <f t="shared" si="69"/>
        <v>0</v>
      </c>
      <c r="G246" s="168">
        <f t="shared" si="69"/>
        <v>0</v>
      </c>
      <c r="H246" s="169">
        <f t="shared" si="69"/>
        <v>0</v>
      </c>
      <c r="I246" s="169" t="e">
        <f t="shared" ca="1" si="56"/>
        <v>#VALUE!</v>
      </c>
      <c r="J246" s="169">
        <f t="shared" si="68"/>
        <v>0</v>
      </c>
      <c r="K246" s="170">
        <f t="shared" si="68"/>
        <v>0</v>
      </c>
      <c r="L246" s="169">
        <f t="shared" si="68"/>
        <v>0</v>
      </c>
      <c r="M246" s="169">
        <f t="shared" si="68"/>
        <v>0</v>
      </c>
      <c r="N246" s="169" t="e">
        <f t="shared" ca="1" si="57"/>
        <v>#VALUE!</v>
      </c>
      <c r="O246" s="171" t="str">
        <f t="shared" si="58"/>
        <v/>
      </c>
      <c r="P246" s="171" t="str">
        <f t="shared" ca="1" si="59"/>
        <v/>
      </c>
      <c r="Q246" s="170">
        <f t="shared" ca="1" si="60"/>
        <v>0</v>
      </c>
      <c r="R246" s="170">
        <f t="shared" ca="1" si="61"/>
        <v>0</v>
      </c>
      <c r="S246" s="171" t="b">
        <f t="shared" si="62"/>
        <v>0</v>
      </c>
      <c r="T246" s="171" t="b">
        <f t="shared" ca="1" si="63"/>
        <v>0</v>
      </c>
      <c r="U246" s="172"/>
    </row>
    <row r="247" spans="1:21" hidden="1">
      <c r="A247" s="143">
        <v>301</v>
      </c>
      <c r="B247" s="167">
        <f t="shared" si="69"/>
        <v>0</v>
      </c>
      <c r="C247" s="167">
        <f t="shared" si="69"/>
        <v>0</v>
      </c>
      <c r="D247" s="167">
        <f t="shared" si="69"/>
        <v>0</v>
      </c>
      <c r="E247" s="168">
        <f t="shared" si="69"/>
        <v>0</v>
      </c>
      <c r="F247" s="167">
        <f t="shared" si="69"/>
        <v>0</v>
      </c>
      <c r="G247" s="168">
        <f t="shared" si="69"/>
        <v>0</v>
      </c>
      <c r="H247" s="169">
        <f t="shared" si="69"/>
        <v>0</v>
      </c>
      <c r="I247" s="169" t="e">
        <f t="shared" ca="1" si="56"/>
        <v>#VALUE!</v>
      </c>
      <c r="J247" s="169">
        <f t="shared" si="68"/>
        <v>0</v>
      </c>
      <c r="K247" s="170">
        <f t="shared" si="68"/>
        <v>0</v>
      </c>
      <c r="L247" s="169">
        <f t="shared" si="68"/>
        <v>0</v>
      </c>
      <c r="M247" s="169">
        <f t="shared" si="68"/>
        <v>0</v>
      </c>
      <c r="N247" s="169" t="e">
        <f t="shared" ca="1" si="57"/>
        <v>#VALUE!</v>
      </c>
      <c r="O247" s="171" t="str">
        <f t="shared" si="58"/>
        <v/>
      </c>
      <c r="P247" s="171" t="str">
        <f t="shared" ca="1" si="59"/>
        <v/>
      </c>
      <c r="Q247" s="170">
        <f t="shared" ca="1" si="60"/>
        <v>0</v>
      </c>
      <c r="R247" s="170">
        <f t="shared" ca="1" si="61"/>
        <v>0</v>
      </c>
      <c r="S247" s="171" t="b">
        <f t="shared" si="62"/>
        <v>0</v>
      </c>
      <c r="T247" s="171" t="b">
        <f t="shared" ca="1" si="63"/>
        <v>0</v>
      </c>
      <c r="U247" s="172"/>
    </row>
    <row r="248" spans="1:21" hidden="1">
      <c r="A248" s="143">
        <v>307</v>
      </c>
      <c r="B248" s="167">
        <f t="shared" si="69"/>
        <v>0</v>
      </c>
      <c r="C248" s="167">
        <f t="shared" si="69"/>
        <v>0</v>
      </c>
      <c r="D248" s="167">
        <f t="shared" si="69"/>
        <v>0</v>
      </c>
      <c r="E248" s="168">
        <f t="shared" si="69"/>
        <v>0</v>
      </c>
      <c r="F248" s="167">
        <f t="shared" si="69"/>
        <v>0</v>
      </c>
      <c r="G248" s="168">
        <f t="shared" si="69"/>
        <v>0</v>
      </c>
      <c r="H248" s="169">
        <f t="shared" si="69"/>
        <v>0</v>
      </c>
      <c r="I248" s="169" t="e">
        <f t="shared" ca="1" si="56"/>
        <v>#VALUE!</v>
      </c>
      <c r="J248" s="169">
        <f t="shared" si="68"/>
        <v>0</v>
      </c>
      <c r="K248" s="170">
        <f t="shared" si="68"/>
        <v>0</v>
      </c>
      <c r="L248" s="169">
        <f t="shared" si="68"/>
        <v>0</v>
      </c>
      <c r="M248" s="169">
        <f t="shared" si="68"/>
        <v>0</v>
      </c>
      <c r="N248" s="169" t="e">
        <f t="shared" ca="1" si="57"/>
        <v>#VALUE!</v>
      </c>
      <c r="O248" s="171" t="str">
        <f t="shared" si="58"/>
        <v/>
      </c>
      <c r="P248" s="171" t="str">
        <f t="shared" ca="1" si="59"/>
        <v/>
      </c>
      <c r="Q248" s="170">
        <f t="shared" ca="1" si="60"/>
        <v>0</v>
      </c>
      <c r="R248" s="170">
        <f t="shared" ca="1" si="61"/>
        <v>0</v>
      </c>
      <c r="S248" s="171" t="b">
        <f t="shared" si="62"/>
        <v>0</v>
      </c>
      <c r="T248" s="171" t="b">
        <f t="shared" ca="1" si="63"/>
        <v>0</v>
      </c>
      <c r="U248" s="172"/>
    </row>
    <row r="249" spans="1:21" hidden="1">
      <c r="A249" s="143">
        <v>321</v>
      </c>
      <c r="B249" s="167">
        <f t="shared" si="69"/>
        <v>0</v>
      </c>
      <c r="C249" s="167">
        <f t="shared" si="69"/>
        <v>0</v>
      </c>
      <c r="D249" s="167">
        <f t="shared" si="69"/>
        <v>0</v>
      </c>
      <c r="E249" s="168">
        <f t="shared" si="69"/>
        <v>0</v>
      </c>
      <c r="F249" s="167">
        <f t="shared" si="69"/>
        <v>0</v>
      </c>
      <c r="G249" s="168">
        <f t="shared" si="69"/>
        <v>0</v>
      </c>
      <c r="H249" s="169">
        <f t="shared" si="69"/>
        <v>0</v>
      </c>
      <c r="I249" s="169" t="e">
        <f t="shared" ca="1" si="56"/>
        <v>#VALUE!</v>
      </c>
      <c r="J249" s="169">
        <f t="shared" si="68"/>
        <v>0</v>
      </c>
      <c r="K249" s="170">
        <f t="shared" si="68"/>
        <v>0</v>
      </c>
      <c r="L249" s="169">
        <f t="shared" si="68"/>
        <v>0</v>
      </c>
      <c r="M249" s="169">
        <f t="shared" si="68"/>
        <v>0</v>
      </c>
      <c r="N249" s="169" t="e">
        <f t="shared" ca="1" si="57"/>
        <v>#VALUE!</v>
      </c>
      <c r="O249" s="171" t="str">
        <f t="shared" si="58"/>
        <v/>
      </c>
      <c r="P249" s="171" t="str">
        <f t="shared" ca="1" si="59"/>
        <v/>
      </c>
      <c r="Q249" s="170">
        <f t="shared" ca="1" si="60"/>
        <v>0</v>
      </c>
      <c r="R249" s="170">
        <f t="shared" ca="1" si="61"/>
        <v>0</v>
      </c>
      <c r="S249" s="171" t="b">
        <f t="shared" si="62"/>
        <v>0</v>
      </c>
      <c r="T249" s="171" t="b">
        <f t="shared" ca="1" si="63"/>
        <v>0</v>
      </c>
      <c r="U249" s="172"/>
    </row>
    <row r="250" spans="1:21" hidden="1">
      <c r="A250" s="143">
        <v>345</v>
      </c>
      <c r="B250" s="167">
        <f t="shared" si="69"/>
        <v>0</v>
      </c>
      <c r="C250" s="167">
        <f t="shared" si="69"/>
        <v>0</v>
      </c>
      <c r="D250" s="167">
        <f t="shared" si="69"/>
        <v>0</v>
      </c>
      <c r="E250" s="168">
        <f t="shared" si="69"/>
        <v>0</v>
      </c>
      <c r="F250" s="167">
        <f t="shared" si="69"/>
        <v>0</v>
      </c>
      <c r="G250" s="168">
        <f t="shared" si="69"/>
        <v>0</v>
      </c>
      <c r="H250" s="169">
        <f t="shared" si="69"/>
        <v>0</v>
      </c>
      <c r="I250" s="169" t="e">
        <f t="shared" ca="1" si="56"/>
        <v>#VALUE!</v>
      </c>
      <c r="J250" s="169">
        <f t="shared" si="68"/>
        <v>0</v>
      </c>
      <c r="K250" s="170">
        <f t="shared" si="68"/>
        <v>0</v>
      </c>
      <c r="L250" s="169">
        <f t="shared" si="68"/>
        <v>0</v>
      </c>
      <c r="M250" s="169">
        <f t="shared" si="68"/>
        <v>0</v>
      </c>
      <c r="N250" s="169" t="e">
        <f t="shared" ca="1" si="57"/>
        <v>#VALUE!</v>
      </c>
      <c r="O250" s="171" t="str">
        <f t="shared" si="58"/>
        <v/>
      </c>
      <c r="P250" s="171" t="str">
        <f t="shared" ca="1" si="59"/>
        <v/>
      </c>
      <c r="Q250" s="170">
        <f t="shared" ca="1" si="60"/>
        <v>0</v>
      </c>
      <c r="R250" s="170">
        <f t="shared" ca="1" si="61"/>
        <v>0</v>
      </c>
      <c r="S250" s="171" t="b">
        <f t="shared" si="62"/>
        <v>0</v>
      </c>
      <c r="T250" s="171" t="b">
        <f t="shared" ca="1" si="63"/>
        <v>0</v>
      </c>
      <c r="U250" s="172"/>
    </row>
    <row r="251" spans="1:21" hidden="1">
      <c r="A251" s="143">
        <v>359</v>
      </c>
      <c r="B251" s="167">
        <f t="shared" ref="B251:H260" si="70">IF($A251&lt;=$A$8,INDEX(Import.PO,$A251,B$8),0)</f>
        <v>0</v>
      </c>
      <c r="C251" s="167">
        <f t="shared" si="70"/>
        <v>0</v>
      </c>
      <c r="D251" s="167">
        <f t="shared" si="70"/>
        <v>0</v>
      </c>
      <c r="E251" s="168">
        <f t="shared" si="70"/>
        <v>0</v>
      </c>
      <c r="F251" s="167">
        <f t="shared" si="70"/>
        <v>0</v>
      </c>
      <c r="G251" s="168">
        <f t="shared" si="70"/>
        <v>0</v>
      </c>
      <c r="H251" s="169">
        <f t="shared" si="70"/>
        <v>0</v>
      </c>
      <c r="I251" s="169" t="e">
        <f t="shared" ca="1" si="56"/>
        <v>#VALUE!</v>
      </c>
      <c r="J251" s="169">
        <f t="shared" ref="J251:M270" si="71">IF($A251&lt;=$A$8,INDEX(Import.PO,$A251,J$8),0)</f>
        <v>0</v>
      </c>
      <c r="K251" s="170">
        <f t="shared" si="71"/>
        <v>0</v>
      </c>
      <c r="L251" s="169">
        <f t="shared" si="71"/>
        <v>0</v>
      </c>
      <c r="M251" s="169">
        <f t="shared" si="71"/>
        <v>0</v>
      </c>
      <c r="N251" s="169" t="e">
        <f t="shared" ca="1" si="57"/>
        <v>#VALUE!</v>
      </c>
      <c r="O251" s="171" t="str">
        <f t="shared" si="58"/>
        <v/>
      </c>
      <c r="P251" s="171" t="str">
        <f t="shared" ca="1" si="59"/>
        <v/>
      </c>
      <c r="Q251" s="170">
        <f t="shared" ca="1" si="60"/>
        <v>0</v>
      </c>
      <c r="R251" s="170">
        <f t="shared" ca="1" si="61"/>
        <v>0</v>
      </c>
      <c r="S251" s="171" t="b">
        <f t="shared" si="62"/>
        <v>0</v>
      </c>
      <c r="T251" s="171" t="b">
        <f t="shared" ca="1" si="63"/>
        <v>0</v>
      </c>
      <c r="U251" s="172"/>
    </row>
    <row r="252" spans="1:21" hidden="1">
      <c r="A252" s="143">
        <v>373</v>
      </c>
      <c r="B252" s="167">
        <f t="shared" si="70"/>
        <v>0</v>
      </c>
      <c r="C252" s="167">
        <f t="shared" si="70"/>
        <v>0</v>
      </c>
      <c r="D252" s="167">
        <f t="shared" si="70"/>
        <v>0</v>
      </c>
      <c r="E252" s="168">
        <f t="shared" si="70"/>
        <v>0</v>
      </c>
      <c r="F252" s="167">
        <f t="shared" si="70"/>
        <v>0</v>
      </c>
      <c r="G252" s="168">
        <f t="shared" si="70"/>
        <v>0</v>
      </c>
      <c r="H252" s="169">
        <f t="shared" si="70"/>
        <v>0</v>
      </c>
      <c r="I252" s="169" t="e">
        <f t="shared" ca="1" si="56"/>
        <v>#VALUE!</v>
      </c>
      <c r="J252" s="169">
        <f t="shared" si="71"/>
        <v>0</v>
      </c>
      <c r="K252" s="170">
        <f t="shared" si="71"/>
        <v>0</v>
      </c>
      <c r="L252" s="169">
        <f t="shared" si="71"/>
        <v>0</v>
      </c>
      <c r="M252" s="169">
        <f t="shared" si="71"/>
        <v>0</v>
      </c>
      <c r="N252" s="169" t="e">
        <f t="shared" ca="1" si="57"/>
        <v>#VALUE!</v>
      </c>
      <c r="O252" s="171" t="str">
        <f t="shared" si="58"/>
        <v/>
      </c>
      <c r="P252" s="171" t="str">
        <f t="shared" ca="1" si="59"/>
        <v/>
      </c>
      <c r="Q252" s="170">
        <f t="shared" ca="1" si="60"/>
        <v>0</v>
      </c>
      <c r="R252" s="170">
        <f t="shared" ca="1" si="61"/>
        <v>0</v>
      </c>
      <c r="S252" s="171" t="b">
        <f t="shared" si="62"/>
        <v>0</v>
      </c>
      <c r="T252" s="171" t="b">
        <f t="shared" ca="1" si="63"/>
        <v>0</v>
      </c>
      <c r="U252" s="172"/>
    </row>
    <row r="253" spans="1:21" hidden="1">
      <c r="A253" s="143">
        <v>387</v>
      </c>
      <c r="B253" s="167">
        <f t="shared" si="70"/>
        <v>0</v>
      </c>
      <c r="C253" s="167">
        <f t="shared" si="70"/>
        <v>0</v>
      </c>
      <c r="D253" s="167">
        <f t="shared" si="70"/>
        <v>0</v>
      </c>
      <c r="E253" s="168">
        <f t="shared" si="70"/>
        <v>0</v>
      </c>
      <c r="F253" s="167">
        <f t="shared" si="70"/>
        <v>0</v>
      </c>
      <c r="G253" s="168">
        <f t="shared" si="70"/>
        <v>0</v>
      </c>
      <c r="H253" s="169">
        <f t="shared" si="70"/>
        <v>0</v>
      </c>
      <c r="I253" s="169" t="e">
        <f t="shared" ca="1" si="56"/>
        <v>#VALUE!</v>
      </c>
      <c r="J253" s="169">
        <f t="shared" si="71"/>
        <v>0</v>
      </c>
      <c r="K253" s="170">
        <f t="shared" si="71"/>
        <v>0</v>
      </c>
      <c r="L253" s="169">
        <f t="shared" si="71"/>
        <v>0</v>
      </c>
      <c r="M253" s="169">
        <f t="shared" si="71"/>
        <v>0</v>
      </c>
      <c r="N253" s="169" t="e">
        <f t="shared" ca="1" si="57"/>
        <v>#VALUE!</v>
      </c>
      <c r="O253" s="171" t="str">
        <f t="shared" si="58"/>
        <v/>
      </c>
      <c r="P253" s="171" t="str">
        <f t="shared" ca="1" si="59"/>
        <v/>
      </c>
      <c r="Q253" s="170">
        <f t="shared" ca="1" si="60"/>
        <v>0</v>
      </c>
      <c r="R253" s="170">
        <f t="shared" ca="1" si="61"/>
        <v>0</v>
      </c>
      <c r="S253" s="171" t="b">
        <f t="shared" si="62"/>
        <v>0</v>
      </c>
      <c r="T253" s="171" t="b">
        <f t="shared" ca="1" si="63"/>
        <v>0</v>
      </c>
      <c r="U253" s="172"/>
    </row>
    <row r="254" spans="1:21" hidden="1">
      <c r="A254" s="143">
        <v>401</v>
      </c>
      <c r="B254" s="167">
        <f t="shared" si="70"/>
        <v>0</v>
      </c>
      <c r="C254" s="167">
        <f t="shared" si="70"/>
        <v>0</v>
      </c>
      <c r="D254" s="167">
        <f t="shared" si="70"/>
        <v>0</v>
      </c>
      <c r="E254" s="168">
        <f t="shared" si="70"/>
        <v>0</v>
      </c>
      <c r="F254" s="167">
        <f t="shared" si="70"/>
        <v>0</v>
      </c>
      <c r="G254" s="168">
        <f t="shared" si="70"/>
        <v>0</v>
      </c>
      <c r="H254" s="169">
        <f t="shared" si="70"/>
        <v>0</v>
      </c>
      <c r="I254" s="169" t="e">
        <f t="shared" ca="1" si="56"/>
        <v>#VALUE!</v>
      </c>
      <c r="J254" s="169">
        <f t="shared" si="71"/>
        <v>0</v>
      </c>
      <c r="K254" s="170">
        <f t="shared" si="71"/>
        <v>0</v>
      </c>
      <c r="L254" s="169">
        <f t="shared" si="71"/>
        <v>0</v>
      </c>
      <c r="M254" s="169">
        <f t="shared" si="71"/>
        <v>0</v>
      </c>
      <c r="N254" s="169" t="e">
        <f t="shared" ca="1" si="57"/>
        <v>#VALUE!</v>
      </c>
      <c r="O254" s="171" t="str">
        <f t="shared" si="58"/>
        <v/>
      </c>
      <c r="P254" s="171" t="str">
        <f t="shared" ca="1" si="59"/>
        <v/>
      </c>
      <c r="Q254" s="170">
        <f t="shared" ca="1" si="60"/>
        <v>0</v>
      </c>
      <c r="R254" s="170">
        <f t="shared" ca="1" si="61"/>
        <v>0</v>
      </c>
      <c r="S254" s="171" t="b">
        <f t="shared" si="62"/>
        <v>0</v>
      </c>
      <c r="T254" s="171" t="b">
        <f t="shared" ca="1" si="63"/>
        <v>0</v>
      </c>
      <c r="U254" s="172"/>
    </row>
    <row r="255" spans="1:21" hidden="1">
      <c r="A255" s="143">
        <v>415</v>
      </c>
      <c r="B255" s="167">
        <f t="shared" si="70"/>
        <v>0</v>
      </c>
      <c r="C255" s="167">
        <f t="shared" si="70"/>
        <v>0</v>
      </c>
      <c r="D255" s="167">
        <f t="shared" si="70"/>
        <v>0</v>
      </c>
      <c r="E255" s="168">
        <f t="shared" si="70"/>
        <v>0</v>
      </c>
      <c r="F255" s="167">
        <f t="shared" si="70"/>
        <v>0</v>
      </c>
      <c r="G255" s="168">
        <f t="shared" si="70"/>
        <v>0</v>
      </c>
      <c r="H255" s="169">
        <f t="shared" si="70"/>
        <v>0</v>
      </c>
      <c r="I255" s="169" t="e">
        <f t="shared" ca="1" si="56"/>
        <v>#VALUE!</v>
      </c>
      <c r="J255" s="169">
        <f t="shared" si="71"/>
        <v>0</v>
      </c>
      <c r="K255" s="170">
        <f t="shared" si="71"/>
        <v>0</v>
      </c>
      <c r="L255" s="169">
        <f t="shared" si="71"/>
        <v>0</v>
      </c>
      <c r="M255" s="169">
        <f t="shared" si="71"/>
        <v>0</v>
      </c>
      <c r="N255" s="169" t="e">
        <f t="shared" ca="1" si="57"/>
        <v>#VALUE!</v>
      </c>
      <c r="O255" s="171" t="str">
        <f t="shared" si="58"/>
        <v/>
      </c>
      <c r="P255" s="171" t="str">
        <f t="shared" ca="1" si="59"/>
        <v/>
      </c>
      <c r="Q255" s="170">
        <f t="shared" ca="1" si="60"/>
        <v>0</v>
      </c>
      <c r="R255" s="170">
        <f t="shared" ca="1" si="61"/>
        <v>0</v>
      </c>
      <c r="S255" s="171" t="b">
        <f t="shared" si="62"/>
        <v>0</v>
      </c>
      <c r="T255" s="171" t="b">
        <f t="shared" ca="1" si="63"/>
        <v>0</v>
      </c>
      <c r="U255" s="172"/>
    </row>
    <row r="256" spans="1:21" hidden="1">
      <c r="A256" s="143">
        <v>433</v>
      </c>
      <c r="B256" s="167">
        <f t="shared" si="70"/>
        <v>0</v>
      </c>
      <c r="C256" s="167">
        <f t="shared" si="70"/>
        <v>0</v>
      </c>
      <c r="D256" s="167">
        <f t="shared" si="70"/>
        <v>0</v>
      </c>
      <c r="E256" s="168">
        <f t="shared" si="70"/>
        <v>0</v>
      </c>
      <c r="F256" s="167">
        <f t="shared" si="70"/>
        <v>0</v>
      </c>
      <c r="G256" s="168">
        <f t="shared" si="70"/>
        <v>0</v>
      </c>
      <c r="H256" s="169">
        <f t="shared" si="70"/>
        <v>0</v>
      </c>
      <c r="I256" s="169" t="e">
        <f t="shared" ca="1" si="56"/>
        <v>#VALUE!</v>
      </c>
      <c r="J256" s="169">
        <f t="shared" si="71"/>
        <v>0</v>
      </c>
      <c r="K256" s="170">
        <f t="shared" si="71"/>
        <v>0</v>
      </c>
      <c r="L256" s="169">
        <f t="shared" si="71"/>
        <v>0</v>
      </c>
      <c r="M256" s="169">
        <f t="shared" si="71"/>
        <v>0</v>
      </c>
      <c r="N256" s="169" t="e">
        <f t="shared" ca="1" si="57"/>
        <v>#VALUE!</v>
      </c>
      <c r="O256" s="171" t="str">
        <f t="shared" si="58"/>
        <v/>
      </c>
      <c r="P256" s="171" t="str">
        <f t="shared" ca="1" si="59"/>
        <v/>
      </c>
      <c r="Q256" s="170">
        <f t="shared" ca="1" si="60"/>
        <v>0</v>
      </c>
      <c r="R256" s="170">
        <f t="shared" ca="1" si="61"/>
        <v>0</v>
      </c>
      <c r="S256" s="171" t="b">
        <f t="shared" si="62"/>
        <v>0</v>
      </c>
      <c r="T256" s="171" t="b">
        <f t="shared" ca="1" si="63"/>
        <v>0</v>
      </c>
      <c r="U256" s="172"/>
    </row>
    <row r="257" spans="1:21" hidden="1">
      <c r="A257" s="143">
        <v>448</v>
      </c>
      <c r="B257" s="167">
        <f t="shared" si="70"/>
        <v>0</v>
      </c>
      <c r="C257" s="167">
        <f t="shared" si="70"/>
        <v>0</v>
      </c>
      <c r="D257" s="167">
        <f t="shared" si="70"/>
        <v>0</v>
      </c>
      <c r="E257" s="168">
        <f t="shared" si="70"/>
        <v>0</v>
      </c>
      <c r="F257" s="167">
        <f t="shared" si="70"/>
        <v>0</v>
      </c>
      <c r="G257" s="168">
        <f t="shared" si="70"/>
        <v>0</v>
      </c>
      <c r="H257" s="169">
        <f t="shared" si="70"/>
        <v>0</v>
      </c>
      <c r="I257" s="169" t="e">
        <f t="shared" ca="1" si="56"/>
        <v>#VALUE!</v>
      </c>
      <c r="J257" s="169">
        <f t="shared" si="71"/>
        <v>0</v>
      </c>
      <c r="K257" s="170">
        <f t="shared" si="71"/>
        <v>0</v>
      </c>
      <c r="L257" s="169">
        <f t="shared" si="71"/>
        <v>0</v>
      </c>
      <c r="M257" s="169">
        <f t="shared" si="71"/>
        <v>0</v>
      </c>
      <c r="N257" s="169" t="e">
        <f t="shared" ca="1" si="57"/>
        <v>#VALUE!</v>
      </c>
      <c r="O257" s="171" t="str">
        <f t="shared" si="58"/>
        <v/>
      </c>
      <c r="P257" s="171" t="str">
        <f t="shared" ca="1" si="59"/>
        <v/>
      </c>
      <c r="Q257" s="170">
        <f t="shared" ca="1" si="60"/>
        <v>0</v>
      </c>
      <c r="R257" s="170">
        <f t="shared" ca="1" si="61"/>
        <v>0</v>
      </c>
      <c r="S257" s="171" t="b">
        <f t="shared" si="62"/>
        <v>0</v>
      </c>
      <c r="T257" s="171" t="b">
        <f t="shared" ca="1" si="63"/>
        <v>0</v>
      </c>
      <c r="U257" s="172"/>
    </row>
    <row r="258" spans="1:21" hidden="1">
      <c r="A258" s="143">
        <v>27</v>
      </c>
      <c r="B258" s="167">
        <f t="shared" si="70"/>
        <v>0</v>
      </c>
      <c r="C258" s="167">
        <f t="shared" si="70"/>
        <v>0</v>
      </c>
      <c r="D258" s="167">
        <f t="shared" si="70"/>
        <v>0</v>
      </c>
      <c r="E258" s="168">
        <f t="shared" si="70"/>
        <v>0</v>
      </c>
      <c r="F258" s="167">
        <f t="shared" si="70"/>
        <v>0</v>
      </c>
      <c r="G258" s="168">
        <f t="shared" si="70"/>
        <v>0</v>
      </c>
      <c r="H258" s="169">
        <f t="shared" si="70"/>
        <v>0</v>
      </c>
      <c r="I258" s="169" t="e">
        <f t="shared" ca="1" si="56"/>
        <v>#VALUE!</v>
      </c>
      <c r="J258" s="169">
        <f t="shared" si="71"/>
        <v>0</v>
      </c>
      <c r="K258" s="170">
        <f t="shared" si="71"/>
        <v>0</v>
      </c>
      <c r="L258" s="169">
        <f t="shared" si="71"/>
        <v>0</v>
      </c>
      <c r="M258" s="169">
        <f t="shared" si="71"/>
        <v>0</v>
      </c>
      <c r="N258" s="169" t="e">
        <f t="shared" ca="1" si="57"/>
        <v>#VALUE!</v>
      </c>
      <c r="O258" s="171" t="str">
        <f t="shared" si="58"/>
        <v/>
      </c>
      <c r="P258" s="171" t="str">
        <f t="shared" ca="1" si="59"/>
        <v/>
      </c>
      <c r="Q258" s="170">
        <f t="shared" ca="1" si="60"/>
        <v>0</v>
      </c>
      <c r="R258" s="170">
        <f t="shared" ca="1" si="61"/>
        <v>0</v>
      </c>
      <c r="S258" s="171" t="b">
        <f t="shared" si="62"/>
        <v>0</v>
      </c>
      <c r="T258" s="171" t="b">
        <f t="shared" ca="1" si="63"/>
        <v>0</v>
      </c>
      <c r="U258" s="172"/>
    </row>
    <row r="259" spans="1:21" hidden="1">
      <c r="A259" s="143">
        <v>100</v>
      </c>
      <c r="B259" s="167">
        <f t="shared" si="70"/>
        <v>0</v>
      </c>
      <c r="C259" s="167">
        <f t="shared" si="70"/>
        <v>0</v>
      </c>
      <c r="D259" s="167">
        <f t="shared" si="70"/>
        <v>0</v>
      </c>
      <c r="E259" s="168">
        <f t="shared" si="70"/>
        <v>0</v>
      </c>
      <c r="F259" s="167">
        <f t="shared" si="70"/>
        <v>0</v>
      </c>
      <c r="G259" s="168">
        <f t="shared" si="70"/>
        <v>0</v>
      </c>
      <c r="H259" s="169">
        <f t="shared" si="70"/>
        <v>0</v>
      </c>
      <c r="I259" s="169" t="e">
        <f t="shared" ca="1" si="56"/>
        <v>#VALUE!</v>
      </c>
      <c r="J259" s="169">
        <f t="shared" si="71"/>
        <v>0</v>
      </c>
      <c r="K259" s="170">
        <f t="shared" si="71"/>
        <v>0</v>
      </c>
      <c r="L259" s="169">
        <f t="shared" si="71"/>
        <v>0</v>
      </c>
      <c r="M259" s="169">
        <f t="shared" si="71"/>
        <v>0</v>
      </c>
      <c r="N259" s="169" t="e">
        <f t="shared" ca="1" si="57"/>
        <v>#VALUE!</v>
      </c>
      <c r="O259" s="171" t="str">
        <f t="shared" si="58"/>
        <v/>
      </c>
      <c r="P259" s="171" t="str">
        <f t="shared" ca="1" si="59"/>
        <v/>
      </c>
      <c r="Q259" s="170">
        <f t="shared" ca="1" si="60"/>
        <v>0</v>
      </c>
      <c r="R259" s="170">
        <f t="shared" ca="1" si="61"/>
        <v>0</v>
      </c>
      <c r="S259" s="171" t="b">
        <f t="shared" si="62"/>
        <v>0</v>
      </c>
      <c r="T259" s="171" t="b">
        <f t="shared" ca="1" si="63"/>
        <v>0</v>
      </c>
      <c r="U259" s="172"/>
    </row>
    <row r="260" spans="1:21" hidden="1">
      <c r="A260" s="143">
        <v>152</v>
      </c>
      <c r="B260" s="167">
        <f t="shared" si="70"/>
        <v>0</v>
      </c>
      <c r="C260" s="167">
        <f t="shared" si="70"/>
        <v>0</v>
      </c>
      <c r="D260" s="167">
        <f t="shared" si="70"/>
        <v>0</v>
      </c>
      <c r="E260" s="168">
        <f t="shared" si="70"/>
        <v>0</v>
      </c>
      <c r="F260" s="167">
        <f t="shared" si="70"/>
        <v>0</v>
      </c>
      <c r="G260" s="168">
        <f t="shared" si="70"/>
        <v>0</v>
      </c>
      <c r="H260" s="169">
        <f t="shared" si="70"/>
        <v>0</v>
      </c>
      <c r="I260" s="169" t="e">
        <f t="shared" ca="1" si="56"/>
        <v>#VALUE!</v>
      </c>
      <c r="J260" s="169">
        <f t="shared" si="71"/>
        <v>0</v>
      </c>
      <c r="K260" s="170">
        <f t="shared" si="71"/>
        <v>0</v>
      </c>
      <c r="L260" s="169">
        <f t="shared" si="71"/>
        <v>0</v>
      </c>
      <c r="M260" s="169">
        <f t="shared" si="71"/>
        <v>0</v>
      </c>
      <c r="N260" s="169" t="e">
        <f t="shared" ca="1" si="57"/>
        <v>#VALUE!</v>
      </c>
      <c r="O260" s="171" t="str">
        <f t="shared" si="58"/>
        <v/>
      </c>
      <c r="P260" s="171" t="str">
        <f t="shared" ca="1" si="59"/>
        <v/>
      </c>
      <c r="Q260" s="170">
        <f t="shared" ca="1" si="60"/>
        <v>0</v>
      </c>
      <c r="R260" s="170">
        <f t="shared" ca="1" si="61"/>
        <v>0</v>
      </c>
      <c r="S260" s="171" t="b">
        <f t="shared" si="62"/>
        <v>0</v>
      </c>
      <c r="T260" s="171" t="b">
        <f t="shared" ca="1" si="63"/>
        <v>0</v>
      </c>
      <c r="U260" s="172"/>
    </row>
    <row r="261" spans="1:21" hidden="1">
      <c r="A261" s="143">
        <v>222</v>
      </c>
      <c r="B261" s="167">
        <f t="shared" ref="B261:H270" si="72">IF($A261&lt;=$A$8,INDEX(Import.PO,$A261,B$8),0)</f>
        <v>0</v>
      </c>
      <c r="C261" s="167">
        <f t="shared" si="72"/>
        <v>0</v>
      </c>
      <c r="D261" s="167">
        <f t="shared" si="72"/>
        <v>0</v>
      </c>
      <c r="E261" s="168">
        <f t="shared" si="72"/>
        <v>0</v>
      </c>
      <c r="F261" s="167">
        <f t="shared" si="72"/>
        <v>0</v>
      </c>
      <c r="G261" s="168">
        <f t="shared" si="72"/>
        <v>0</v>
      </c>
      <c r="H261" s="169">
        <f t="shared" si="72"/>
        <v>0</v>
      </c>
      <c r="I261" s="169" t="e">
        <f t="shared" ca="1" si="56"/>
        <v>#VALUE!</v>
      </c>
      <c r="J261" s="169">
        <f t="shared" si="71"/>
        <v>0</v>
      </c>
      <c r="K261" s="170">
        <f t="shared" si="71"/>
        <v>0</v>
      </c>
      <c r="L261" s="169">
        <f t="shared" si="71"/>
        <v>0</v>
      </c>
      <c r="M261" s="169">
        <f t="shared" si="71"/>
        <v>0</v>
      </c>
      <c r="N261" s="169" t="e">
        <f t="shared" ca="1" si="57"/>
        <v>#VALUE!</v>
      </c>
      <c r="O261" s="171" t="str">
        <f t="shared" si="58"/>
        <v/>
      </c>
      <c r="P261" s="171" t="str">
        <f t="shared" ca="1" si="59"/>
        <v/>
      </c>
      <c r="Q261" s="170">
        <f t="shared" ca="1" si="60"/>
        <v>0</v>
      </c>
      <c r="R261" s="170">
        <f t="shared" ca="1" si="61"/>
        <v>0</v>
      </c>
      <c r="S261" s="171" t="b">
        <f t="shared" si="62"/>
        <v>0</v>
      </c>
      <c r="T261" s="171" t="b">
        <f t="shared" ca="1" si="63"/>
        <v>0</v>
      </c>
      <c r="U261" s="172"/>
    </row>
    <row r="262" spans="1:21" hidden="1">
      <c r="A262" s="143">
        <v>299</v>
      </c>
      <c r="B262" s="167">
        <f t="shared" si="72"/>
        <v>0</v>
      </c>
      <c r="C262" s="167">
        <f t="shared" si="72"/>
        <v>0</v>
      </c>
      <c r="D262" s="167">
        <f t="shared" si="72"/>
        <v>0</v>
      </c>
      <c r="E262" s="168">
        <f t="shared" si="72"/>
        <v>0</v>
      </c>
      <c r="F262" s="167">
        <f t="shared" si="72"/>
        <v>0</v>
      </c>
      <c r="G262" s="168">
        <f t="shared" si="72"/>
        <v>0</v>
      </c>
      <c r="H262" s="169">
        <f t="shared" si="72"/>
        <v>0</v>
      </c>
      <c r="I262" s="169" t="e">
        <f t="shared" ca="1" si="56"/>
        <v>#VALUE!</v>
      </c>
      <c r="J262" s="169">
        <f t="shared" si="71"/>
        <v>0</v>
      </c>
      <c r="K262" s="170">
        <f t="shared" si="71"/>
        <v>0</v>
      </c>
      <c r="L262" s="169">
        <f t="shared" si="71"/>
        <v>0</v>
      </c>
      <c r="M262" s="169">
        <f t="shared" si="71"/>
        <v>0</v>
      </c>
      <c r="N262" s="169" t="e">
        <f t="shared" ca="1" si="57"/>
        <v>#VALUE!</v>
      </c>
      <c r="O262" s="171" t="str">
        <f t="shared" si="58"/>
        <v/>
      </c>
      <c r="P262" s="171" t="str">
        <f t="shared" ca="1" si="59"/>
        <v/>
      </c>
      <c r="Q262" s="170">
        <f t="shared" ca="1" si="60"/>
        <v>0</v>
      </c>
      <c r="R262" s="170">
        <f t="shared" ca="1" si="61"/>
        <v>0</v>
      </c>
      <c r="S262" s="171" t="b">
        <f t="shared" si="62"/>
        <v>0</v>
      </c>
      <c r="T262" s="171" t="b">
        <f t="shared" ca="1" si="63"/>
        <v>0</v>
      </c>
      <c r="U262" s="172"/>
    </row>
    <row r="263" spans="1:21" hidden="1">
      <c r="A263" s="143">
        <v>455</v>
      </c>
      <c r="B263" s="167">
        <f t="shared" si="72"/>
        <v>0</v>
      </c>
      <c r="C263" s="167">
        <f t="shared" si="72"/>
        <v>0</v>
      </c>
      <c r="D263" s="167">
        <f t="shared" si="72"/>
        <v>0</v>
      </c>
      <c r="E263" s="168">
        <f t="shared" si="72"/>
        <v>0</v>
      </c>
      <c r="F263" s="167">
        <f t="shared" si="72"/>
        <v>0</v>
      </c>
      <c r="G263" s="168">
        <f t="shared" si="72"/>
        <v>0</v>
      </c>
      <c r="H263" s="169">
        <f t="shared" si="72"/>
        <v>0</v>
      </c>
      <c r="I263" s="169" t="e">
        <f t="shared" ca="1" si="56"/>
        <v>#VALUE!</v>
      </c>
      <c r="J263" s="169">
        <f t="shared" si="71"/>
        <v>0</v>
      </c>
      <c r="K263" s="170">
        <f t="shared" si="71"/>
        <v>0</v>
      </c>
      <c r="L263" s="169">
        <f t="shared" si="71"/>
        <v>0</v>
      </c>
      <c r="M263" s="169">
        <f t="shared" si="71"/>
        <v>0</v>
      </c>
      <c r="N263" s="169" t="e">
        <f t="shared" ca="1" si="57"/>
        <v>#VALUE!</v>
      </c>
      <c r="O263" s="171" t="str">
        <f t="shared" si="58"/>
        <v/>
      </c>
      <c r="P263" s="171" t="str">
        <f t="shared" ca="1" si="59"/>
        <v/>
      </c>
      <c r="Q263" s="170">
        <f t="shared" ca="1" si="60"/>
        <v>0</v>
      </c>
      <c r="R263" s="170">
        <f t="shared" ca="1" si="61"/>
        <v>0</v>
      </c>
      <c r="S263" s="171" t="b">
        <f t="shared" si="62"/>
        <v>0</v>
      </c>
      <c r="T263" s="171" t="b">
        <f t="shared" ca="1" si="63"/>
        <v>0</v>
      </c>
      <c r="U263" s="172"/>
    </row>
    <row r="264" spans="1:21" hidden="1">
      <c r="A264" s="143">
        <v>467</v>
      </c>
      <c r="B264" s="167">
        <f t="shared" si="72"/>
        <v>0</v>
      </c>
      <c r="C264" s="167">
        <f t="shared" si="72"/>
        <v>0</v>
      </c>
      <c r="D264" s="167">
        <f t="shared" si="72"/>
        <v>0</v>
      </c>
      <c r="E264" s="168">
        <f t="shared" si="72"/>
        <v>0</v>
      </c>
      <c r="F264" s="167">
        <f t="shared" si="72"/>
        <v>0</v>
      </c>
      <c r="G264" s="168">
        <f t="shared" si="72"/>
        <v>0</v>
      </c>
      <c r="H264" s="169">
        <f t="shared" si="72"/>
        <v>0</v>
      </c>
      <c r="I264" s="169" t="e">
        <f t="shared" ca="1" si="56"/>
        <v>#VALUE!</v>
      </c>
      <c r="J264" s="169">
        <f t="shared" si="71"/>
        <v>0</v>
      </c>
      <c r="K264" s="170">
        <f t="shared" si="71"/>
        <v>0</v>
      </c>
      <c r="L264" s="169">
        <f t="shared" si="71"/>
        <v>0</v>
      </c>
      <c r="M264" s="169">
        <f t="shared" si="71"/>
        <v>0</v>
      </c>
      <c r="N264" s="169" t="e">
        <f t="shared" ca="1" si="57"/>
        <v>#VALUE!</v>
      </c>
      <c r="O264" s="171" t="str">
        <f t="shared" si="58"/>
        <v/>
      </c>
      <c r="P264" s="171" t="str">
        <f t="shared" ca="1" si="59"/>
        <v/>
      </c>
      <c r="Q264" s="170">
        <f t="shared" ca="1" si="60"/>
        <v>0</v>
      </c>
      <c r="R264" s="170">
        <f t="shared" ca="1" si="61"/>
        <v>0</v>
      </c>
      <c r="S264" s="171" t="b">
        <f t="shared" si="62"/>
        <v>0</v>
      </c>
      <c r="T264" s="171" t="b">
        <f t="shared" ca="1" si="63"/>
        <v>0</v>
      </c>
      <c r="U264" s="172"/>
    </row>
    <row r="265" spans="1:21" hidden="1">
      <c r="A265" s="143">
        <v>25</v>
      </c>
      <c r="B265" s="167">
        <f t="shared" si="72"/>
        <v>0</v>
      </c>
      <c r="C265" s="167">
        <f t="shared" si="72"/>
        <v>0</v>
      </c>
      <c r="D265" s="167">
        <f t="shared" si="72"/>
        <v>0</v>
      </c>
      <c r="E265" s="168">
        <f t="shared" si="72"/>
        <v>0</v>
      </c>
      <c r="F265" s="167">
        <f t="shared" si="72"/>
        <v>0</v>
      </c>
      <c r="G265" s="168">
        <f t="shared" si="72"/>
        <v>0</v>
      </c>
      <c r="H265" s="169">
        <f t="shared" si="72"/>
        <v>0</v>
      </c>
      <c r="I265" s="169" t="e">
        <f t="shared" ca="1" si="56"/>
        <v>#VALUE!</v>
      </c>
      <c r="J265" s="169">
        <f t="shared" si="71"/>
        <v>0</v>
      </c>
      <c r="K265" s="170">
        <f t="shared" si="71"/>
        <v>0</v>
      </c>
      <c r="L265" s="169">
        <f t="shared" si="71"/>
        <v>0</v>
      </c>
      <c r="M265" s="169">
        <f t="shared" si="71"/>
        <v>0</v>
      </c>
      <c r="N265" s="169" t="e">
        <f t="shared" ca="1" si="57"/>
        <v>#VALUE!</v>
      </c>
      <c r="O265" s="171" t="str">
        <f t="shared" si="58"/>
        <v/>
      </c>
      <c r="P265" s="171" t="str">
        <f t="shared" ca="1" si="59"/>
        <v/>
      </c>
      <c r="Q265" s="170">
        <f t="shared" ca="1" si="60"/>
        <v>0</v>
      </c>
      <c r="R265" s="170">
        <f t="shared" ca="1" si="61"/>
        <v>0</v>
      </c>
      <c r="S265" s="171" t="b">
        <f t="shared" si="62"/>
        <v>0</v>
      </c>
      <c r="T265" s="171" t="b">
        <f t="shared" ca="1" si="63"/>
        <v>0</v>
      </c>
      <c r="U265" s="172"/>
    </row>
    <row r="266" spans="1:21" hidden="1">
      <c r="A266" s="143">
        <v>454</v>
      </c>
      <c r="B266" s="167">
        <f t="shared" si="72"/>
        <v>0</v>
      </c>
      <c r="C266" s="167">
        <f t="shared" si="72"/>
        <v>0</v>
      </c>
      <c r="D266" s="167">
        <f t="shared" si="72"/>
        <v>0</v>
      </c>
      <c r="E266" s="168">
        <f t="shared" si="72"/>
        <v>0</v>
      </c>
      <c r="F266" s="167">
        <f t="shared" si="72"/>
        <v>0</v>
      </c>
      <c r="G266" s="168">
        <f t="shared" si="72"/>
        <v>0</v>
      </c>
      <c r="H266" s="169">
        <f t="shared" si="72"/>
        <v>0</v>
      </c>
      <c r="I266" s="169" t="e">
        <f t="shared" ca="1" si="56"/>
        <v>#VALUE!</v>
      </c>
      <c r="J266" s="169">
        <f t="shared" si="71"/>
        <v>0</v>
      </c>
      <c r="K266" s="170">
        <f t="shared" si="71"/>
        <v>0</v>
      </c>
      <c r="L266" s="169">
        <f t="shared" si="71"/>
        <v>0</v>
      </c>
      <c r="M266" s="169">
        <f t="shared" si="71"/>
        <v>0</v>
      </c>
      <c r="N266" s="169" t="e">
        <f t="shared" ca="1" si="57"/>
        <v>#VALUE!</v>
      </c>
      <c r="O266" s="171" t="str">
        <f t="shared" si="58"/>
        <v/>
      </c>
      <c r="P266" s="171" t="str">
        <f t="shared" ca="1" si="59"/>
        <v/>
      </c>
      <c r="Q266" s="170">
        <f t="shared" ca="1" si="60"/>
        <v>0</v>
      </c>
      <c r="R266" s="170">
        <f t="shared" ca="1" si="61"/>
        <v>0</v>
      </c>
      <c r="S266" s="171" t="b">
        <f t="shared" si="62"/>
        <v>0</v>
      </c>
      <c r="T266" s="171" t="b">
        <f t="shared" ca="1" si="63"/>
        <v>0</v>
      </c>
      <c r="U266" s="172"/>
    </row>
    <row r="267" spans="1:21" hidden="1">
      <c r="A267" s="143">
        <v>466</v>
      </c>
      <c r="B267" s="167">
        <f t="shared" si="72"/>
        <v>0</v>
      </c>
      <c r="C267" s="167">
        <f t="shared" si="72"/>
        <v>0</v>
      </c>
      <c r="D267" s="167">
        <f t="shared" si="72"/>
        <v>0</v>
      </c>
      <c r="E267" s="168">
        <f t="shared" si="72"/>
        <v>0</v>
      </c>
      <c r="F267" s="167">
        <f t="shared" si="72"/>
        <v>0</v>
      </c>
      <c r="G267" s="168">
        <f t="shared" si="72"/>
        <v>0</v>
      </c>
      <c r="H267" s="169">
        <f t="shared" si="72"/>
        <v>0</v>
      </c>
      <c r="I267" s="169" t="e">
        <f t="shared" ref="I267:I330" ca="1" si="73">IF($P267=ROW($P267)-ROW($P$10),SUMIF(OFFSET($P$10,1,0,$A$7),$P267,OFFSET($H$10,1,0,$A$7)),OFFSET($I$10,$P267,0))</f>
        <v>#VALUE!</v>
      </c>
      <c r="J267" s="169">
        <f t="shared" si="71"/>
        <v>0</v>
      </c>
      <c r="K267" s="170">
        <f t="shared" si="71"/>
        <v>0</v>
      </c>
      <c r="L267" s="169">
        <f t="shared" si="71"/>
        <v>0</v>
      </c>
      <c r="M267" s="169">
        <f t="shared" si="71"/>
        <v>0</v>
      </c>
      <c r="N267" s="169" t="e">
        <f t="shared" ref="N267:N330" ca="1" si="74">IF($P267=ROW($P267)-ROW($P$10),SUMIF(OFFSET($P$10,1,0,$A$7),$P267,OFFSET($M$10,1,0,$A$7)),OFFSET($N$10,$P267,0))</f>
        <v>#VALUE!</v>
      </c>
      <c r="O267" s="171" t="str">
        <f t="shared" ref="O267:O330" si="75">IF($S267,D267&amp;"-"&amp;E267,"")</f>
        <v/>
      </c>
      <c r="P267" s="171" t="str">
        <f t="shared" ref="P267:P330" ca="1" si="76">IF($S267,MATCH(O267,OFFSET($O$10,1,0,$A$7),0),"")</f>
        <v/>
      </c>
      <c r="Q267" s="170">
        <f t="shared" ref="Q267:Q330" ca="1" si="77">IF($P267=ROW($P267)-ROW($P$10),$N267/$M$7,IF(ISNUMBER($P267),TEXT(OFFSET($Q$10,$P267,0)," 0,00% "),0))</f>
        <v>0</v>
      </c>
      <c r="R267" s="170">
        <f t="shared" ref="R267:R330" ca="1" si="78">SUMIF(OFFSET($Q$10,1,0,$A$7),"&gt;="&amp;$N267/$M$7,OFFSET($Q$10,1,0,$A$7))</f>
        <v>0</v>
      </c>
      <c r="S267" s="171" t="b">
        <f t="shared" ref="S267:S330" si="79">E267&lt;&gt;0</f>
        <v>0</v>
      </c>
      <c r="T267" s="171" t="b">
        <f t="shared" ref="T267:T330" ca="1" si="80">IF($P267=ROW($P267)-ROW($P$10),R267&lt;=$Q$8,IF(ISNUMBER($P267),OFFSET($T$10,VALUE($P267),0),FALSE))</f>
        <v>0</v>
      </c>
      <c r="U267" s="172"/>
    </row>
    <row r="268" spans="1:21" hidden="1">
      <c r="A268" s="143">
        <v>73</v>
      </c>
      <c r="B268" s="167">
        <f t="shared" si="72"/>
        <v>0</v>
      </c>
      <c r="C268" s="167">
        <f t="shared" si="72"/>
        <v>0</v>
      </c>
      <c r="D268" s="167">
        <f t="shared" si="72"/>
        <v>0</v>
      </c>
      <c r="E268" s="168">
        <f t="shared" si="72"/>
        <v>0</v>
      </c>
      <c r="F268" s="167">
        <f t="shared" si="72"/>
        <v>0</v>
      </c>
      <c r="G268" s="168">
        <f t="shared" si="72"/>
        <v>0</v>
      </c>
      <c r="H268" s="169">
        <f t="shared" si="72"/>
        <v>0</v>
      </c>
      <c r="I268" s="169" t="e">
        <f t="shared" ca="1" si="73"/>
        <v>#VALUE!</v>
      </c>
      <c r="J268" s="169">
        <f t="shared" si="71"/>
        <v>0</v>
      </c>
      <c r="K268" s="170">
        <f t="shared" si="71"/>
        <v>0</v>
      </c>
      <c r="L268" s="169">
        <f t="shared" si="71"/>
        <v>0</v>
      </c>
      <c r="M268" s="169">
        <f t="shared" si="71"/>
        <v>0</v>
      </c>
      <c r="N268" s="169" t="e">
        <f t="shared" ca="1" si="74"/>
        <v>#VALUE!</v>
      </c>
      <c r="O268" s="171" t="str">
        <f t="shared" si="75"/>
        <v/>
      </c>
      <c r="P268" s="171" t="str">
        <f t="shared" ca="1" si="76"/>
        <v/>
      </c>
      <c r="Q268" s="170">
        <f t="shared" ca="1" si="77"/>
        <v>0</v>
      </c>
      <c r="R268" s="170">
        <f t="shared" ca="1" si="78"/>
        <v>0</v>
      </c>
      <c r="S268" s="171" t="b">
        <f t="shared" si="79"/>
        <v>0</v>
      </c>
      <c r="T268" s="171" t="b">
        <f t="shared" ca="1" si="80"/>
        <v>0</v>
      </c>
      <c r="U268" s="172"/>
    </row>
    <row r="269" spans="1:21" hidden="1">
      <c r="A269" s="143">
        <v>87</v>
      </c>
      <c r="B269" s="167">
        <f t="shared" si="72"/>
        <v>0</v>
      </c>
      <c r="C269" s="167">
        <f t="shared" si="72"/>
        <v>0</v>
      </c>
      <c r="D269" s="167">
        <f t="shared" si="72"/>
        <v>0</v>
      </c>
      <c r="E269" s="168">
        <f t="shared" si="72"/>
        <v>0</v>
      </c>
      <c r="F269" s="167">
        <f t="shared" si="72"/>
        <v>0</v>
      </c>
      <c r="G269" s="168">
        <f t="shared" si="72"/>
        <v>0</v>
      </c>
      <c r="H269" s="169">
        <f t="shared" si="72"/>
        <v>0</v>
      </c>
      <c r="I269" s="169" t="e">
        <f t="shared" ca="1" si="73"/>
        <v>#VALUE!</v>
      </c>
      <c r="J269" s="169">
        <f t="shared" si="71"/>
        <v>0</v>
      </c>
      <c r="K269" s="170">
        <f t="shared" si="71"/>
        <v>0</v>
      </c>
      <c r="L269" s="169">
        <f t="shared" si="71"/>
        <v>0</v>
      </c>
      <c r="M269" s="169">
        <f t="shared" si="71"/>
        <v>0</v>
      </c>
      <c r="N269" s="169" t="e">
        <f t="shared" ca="1" si="74"/>
        <v>#VALUE!</v>
      </c>
      <c r="O269" s="171" t="str">
        <f t="shared" si="75"/>
        <v/>
      </c>
      <c r="P269" s="171" t="str">
        <f t="shared" ca="1" si="76"/>
        <v/>
      </c>
      <c r="Q269" s="170">
        <f t="shared" ca="1" si="77"/>
        <v>0</v>
      </c>
      <c r="R269" s="170">
        <f t="shared" ca="1" si="78"/>
        <v>0</v>
      </c>
      <c r="S269" s="171" t="b">
        <f t="shared" si="79"/>
        <v>0</v>
      </c>
      <c r="T269" s="171" t="b">
        <f t="shared" ca="1" si="80"/>
        <v>0</v>
      </c>
      <c r="U269" s="172"/>
    </row>
    <row r="270" spans="1:21" hidden="1">
      <c r="A270" s="143">
        <v>134</v>
      </c>
      <c r="B270" s="167">
        <f t="shared" si="72"/>
        <v>0</v>
      </c>
      <c r="C270" s="167">
        <f t="shared" si="72"/>
        <v>0</v>
      </c>
      <c r="D270" s="167">
        <f t="shared" si="72"/>
        <v>0</v>
      </c>
      <c r="E270" s="168">
        <f t="shared" si="72"/>
        <v>0</v>
      </c>
      <c r="F270" s="167">
        <f t="shared" si="72"/>
        <v>0</v>
      </c>
      <c r="G270" s="168">
        <f t="shared" si="72"/>
        <v>0</v>
      </c>
      <c r="H270" s="169">
        <f t="shared" si="72"/>
        <v>0</v>
      </c>
      <c r="I270" s="169" t="e">
        <f t="shared" ca="1" si="73"/>
        <v>#VALUE!</v>
      </c>
      <c r="J270" s="169">
        <f t="shared" si="71"/>
        <v>0</v>
      </c>
      <c r="K270" s="170">
        <f t="shared" si="71"/>
        <v>0</v>
      </c>
      <c r="L270" s="169">
        <f t="shared" si="71"/>
        <v>0</v>
      </c>
      <c r="M270" s="169">
        <f t="shared" si="71"/>
        <v>0</v>
      </c>
      <c r="N270" s="169" t="e">
        <f t="shared" ca="1" si="74"/>
        <v>#VALUE!</v>
      </c>
      <c r="O270" s="171" t="str">
        <f t="shared" si="75"/>
        <v/>
      </c>
      <c r="P270" s="171" t="str">
        <f t="shared" ca="1" si="76"/>
        <v/>
      </c>
      <c r="Q270" s="170">
        <f t="shared" ca="1" si="77"/>
        <v>0</v>
      </c>
      <c r="R270" s="170">
        <f t="shared" ca="1" si="78"/>
        <v>0</v>
      </c>
      <c r="S270" s="171" t="b">
        <f t="shared" si="79"/>
        <v>0</v>
      </c>
      <c r="T270" s="171" t="b">
        <f t="shared" ca="1" si="80"/>
        <v>0</v>
      </c>
      <c r="U270" s="172"/>
    </row>
    <row r="271" spans="1:21" hidden="1">
      <c r="A271" s="143">
        <v>170</v>
      </c>
      <c r="B271" s="167">
        <f t="shared" ref="B271:H280" si="81">IF($A271&lt;=$A$8,INDEX(Import.PO,$A271,B$8),0)</f>
        <v>0</v>
      </c>
      <c r="C271" s="167">
        <f t="shared" si="81"/>
        <v>0</v>
      </c>
      <c r="D271" s="167">
        <f t="shared" si="81"/>
        <v>0</v>
      </c>
      <c r="E271" s="168">
        <f t="shared" si="81"/>
        <v>0</v>
      </c>
      <c r="F271" s="167">
        <f t="shared" si="81"/>
        <v>0</v>
      </c>
      <c r="G271" s="168">
        <f t="shared" si="81"/>
        <v>0</v>
      </c>
      <c r="H271" s="169">
        <f t="shared" si="81"/>
        <v>0</v>
      </c>
      <c r="I271" s="169" t="e">
        <f t="shared" ca="1" si="73"/>
        <v>#VALUE!</v>
      </c>
      <c r="J271" s="169">
        <f t="shared" ref="J271:M290" si="82">IF($A271&lt;=$A$8,INDEX(Import.PO,$A271,J$8),0)</f>
        <v>0</v>
      </c>
      <c r="K271" s="170">
        <f t="shared" si="82"/>
        <v>0</v>
      </c>
      <c r="L271" s="169">
        <f t="shared" si="82"/>
        <v>0</v>
      </c>
      <c r="M271" s="169">
        <f t="shared" si="82"/>
        <v>0</v>
      </c>
      <c r="N271" s="169" t="e">
        <f t="shared" ca="1" si="74"/>
        <v>#VALUE!</v>
      </c>
      <c r="O271" s="171" t="str">
        <f t="shared" si="75"/>
        <v/>
      </c>
      <c r="P271" s="171" t="str">
        <f t="shared" ca="1" si="76"/>
        <v/>
      </c>
      <c r="Q271" s="170">
        <f t="shared" ca="1" si="77"/>
        <v>0</v>
      </c>
      <c r="R271" s="170">
        <f t="shared" ca="1" si="78"/>
        <v>0</v>
      </c>
      <c r="S271" s="171" t="b">
        <f t="shared" si="79"/>
        <v>0</v>
      </c>
      <c r="T271" s="171" t="b">
        <f t="shared" ca="1" si="80"/>
        <v>0</v>
      </c>
      <c r="U271" s="172"/>
    </row>
    <row r="272" spans="1:21" hidden="1">
      <c r="A272" s="143">
        <v>195</v>
      </c>
      <c r="B272" s="167">
        <f t="shared" si="81"/>
        <v>0</v>
      </c>
      <c r="C272" s="167">
        <f t="shared" si="81"/>
        <v>0</v>
      </c>
      <c r="D272" s="167">
        <f t="shared" si="81"/>
        <v>0</v>
      </c>
      <c r="E272" s="168">
        <f t="shared" si="81"/>
        <v>0</v>
      </c>
      <c r="F272" s="167">
        <f t="shared" si="81"/>
        <v>0</v>
      </c>
      <c r="G272" s="168">
        <f t="shared" si="81"/>
        <v>0</v>
      </c>
      <c r="H272" s="169">
        <f t="shared" si="81"/>
        <v>0</v>
      </c>
      <c r="I272" s="169" t="e">
        <f t="shared" ca="1" si="73"/>
        <v>#VALUE!</v>
      </c>
      <c r="J272" s="169">
        <f t="shared" si="82"/>
        <v>0</v>
      </c>
      <c r="K272" s="170">
        <f t="shared" si="82"/>
        <v>0</v>
      </c>
      <c r="L272" s="169">
        <f t="shared" si="82"/>
        <v>0</v>
      </c>
      <c r="M272" s="169">
        <f t="shared" si="82"/>
        <v>0</v>
      </c>
      <c r="N272" s="169" t="e">
        <f t="shared" ca="1" si="74"/>
        <v>#VALUE!</v>
      </c>
      <c r="O272" s="171" t="str">
        <f t="shared" si="75"/>
        <v/>
      </c>
      <c r="P272" s="171" t="str">
        <f t="shared" ca="1" si="76"/>
        <v/>
      </c>
      <c r="Q272" s="170">
        <f t="shared" ca="1" si="77"/>
        <v>0</v>
      </c>
      <c r="R272" s="170">
        <f t="shared" ca="1" si="78"/>
        <v>0</v>
      </c>
      <c r="S272" s="171" t="b">
        <f t="shared" si="79"/>
        <v>0</v>
      </c>
      <c r="T272" s="171" t="b">
        <f t="shared" ca="1" si="80"/>
        <v>0</v>
      </c>
      <c r="U272" s="172"/>
    </row>
    <row r="273" spans="1:21" hidden="1">
      <c r="A273" s="143">
        <v>209</v>
      </c>
      <c r="B273" s="167">
        <f t="shared" si="81"/>
        <v>0</v>
      </c>
      <c r="C273" s="167">
        <f t="shared" si="81"/>
        <v>0</v>
      </c>
      <c r="D273" s="167">
        <f t="shared" si="81"/>
        <v>0</v>
      </c>
      <c r="E273" s="168">
        <f t="shared" si="81"/>
        <v>0</v>
      </c>
      <c r="F273" s="167">
        <f t="shared" si="81"/>
        <v>0</v>
      </c>
      <c r="G273" s="168">
        <f t="shared" si="81"/>
        <v>0</v>
      </c>
      <c r="H273" s="169">
        <f t="shared" si="81"/>
        <v>0</v>
      </c>
      <c r="I273" s="169" t="e">
        <f t="shared" ca="1" si="73"/>
        <v>#VALUE!</v>
      </c>
      <c r="J273" s="169">
        <f t="shared" si="82"/>
        <v>0</v>
      </c>
      <c r="K273" s="170">
        <f t="shared" si="82"/>
        <v>0</v>
      </c>
      <c r="L273" s="169">
        <f t="shared" si="82"/>
        <v>0</v>
      </c>
      <c r="M273" s="169">
        <f t="shared" si="82"/>
        <v>0</v>
      </c>
      <c r="N273" s="169" t="e">
        <f t="shared" ca="1" si="74"/>
        <v>#VALUE!</v>
      </c>
      <c r="O273" s="171" t="str">
        <f t="shared" si="75"/>
        <v/>
      </c>
      <c r="P273" s="171" t="str">
        <f t="shared" ca="1" si="76"/>
        <v/>
      </c>
      <c r="Q273" s="170">
        <f t="shared" ca="1" si="77"/>
        <v>0</v>
      </c>
      <c r="R273" s="170">
        <f t="shared" ca="1" si="78"/>
        <v>0</v>
      </c>
      <c r="S273" s="171" t="b">
        <f t="shared" si="79"/>
        <v>0</v>
      </c>
      <c r="T273" s="171" t="b">
        <f t="shared" ca="1" si="80"/>
        <v>0</v>
      </c>
      <c r="U273" s="172"/>
    </row>
    <row r="274" spans="1:21" hidden="1">
      <c r="A274" s="143">
        <v>258</v>
      </c>
      <c r="B274" s="167">
        <f t="shared" si="81"/>
        <v>0</v>
      </c>
      <c r="C274" s="167">
        <f t="shared" si="81"/>
        <v>0</v>
      </c>
      <c r="D274" s="167">
        <f t="shared" si="81"/>
        <v>0</v>
      </c>
      <c r="E274" s="168">
        <f t="shared" si="81"/>
        <v>0</v>
      </c>
      <c r="F274" s="167">
        <f t="shared" si="81"/>
        <v>0</v>
      </c>
      <c r="G274" s="168">
        <f t="shared" si="81"/>
        <v>0</v>
      </c>
      <c r="H274" s="169">
        <f t="shared" si="81"/>
        <v>0</v>
      </c>
      <c r="I274" s="169" t="e">
        <f t="shared" ca="1" si="73"/>
        <v>#VALUE!</v>
      </c>
      <c r="J274" s="169">
        <f t="shared" si="82"/>
        <v>0</v>
      </c>
      <c r="K274" s="170">
        <f t="shared" si="82"/>
        <v>0</v>
      </c>
      <c r="L274" s="169">
        <f t="shared" si="82"/>
        <v>0</v>
      </c>
      <c r="M274" s="169">
        <f t="shared" si="82"/>
        <v>0</v>
      </c>
      <c r="N274" s="169" t="e">
        <f t="shared" ca="1" si="74"/>
        <v>#VALUE!</v>
      </c>
      <c r="O274" s="171" t="str">
        <f t="shared" si="75"/>
        <v/>
      </c>
      <c r="P274" s="171" t="str">
        <f t="shared" ca="1" si="76"/>
        <v/>
      </c>
      <c r="Q274" s="170">
        <f t="shared" ca="1" si="77"/>
        <v>0</v>
      </c>
      <c r="R274" s="170">
        <f t="shared" ca="1" si="78"/>
        <v>0</v>
      </c>
      <c r="S274" s="171" t="b">
        <f t="shared" si="79"/>
        <v>0</v>
      </c>
      <c r="T274" s="171" t="b">
        <f t="shared" ca="1" si="80"/>
        <v>0</v>
      </c>
      <c r="U274" s="172"/>
    </row>
    <row r="275" spans="1:21" hidden="1">
      <c r="A275" s="143">
        <v>272</v>
      </c>
      <c r="B275" s="167">
        <f t="shared" si="81"/>
        <v>0</v>
      </c>
      <c r="C275" s="167">
        <f t="shared" si="81"/>
        <v>0</v>
      </c>
      <c r="D275" s="167">
        <f t="shared" si="81"/>
        <v>0</v>
      </c>
      <c r="E275" s="168">
        <f t="shared" si="81"/>
        <v>0</v>
      </c>
      <c r="F275" s="167">
        <f t="shared" si="81"/>
        <v>0</v>
      </c>
      <c r="G275" s="168">
        <f t="shared" si="81"/>
        <v>0</v>
      </c>
      <c r="H275" s="169">
        <f t="shared" si="81"/>
        <v>0</v>
      </c>
      <c r="I275" s="169" t="e">
        <f t="shared" ca="1" si="73"/>
        <v>#VALUE!</v>
      </c>
      <c r="J275" s="169">
        <f t="shared" si="82"/>
        <v>0</v>
      </c>
      <c r="K275" s="170">
        <f t="shared" si="82"/>
        <v>0</v>
      </c>
      <c r="L275" s="169">
        <f t="shared" si="82"/>
        <v>0</v>
      </c>
      <c r="M275" s="169">
        <f t="shared" si="82"/>
        <v>0</v>
      </c>
      <c r="N275" s="169" t="e">
        <f t="shared" ca="1" si="74"/>
        <v>#VALUE!</v>
      </c>
      <c r="O275" s="171" t="str">
        <f t="shared" si="75"/>
        <v/>
      </c>
      <c r="P275" s="171" t="str">
        <f t="shared" ca="1" si="76"/>
        <v/>
      </c>
      <c r="Q275" s="170">
        <f t="shared" ca="1" si="77"/>
        <v>0</v>
      </c>
      <c r="R275" s="170">
        <f t="shared" ca="1" si="78"/>
        <v>0</v>
      </c>
      <c r="S275" s="171" t="b">
        <f t="shared" si="79"/>
        <v>0</v>
      </c>
      <c r="T275" s="171" t="b">
        <f t="shared" ca="1" si="80"/>
        <v>0</v>
      </c>
      <c r="U275" s="172"/>
    </row>
    <row r="276" spans="1:21" hidden="1">
      <c r="A276" s="143">
        <v>308</v>
      </c>
      <c r="B276" s="167">
        <f t="shared" si="81"/>
        <v>0</v>
      </c>
      <c r="C276" s="167">
        <f t="shared" si="81"/>
        <v>0</v>
      </c>
      <c r="D276" s="167">
        <f t="shared" si="81"/>
        <v>0</v>
      </c>
      <c r="E276" s="168">
        <f t="shared" si="81"/>
        <v>0</v>
      </c>
      <c r="F276" s="167">
        <f t="shared" si="81"/>
        <v>0</v>
      </c>
      <c r="G276" s="168">
        <f t="shared" si="81"/>
        <v>0</v>
      </c>
      <c r="H276" s="169">
        <f t="shared" si="81"/>
        <v>0</v>
      </c>
      <c r="I276" s="169" t="e">
        <f t="shared" ca="1" si="73"/>
        <v>#VALUE!</v>
      </c>
      <c r="J276" s="169">
        <f t="shared" si="82"/>
        <v>0</v>
      </c>
      <c r="K276" s="170">
        <f t="shared" si="82"/>
        <v>0</v>
      </c>
      <c r="L276" s="169">
        <f t="shared" si="82"/>
        <v>0</v>
      </c>
      <c r="M276" s="169">
        <f t="shared" si="82"/>
        <v>0</v>
      </c>
      <c r="N276" s="169" t="e">
        <f t="shared" ca="1" si="74"/>
        <v>#VALUE!</v>
      </c>
      <c r="O276" s="171" t="str">
        <f t="shared" si="75"/>
        <v/>
      </c>
      <c r="P276" s="171" t="str">
        <f t="shared" ca="1" si="76"/>
        <v/>
      </c>
      <c r="Q276" s="170">
        <f t="shared" ca="1" si="77"/>
        <v>0</v>
      </c>
      <c r="R276" s="170">
        <f t="shared" ca="1" si="78"/>
        <v>0</v>
      </c>
      <c r="S276" s="171" t="b">
        <f t="shared" si="79"/>
        <v>0</v>
      </c>
      <c r="T276" s="171" t="b">
        <f t="shared" ca="1" si="80"/>
        <v>0</v>
      </c>
      <c r="U276" s="172"/>
    </row>
    <row r="277" spans="1:21" hidden="1">
      <c r="A277" s="143">
        <v>322</v>
      </c>
      <c r="B277" s="167">
        <f t="shared" si="81"/>
        <v>0</v>
      </c>
      <c r="C277" s="167">
        <f t="shared" si="81"/>
        <v>0</v>
      </c>
      <c r="D277" s="167">
        <f t="shared" si="81"/>
        <v>0</v>
      </c>
      <c r="E277" s="168">
        <f t="shared" si="81"/>
        <v>0</v>
      </c>
      <c r="F277" s="167">
        <f t="shared" si="81"/>
        <v>0</v>
      </c>
      <c r="G277" s="168">
        <f t="shared" si="81"/>
        <v>0</v>
      </c>
      <c r="H277" s="169">
        <f t="shared" si="81"/>
        <v>0</v>
      </c>
      <c r="I277" s="169" t="e">
        <f t="shared" ca="1" si="73"/>
        <v>#VALUE!</v>
      </c>
      <c r="J277" s="169">
        <f t="shared" si="82"/>
        <v>0</v>
      </c>
      <c r="K277" s="170">
        <f t="shared" si="82"/>
        <v>0</v>
      </c>
      <c r="L277" s="169">
        <f t="shared" si="82"/>
        <v>0</v>
      </c>
      <c r="M277" s="169">
        <f t="shared" si="82"/>
        <v>0</v>
      </c>
      <c r="N277" s="169" t="e">
        <f t="shared" ca="1" si="74"/>
        <v>#VALUE!</v>
      </c>
      <c r="O277" s="171" t="str">
        <f t="shared" si="75"/>
        <v/>
      </c>
      <c r="P277" s="171" t="str">
        <f t="shared" ca="1" si="76"/>
        <v/>
      </c>
      <c r="Q277" s="170">
        <f t="shared" ca="1" si="77"/>
        <v>0</v>
      </c>
      <c r="R277" s="170">
        <f t="shared" ca="1" si="78"/>
        <v>0</v>
      </c>
      <c r="S277" s="171" t="b">
        <f t="shared" si="79"/>
        <v>0</v>
      </c>
      <c r="T277" s="171" t="b">
        <f t="shared" ca="1" si="80"/>
        <v>0</v>
      </c>
      <c r="U277" s="172"/>
    </row>
    <row r="278" spans="1:21" hidden="1">
      <c r="A278" s="143">
        <v>346</v>
      </c>
      <c r="B278" s="167">
        <f t="shared" si="81"/>
        <v>0</v>
      </c>
      <c r="C278" s="167">
        <f t="shared" si="81"/>
        <v>0</v>
      </c>
      <c r="D278" s="167">
        <f t="shared" si="81"/>
        <v>0</v>
      </c>
      <c r="E278" s="168">
        <f t="shared" si="81"/>
        <v>0</v>
      </c>
      <c r="F278" s="167">
        <f t="shared" si="81"/>
        <v>0</v>
      </c>
      <c r="G278" s="168">
        <f t="shared" si="81"/>
        <v>0</v>
      </c>
      <c r="H278" s="169">
        <f t="shared" si="81"/>
        <v>0</v>
      </c>
      <c r="I278" s="169" t="e">
        <f t="shared" ca="1" si="73"/>
        <v>#VALUE!</v>
      </c>
      <c r="J278" s="169">
        <f t="shared" si="82"/>
        <v>0</v>
      </c>
      <c r="K278" s="170">
        <f t="shared" si="82"/>
        <v>0</v>
      </c>
      <c r="L278" s="169">
        <f t="shared" si="82"/>
        <v>0</v>
      </c>
      <c r="M278" s="169">
        <f t="shared" si="82"/>
        <v>0</v>
      </c>
      <c r="N278" s="169" t="e">
        <f t="shared" ca="1" si="74"/>
        <v>#VALUE!</v>
      </c>
      <c r="O278" s="171" t="str">
        <f t="shared" si="75"/>
        <v/>
      </c>
      <c r="P278" s="171" t="str">
        <f t="shared" ca="1" si="76"/>
        <v/>
      </c>
      <c r="Q278" s="170">
        <f t="shared" ca="1" si="77"/>
        <v>0</v>
      </c>
      <c r="R278" s="170">
        <f t="shared" ca="1" si="78"/>
        <v>0</v>
      </c>
      <c r="S278" s="171" t="b">
        <f t="shared" si="79"/>
        <v>0</v>
      </c>
      <c r="T278" s="171" t="b">
        <f t="shared" ca="1" si="80"/>
        <v>0</v>
      </c>
      <c r="U278" s="172"/>
    </row>
    <row r="279" spans="1:21" hidden="1">
      <c r="A279" s="143">
        <v>360</v>
      </c>
      <c r="B279" s="167">
        <f t="shared" si="81"/>
        <v>0</v>
      </c>
      <c r="C279" s="167">
        <f t="shared" si="81"/>
        <v>0</v>
      </c>
      <c r="D279" s="167">
        <f t="shared" si="81"/>
        <v>0</v>
      </c>
      <c r="E279" s="168">
        <f t="shared" si="81"/>
        <v>0</v>
      </c>
      <c r="F279" s="167">
        <f t="shared" si="81"/>
        <v>0</v>
      </c>
      <c r="G279" s="168">
        <f t="shared" si="81"/>
        <v>0</v>
      </c>
      <c r="H279" s="169">
        <f t="shared" si="81"/>
        <v>0</v>
      </c>
      <c r="I279" s="169" t="e">
        <f t="shared" ca="1" si="73"/>
        <v>#VALUE!</v>
      </c>
      <c r="J279" s="169">
        <f t="shared" si="82"/>
        <v>0</v>
      </c>
      <c r="K279" s="170">
        <f t="shared" si="82"/>
        <v>0</v>
      </c>
      <c r="L279" s="169">
        <f t="shared" si="82"/>
        <v>0</v>
      </c>
      <c r="M279" s="169">
        <f t="shared" si="82"/>
        <v>0</v>
      </c>
      <c r="N279" s="169" t="e">
        <f t="shared" ca="1" si="74"/>
        <v>#VALUE!</v>
      </c>
      <c r="O279" s="171" t="str">
        <f t="shared" si="75"/>
        <v/>
      </c>
      <c r="P279" s="171" t="str">
        <f t="shared" ca="1" si="76"/>
        <v/>
      </c>
      <c r="Q279" s="170">
        <f t="shared" ca="1" si="77"/>
        <v>0</v>
      </c>
      <c r="R279" s="170">
        <f t="shared" ca="1" si="78"/>
        <v>0</v>
      </c>
      <c r="S279" s="171" t="b">
        <f t="shared" si="79"/>
        <v>0</v>
      </c>
      <c r="T279" s="171" t="b">
        <f t="shared" ca="1" si="80"/>
        <v>0</v>
      </c>
      <c r="U279" s="172"/>
    </row>
    <row r="280" spans="1:21" hidden="1">
      <c r="A280" s="143">
        <v>374</v>
      </c>
      <c r="B280" s="167">
        <f t="shared" si="81"/>
        <v>0</v>
      </c>
      <c r="C280" s="167">
        <f t="shared" si="81"/>
        <v>0</v>
      </c>
      <c r="D280" s="167">
        <f t="shared" si="81"/>
        <v>0</v>
      </c>
      <c r="E280" s="168">
        <f t="shared" si="81"/>
        <v>0</v>
      </c>
      <c r="F280" s="167">
        <f t="shared" si="81"/>
        <v>0</v>
      </c>
      <c r="G280" s="168">
        <f t="shared" si="81"/>
        <v>0</v>
      </c>
      <c r="H280" s="169">
        <f t="shared" si="81"/>
        <v>0</v>
      </c>
      <c r="I280" s="169" t="e">
        <f t="shared" ca="1" si="73"/>
        <v>#VALUE!</v>
      </c>
      <c r="J280" s="169">
        <f t="shared" si="82"/>
        <v>0</v>
      </c>
      <c r="K280" s="170">
        <f t="shared" si="82"/>
        <v>0</v>
      </c>
      <c r="L280" s="169">
        <f t="shared" si="82"/>
        <v>0</v>
      </c>
      <c r="M280" s="169">
        <f t="shared" si="82"/>
        <v>0</v>
      </c>
      <c r="N280" s="169" t="e">
        <f t="shared" ca="1" si="74"/>
        <v>#VALUE!</v>
      </c>
      <c r="O280" s="171" t="str">
        <f t="shared" si="75"/>
        <v/>
      </c>
      <c r="P280" s="171" t="str">
        <f t="shared" ca="1" si="76"/>
        <v/>
      </c>
      <c r="Q280" s="170">
        <f t="shared" ca="1" si="77"/>
        <v>0</v>
      </c>
      <c r="R280" s="170">
        <f t="shared" ca="1" si="78"/>
        <v>0</v>
      </c>
      <c r="S280" s="171" t="b">
        <f t="shared" si="79"/>
        <v>0</v>
      </c>
      <c r="T280" s="171" t="b">
        <f t="shared" ca="1" si="80"/>
        <v>0</v>
      </c>
      <c r="U280" s="172"/>
    </row>
    <row r="281" spans="1:21" hidden="1">
      <c r="A281" s="143">
        <v>388</v>
      </c>
      <c r="B281" s="167">
        <f t="shared" ref="B281:H290" si="83">IF($A281&lt;=$A$8,INDEX(Import.PO,$A281,B$8),0)</f>
        <v>0</v>
      </c>
      <c r="C281" s="167">
        <f t="shared" si="83"/>
        <v>0</v>
      </c>
      <c r="D281" s="167">
        <f t="shared" si="83"/>
        <v>0</v>
      </c>
      <c r="E281" s="168">
        <f t="shared" si="83"/>
        <v>0</v>
      </c>
      <c r="F281" s="167">
        <f t="shared" si="83"/>
        <v>0</v>
      </c>
      <c r="G281" s="168">
        <f t="shared" si="83"/>
        <v>0</v>
      </c>
      <c r="H281" s="169">
        <f t="shared" si="83"/>
        <v>0</v>
      </c>
      <c r="I281" s="169" t="e">
        <f t="shared" ca="1" si="73"/>
        <v>#VALUE!</v>
      </c>
      <c r="J281" s="169">
        <f t="shared" si="82"/>
        <v>0</v>
      </c>
      <c r="K281" s="170">
        <f t="shared" si="82"/>
        <v>0</v>
      </c>
      <c r="L281" s="169">
        <f t="shared" si="82"/>
        <v>0</v>
      </c>
      <c r="M281" s="169">
        <f t="shared" si="82"/>
        <v>0</v>
      </c>
      <c r="N281" s="169" t="e">
        <f t="shared" ca="1" si="74"/>
        <v>#VALUE!</v>
      </c>
      <c r="O281" s="171" t="str">
        <f t="shared" si="75"/>
        <v/>
      </c>
      <c r="P281" s="171" t="str">
        <f t="shared" ca="1" si="76"/>
        <v/>
      </c>
      <c r="Q281" s="170">
        <f t="shared" ca="1" si="77"/>
        <v>0</v>
      </c>
      <c r="R281" s="170">
        <f t="shared" ca="1" si="78"/>
        <v>0</v>
      </c>
      <c r="S281" s="171" t="b">
        <f t="shared" si="79"/>
        <v>0</v>
      </c>
      <c r="T281" s="171" t="b">
        <f t="shared" ca="1" si="80"/>
        <v>0</v>
      </c>
      <c r="U281" s="172"/>
    </row>
    <row r="282" spans="1:21" hidden="1">
      <c r="A282" s="143">
        <v>402</v>
      </c>
      <c r="B282" s="167">
        <f t="shared" si="83"/>
        <v>0</v>
      </c>
      <c r="C282" s="167">
        <f t="shared" si="83"/>
        <v>0</v>
      </c>
      <c r="D282" s="167">
        <f t="shared" si="83"/>
        <v>0</v>
      </c>
      <c r="E282" s="168">
        <f t="shared" si="83"/>
        <v>0</v>
      </c>
      <c r="F282" s="167">
        <f t="shared" si="83"/>
        <v>0</v>
      </c>
      <c r="G282" s="168">
        <f t="shared" si="83"/>
        <v>0</v>
      </c>
      <c r="H282" s="169">
        <f t="shared" si="83"/>
        <v>0</v>
      </c>
      <c r="I282" s="169" t="e">
        <f t="shared" ca="1" si="73"/>
        <v>#VALUE!</v>
      </c>
      <c r="J282" s="169">
        <f t="shared" si="82"/>
        <v>0</v>
      </c>
      <c r="K282" s="170">
        <f t="shared" si="82"/>
        <v>0</v>
      </c>
      <c r="L282" s="169">
        <f t="shared" si="82"/>
        <v>0</v>
      </c>
      <c r="M282" s="169">
        <f t="shared" si="82"/>
        <v>0</v>
      </c>
      <c r="N282" s="169" t="e">
        <f t="shared" ca="1" si="74"/>
        <v>#VALUE!</v>
      </c>
      <c r="O282" s="171" t="str">
        <f t="shared" si="75"/>
        <v/>
      </c>
      <c r="P282" s="171" t="str">
        <f t="shared" ca="1" si="76"/>
        <v/>
      </c>
      <c r="Q282" s="170">
        <f t="shared" ca="1" si="77"/>
        <v>0</v>
      </c>
      <c r="R282" s="170">
        <f t="shared" ca="1" si="78"/>
        <v>0</v>
      </c>
      <c r="S282" s="171" t="b">
        <f t="shared" si="79"/>
        <v>0</v>
      </c>
      <c r="T282" s="171" t="b">
        <f t="shared" ca="1" si="80"/>
        <v>0</v>
      </c>
      <c r="U282" s="172"/>
    </row>
    <row r="283" spans="1:21" hidden="1">
      <c r="A283" s="143">
        <v>416</v>
      </c>
      <c r="B283" s="167">
        <f t="shared" si="83"/>
        <v>0</v>
      </c>
      <c r="C283" s="167">
        <f t="shared" si="83"/>
        <v>0</v>
      </c>
      <c r="D283" s="167">
        <f t="shared" si="83"/>
        <v>0</v>
      </c>
      <c r="E283" s="168">
        <f t="shared" si="83"/>
        <v>0</v>
      </c>
      <c r="F283" s="167">
        <f t="shared" si="83"/>
        <v>0</v>
      </c>
      <c r="G283" s="168">
        <f t="shared" si="83"/>
        <v>0</v>
      </c>
      <c r="H283" s="169">
        <f t="shared" si="83"/>
        <v>0</v>
      </c>
      <c r="I283" s="169" t="e">
        <f t="shared" ca="1" si="73"/>
        <v>#VALUE!</v>
      </c>
      <c r="J283" s="169">
        <f t="shared" si="82"/>
        <v>0</v>
      </c>
      <c r="K283" s="170">
        <f t="shared" si="82"/>
        <v>0</v>
      </c>
      <c r="L283" s="169">
        <f t="shared" si="82"/>
        <v>0</v>
      </c>
      <c r="M283" s="169">
        <f t="shared" si="82"/>
        <v>0</v>
      </c>
      <c r="N283" s="169" t="e">
        <f t="shared" ca="1" si="74"/>
        <v>#VALUE!</v>
      </c>
      <c r="O283" s="171" t="str">
        <f t="shared" si="75"/>
        <v/>
      </c>
      <c r="P283" s="171" t="str">
        <f t="shared" ca="1" si="76"/>
        <v/>
      </c>
      <c r="Q283" s="170">
        <f t="shared" ca="1" si="77"/>
        <v>0</v>
      </c>
      <c r="R283" s="170">
        <f t="shared" ca="1" si="78"/>
        <v>0</v>
      </c>
      <c r="S283" s="171" t="b">
        <f t="shared" si="79"/>
        <v>0</v>
      </c>
      <c r="T283" s="171" t="b">
        <f t="shared" ca="1" si="80"/>
        <v>0</v>
      </c>
      <c r="U283" s="172"/>
    </row>
    <row r="284" spans="1:21" hidden="1">
      <c r="A284" s="143">
        <v>434</v>
      </c>
      <c r="B284" s="167">
        <f t="shared" si="83"/>
        <v>0</v>
      </c>
      <c r="C284" s="167">
        <f t="shared" si="83"/>
        <v>0</v>
      </c>
      <c r="D284" s="167">
        <f t="shared" si="83"/>
        <v>0</v>
      </c>
      <c r="E284" s="168">
        <f t="shared" si="83"/>
        <v>0</v>
      </c>
      <c r="F284" s="167">
        <f t="shared" si="83"/>
        <v>0</v>
      </c>
      <c r="G284" s="168">
        <f t="shared" si="83"/>
        <v>0</v>
      </c>
      <c r="H284" s="169">
        <f t="shared" si="83"/>
        <v>0</v>
      </c>
      <c r="I284" s="169" t="e">
        <f t="shared" ca="1" si="73"/>
        <v>#VALUE!</v>
      </c>
      <c r="J284" s="169">
        <f t="shared" si="82"/>
        <v>0</v>
      </c>
      <c r="K284" s="170">
        <f t="shared" si="82"/>
        <v>0</v>
      </c>
      <c r="L284" s="169">
        <f t="shared" si="82"/>
        <v>0</v>
      </c>
      <c r="M284" s="169">
        <f t="shared" si="82"/>
        <v>0</v>
      </c>
      <c r="N284" s="169" t="e">
        <f t="shared" ca="1" si="74"/>
        <v>#VALUE!</v>
      </c>
      <c r="O284" s="171" t="str">
        <f t="shared" si="75"/>
        <v/>
      </c>
      <c r="P284" s="171" t="str">
        <f t="shared" ca="1" si="76"/>
        <v/>
      </c>
      <c r="Q284" s="170">
        <f t="shared" ca="1" si="77"/>
        <v>0</v>
      </c>
      <c r="R284" s="170">
        <f t="shared" ca="1" si="78"/>
        <v>0</v>
      </c>
      <c r="S284" s="171" t="b">
        <f t="shared" si="79"/>
        <v>0</v>
      </c>
      <c r="T284" s="171" t="b">
        <f t="shared" ca="1" si="80"/>
        <v>0</v>
      </c>
      <c r="U284" s="172"/>
    </row>
    <row r="285" spans="1:21" hidden="1">
      <c r="A285" s="143">
        <v>457</v>
      </c>
      <c r="B285" s="167">
        <f t="shared" si="83"/>
        <v>0</v>
      </c>
      <c r="C285" s="167">
        <f t="shared" si="83"/>
        <v>0</v>
      </c>
      <c r="D285" s="167">
        <f t="shared" si="83"/>
        <v>0</v>
      </c>
      <c r="E285" s="168">
        <f t="shared" si="83"/>
        <v>0</v>
      </c>
      <c r="F285" s="167">
        <f t="shared" si="83"/>
        <v>0</v>
      </c>
      <c r="G285" s="168">
        <f t="shared" si="83"/>
        <v>0</v>
      </c>
      <c r="H285" s="169">
        <f t="shared" si="83"/>
        <v>0</v>
      </c>
      <c r="I285" s="169" t="e">
        <f t="shared" ca="1" si="73"/>
        <v>#VALUE!</v>
      </c>
      <c r="J285" s="169">
        <f t="shared" si="82"/>
        <v>0</v>
      </c>
      <c r="K285" s="170">
        <f t="shared" si="82"/>
        <v>0</v>
      </c>
      <c r="L285" s="169">
        <f t="shared" si="82"/>
        <v>0</v>
      </c>
      <c r="M285" s="169">
        <f t="shared" si="82"/>
        <v>0</v>
      </c>
      <c r="N285" s="169" t="e">
        <f t="shared" ca="1" si="74"/>
        <v>#VALUE!</v>
      </c>
      <c r="O285" s="171" t="str">
        <f t="shared" si="75"/>
        <v/>
      </c>
      <c r="P285" s="171" t="str">
        <f t="shared" ca="1" si="76"/>
        <v/>
      </c>
      <c r="Q285" s="170">
        <f t="shared" ca="1" si="77"/>
        <v>0</v>
      </c>
      <c r="R285" s="170">
        <f t="shared" ca="1" si="78"/>
        <v>0</v>
      </c>
      <c r="S285" s="171" t="b">
        <f t="shared" si="79"/>
        <v>0</v>
      </c>
      <c r="T285" s="171" t="b">
        <f t="shared" ca="1" si="80"/>
        <v>0</v>
      </c>
      <c r="U285" s="172"/>
    </row>
    <row r="286" spans="1:21" hidden="1">
      <c r="A286" s="143">
        <v>188</v>
      </c>
      <c r="B286" s="167">
        <f t="shared" si="83"/>
        <v>0</v>
      </c>
      <c r="C286" s="167">
        <f t="shared" si="83"/>
        <v>0</v>
      </c>
      <c r="D286" s="167">
        <f t="shared" si="83"/>
        <v>0</v>
      </c>
      <c r="E286" s="168">
        <f t="shared" si="83"/>
        <v>0</v>
      </c>
      <c r="F286" s="167">
        <f t="shared" si="83"/>
        <v>0</v>
      </c>
      <c r="G286" s="168">
        <f t="shared" si="83"/>
        <v>0</v>
      </c>
      <c r="H286" s="169">
        <f t="shared" si="83"/>
        <v>0</v>
      </c>
      <c r="I286" s="169" t="e">
        <f t="shared" ca="1" si="73"/>
        <v>#VALUE!</v>
      </c>
      <c r="J286" s="169">
        <f t="shared" si="82"/>
        <v>0</v>
      </c>
      <c r="K286" s="170">
        <f t="shared" si="82"/>
        <v>0</v>
      </c>
      <c r="L286" s="169">
        <f t="shared" si="82"/>
        <v>0</v>
      </c>
      <c r="M286" s="169">
        <f t="shared" si="82"/>
        <v>0</v>
      </c>
      <c r="N286" s="169" t="e">
        <f t="shared" ca="1" si="74"/>
        <v>#VALUE!</v>
      </c>
      <c r="O286" s="171" t="str">
        <f t="shared" si="75"/>
        <v/>
      </c>
      <c r="P286" s="171" t="str">
        <f t="shared" ca="1" si="76"/>
        <v/>
      </c>
      <c r="Q286" s="170">
        <f t="shared" ca="1" si="77"/>
        <v>0</v>
      </c>
      <c r="R286" s="170">
        <f t="shared" ca="1" si="78"/>
        <v>0</v>
      </c>
      <c r="S286" s="171" t="b">
        <f t="shared" si="79"/>
        <v>0</v>
      </c>
      <c r="T286" s="171" t="b">
        <f t="shared" ca="1" si="80"/>
        <v>0</v>
      </c>
      <c r="U286" s="172"/>
    </row>
    <row r="287" spans="1:21" hidden="1">
      <c r="A287" s="143">
        <v>251</v>
      </c>
      <c r="B287" s="167">
        <f t="shared" si="83"/>
        <v>0</v>
      </c>
      <c r="C287" s="167">
        <f t="shared" si="83"/>
        <v>0</v>
      </c>
      <c r="D287" s="167">
        <f t="shared" si="83"/>
        <v>0</v>
      </c>
      <c r="E287" s="168">
        <f t="shared" si="83"/>
        <v>0</v>
      </c>
      <c r="F287" s="167">
        <f t="shared" si="83"/>
        <v>0</v>
      </c>
      <c r="G287" s="168">
        <f t="shared" si="83"/>
        <v>0</v>
      </c>
      <c r="H287" s="169">
        <f t="shared" si="83"/>
        <v>0</v>
      </c>
      <c r="I287" s="169" t="e">
        <f t="shared" ca="1" si="73"/>
        <v>#VALUE!</v>
      </c>
      <c r="J287" s="169">
        <f t="shared" si="82"/>
        <v>0</v>
      </c>
      <c r="K287" s="170">
        <f t="shared" si="82"/>
        <v>0</v>
      </c>
      <c r="L287" s="169">
        <f t="shared" si="82"/>
        <v>0</v>
      </c>
      <c r="M287" s="169">
        <f t="shared" si="82"/>
        <v>0</v>
      </c>
      <c r="N287" s="169" t="e">
        <f t="shared" ca="1" si="74"/>
        <v>#VALUE!</v>
      </c>
      <c r="O287" s="171" t="str">
        <f t="shared" si="75"/>
        <v/>
      </c>
      <c r="P287" s="171" t="str">
        <f t="shared" ca="1" si="76"/>
        <v/>
      </c>
      <c r="Q287" s="170">
        <f t="shared" ca="1" si="77"/>
        <v>0</v>
      </c>
      <c r="R287" s="170">
        <f t="shared" ca="1" si="78"/>
        <v>0</v>
      </c>
      <c r="S287" s="171" t="b">
        <f t="shared" si="79"/>
        <v>0</v>
      </c>
      <c r="T287" s="171" t="b">
        <f t="shared" ca="1" si="80"/>
        <v>0</v>
      </c>
      <c r="U287" s="172"/>
    </row>
    <row r="288" spans="1:21" hidden="1">
      <c r="A288" s="143">
        <v>101</v>
      </c>
      <c r="B288" s="167">
        <f t="shared" si="83"/>
        <v>0</v>
      </c>
      <c r="C288" s="167">
        <f t="shared" si="83"/>
        <v>0</v>
      </c>
      <c r="D288" s="167">
        <f t="shared" si="83"/>
        <v>0</v>
      </c>
      <c r="E288" s="168">
        <f t="shared" si="83"/>
        <v>0</v>
      </c>
      <c r="F288" s="167">
        <f t="shared" si="83"/>
        <v>0</v>
      </c>
      <c r="G288" s="168">
        <f t="shared" si="83"/>
        <v>0</v>
      </c>
      <c r="H288" s="169">
        <f t="shared" si="83"/>
        <v>0</v>
      </c>
      <c r="I288" s="169" t="e">
        <f t="shared" ca="1" si="73"/>
        <v>#VALUE!</v>
      </c>
      <c r="J288" s="169">
        <f t="shared" si="82"/>
        <v>0</v>
      </c>
      <c r="K288" s="170">
        <f t="shared" si="82"/>
        <v>0</v>
      </c>
      <c r="L288" s="169">
        <f t="shared" si="82"/>
        <v>0</v>
      </c>
      <c r="M288" s="169">
        <f t="shared" si="82"/>
        <v>0</v>
      </c>
      <c r="N288" s="169" t="e">
        <f t="shared" ca="1" si="74"/>
        <v>#VALUE!</v>
      </c>
      <c r="O288" s="171" t="str">
        <f t="shared" si="75"/>
        <v/>
      </c>
      <c r="P288" s="171" t="str">
        <f t="shared" ca="1" si="76"/>
        <v/>
      </c>
      <c r="Q288" s="170">
        <f t="shared" ca="1" si="77"/>
        <v>0</v>
      </c>
      <c r="R288" s="170">
        <f t="shared" ca="1" si="78"/>
        <v>0</v>
      </c>
      <c r="S288" s="171" t="b">
        <f t="shared" si="79"/>
        <v>0</v>
      </c>
      <c r="T288" s="171" t="b">
        <f t="shared" ca="1" si="80"/>
        <v>0</v>
      </c>
      <c r="U288" s="172"/>
    </row>
    <row r="289" spans="1:21" hidden="1">
      <c r="A289" s="143">
        <v>153</v>
      </c>
      <c r="B289" s="167">
        <f t="shared" si="83"/>
        <v>0</v>
      </c>
      <c r="C289" s="167">
        <f t="shared" si="83"/>
        <v>0</v>
      </c>
      <c r="D289" s="167">
        <f t="shared" si="83"/>
        <v>0</v>
      </c>
      <c r="E289" s="168">
        <f t="shared" si="83"/>
        <v>0</v>
      </c>
      <c r="F289" s="167">
        <f t="shared" si="83"/>
        <v>0</v>
      </c>
      <c r="G289" s="168">
        <f t="shared" si="83"/>
        <v>0</v>
      </c>
      <c r="H289" s="169">
        <f t="shared" si="83"/>
        <v>0</v>
      </c>
      <c r="I289" s="169" t="e">
        <f t="shared" ca="1" si="73"/>
        <v>#VALUE!</v>
      </c>
      <c r="J289" s="169">
        <f t="shared" si="82"/>
        <v>0</v>
      </c>
      <c r="K289" s="170">
        <f t="shared" si="82"/>
        <v>0</v>
      </c>
      <c r="L289" s="169">
        <f t="shared" si="82"/>
        <v>0</v>
      </c>
      <c r="M289" s="169">
        <f t="shared" si="82"/>
        <v>0</v>
      </c>
      <c r="N289" s="169" t="e">
        <f t="shared" ca="1" si="74"/>
        <v>#VALUE!</v>
      </c>
      <c r="O289" s="171" t="str">
        <f t="shared" si="75"/>
        <v/>
      </c>
      <c r="P289" s="171" t="str">
        <f t="shared" ca="1" si="76"/>
        <v/>
      </c>
      <c r="Q289" s="170">
        <f t="shared" ca="1" si="77"/>
        <v>0</v>
      </c>
      <c r="R289" s="170">
        <f t="shared" ca="1" si="78"/>
        <v>0</v>
      </c>
      <c r="S289" s="171" t="b">
        <f t="shared" si="79"/>
        <v>0</v>
      </c>
      <c r="T289" s="171" t="b">
        <f t="shared" ca="1" si="80"/>
        <v>0</v>
      </c>
      <c r="U289" s="172"/>
    </row>
    <row r="290" spans="1:21" hidden="1">
      <c r="A290" s="143">
        <v>223</v>
      </c>
      <c r="B290" s="167">
        <f t="shared" si="83"/>
        <v>0</v>
      </c>
      <c r="C290" s="167">
        <f t="shared" si="83"/>
        <v>0</v>
      </c>
      <c r="D290" s="167">
        <f t="shared" si="83"/>
        <v>0</v>
      </c>
      <c r="E290" s="168">
        <f t="shared" si="83"/>
        <v>0</v>
      </c>
      <c r="F290" s="167">
        <f t="shared" si="83"/>
        <v>0</v>
      </c>
      <c r="G290" s="168">
        <f t="shared" si="83"/>
        <v>0</v>
      </c>
      <c r="H290" s="169">
        <f t="shared" si="83"/>
        <v>0</v>
      </c>
      <c r="I290" s="169" t="e">
        <f t="shared" ca="1" si="73"/>
        <v>#VALUE!</v>
      </c>
      <c r="J290" s="169">
        <f t="shared" si="82"/>
        <v>0</v>
      </c>
      <c r="K290" s="170">
        <f t="shared" si="82"/>
        <v>0</v>
      </c>
      <c r="L290" s="169">
        <f t="shared" si="82"/>
        <v>0</v>
      </c>
      <c r="M290" s="169">
        <f t="shared" si="82"/>
        <v>0</v>
      </c>
      <c r="N290" s="169" t="e">
        <f t="shared" ca="1" si="74"/>
        <v>#VALUE!</v>
      </c>
      <c r="O290" s="171" t="str">
        <f t="shared" si="75"/>
        <v/>
      </c>
      <c r="P290" s="171" t="str">
        <f t="shared" ca="1" si="76"/>
        <v/>
      </c>
      <c r="Q290" s="170">
        <f t="shared" ca="1" si="77"/>
        <v>0</v>
      </c>
      <c r="R290" s="170">
        <f t="shared" ca="1" si="78"/>
        <v>0</v>
      </c>
      <c r="S290" s="171" t="b">
        <f t="shared" si="79"/>
        <v>0</v>
      </c>
      <c r="T290" s="171" t="b">
        <f t="shared" ca="1" si="80"/>
        <v>0</v>
      </c>
      <c r="U290" s="172"/>
    </row>
    <row r="291" spans="1:21" hidden="1">
      <c r="A291" s="143">
        <v>300</v>
      </c>
      <c r="B291" s="167">
        <f t="shared" ref="B291:H300" si="84">IF($A291&lt;=$A$8,INDEX(Import.PO,$A291,B$8),0)</f>
        <v>0</v>
      </c>
      <c r="C291" s="167">
        <f t="shared" si="84"/>
        <v>0</v>
      </c>
      <c r="D291" s="167">
        <f t="shared" si="84"/>
        <v>0</v>
      </c>
      <c r="E291" s="168">
        <f t="shared" si="84"/>
        <v>0</v>
      </c>
      <c r="F291" s="167">
        <f t="shared" si="84"/>
        <v>0</v>
      </c>
      <c r="G291" s="168">
        <f t="shared" si="84"/>
        <v>0</v>
      </c>
      <c r="H291" s="169">
        <f t="shared" si="84"/>
        <v>0</v>
      </c>
      <c r="I291" s="169" t="e">
        <f t="shared" ca="1" si="73"/>
        <v>#VALUE!</v>
      </c>
      <c r="J291" s="169">
        <f t="shared" ref="J291:M310" si="85">IF($A291&lt;=$A$8,INDEX(Import.PO,$A291,J$8),0)</f>
        <v>0</v>
      </c>
      <c r="K291" s="170">
        <f t="shared" si="85"/>
        <v>0</v>
      </c>
      <c r="L291" s="169">
        <f t="shared" si="85"/>
        <v>0</v>
      </c>
      <c r="M291" s="169">
        <f t="shared" si="85"/>
        <v>0</v>
      </c>
      <c r="N291" s="169" t="e">
        <f t="shared" ca="1" si="74"/>
        <v>#VALUE!</v>
      </c>
      <c r="O291" s="171" t="str">
        <f t="shared" si="75"/>
        <v/>
      </c>
      <c r="P291" s="171" t="str">
        <f t="shared" ca="1" si="76"/>
        <v/>
      </c>
      <c r="Q291" s="170">
        <f t="shared" ca="1" si="77"/>
        <v>0</v>
      </c>
      <c r="R291" s="170">
        <f t="shared" ca="1" si="78"/>
        <v>0</v>
      </c>
      <c r="S291" s="171" t="b">
        <f t="shared" si="79"/>
        <v>0</v>
      </c>
      <c r="T291" s="171" t="b">
        <f t="shared" ca="1" si="80"/>
        <v>0</v>
      </c>
      <c r="U291" s="172"/>
    </row>
    <row r="292" spans="1:21" hidden="1">
      <c r="A292" s="143">
        <v>28</v>
      </c>
      <c r="B292" s="167">
        <f t="shared" si="84"/>
        <v>0</v>
      </c>
      <c r="C292" s="167">
        <f t="shared" si="84"/>
        <v>0</v>
      </c>
      <c r="D292" s="167">
        <f t="shared" si="84"/>
        <v>0</v>
      </c>
      <c r="E292" s="168">
        <f t="shared" si="84"/>
        <v>0</v>
      </c>
      <c r="F292" s="167">
        <f t="shared" si="84"/>
        <v>0</v>
      </c>
      <c r="G292" s="168">
        <f t="shared" si="84"/>
        <v>0</v>
      </c>
      <c r="H292" s="169">
        <f t="shared" si="84"/>
        <v>0</v>
      </c>
      <c r="I292" s="169" t="e">
        <f t="shared" ca="1" si="73"/>
        <v>#VALUE!</v>
      </c>
      <c r="J292" s="169">
        <f t="shared" si="85"/>
        <v>0</v>
      </c>
      <c r="K292" s="170">
        <f t="shared" si="85"/>
        <v>0</v>
      </c>
      <c r="L292" s="169">
        <f t="shared" si="85"/>
        <v>0</v>
      </c>
      <c r="M292" s="169">
        <f t="shared" si="85"/>
        <v>0</v>
      </c>
      <c r="N292" s="169" t="e">
        <f t="shared" ca="1" si="74"/>
        <v>#VALUE!</v>
      </c>
      <c r="O292" s="171" t="str">
        <f t="shared" si="75"/>
        <v/>
      </c>
      <c r="P292" s="171" t="str">
        <f t="shared" ca="1" si="76"/>
        <v/>
      </c>
      <c r="Q292" s="170">
        <f t="shared" ca="1" si="77"/>
        <v>0</v>
      </c>
      <c r="R292" s="170">
        <f t="shared" ca="1" si="78"/>
        <v>0</v>
      </c>
      <c r="S292" s="171" t="b">
        <f t="shared" si="79"/>
        <v>0</v>
      </c>
      <c r="T292" s="171" t="b">
        <f t="shared" ca="1" si="80"/>
        <v>0</v>
      </c>
      <c r="U292" s="172"/>
    </row>
    <row r="293" spans="1:21" hidden="1">
      <c r="A293" s="143">
        <v>99</v>
      </c>
      <c r="B293" s="167">
        <f t="shared" si="84"/>
        <v>0</v>
      </c>
      <c r="C293" s="167">
        <f t="shared" si="84"/>
        <v>0</v>
      </c>
      <c r="D293" s="167">
        <f t="shared" si="84"/>
        <v>0</v>
      </c>
      <c r="E293" s="168">
        <f t="shared" si="84"/>
        <v>0</v>
      </c>
      <c r="F293" s="167">
        <f t="shared" si="84"/>
        <v>0</v>
      </c>
      <c r="G293" s="168">
        <f t="shared" si="84"/>
        <v>0</v>
      </c>
      <c r="H293" s="169">
        <f t="shared" si="84"/>
        <v>0</v>
      </c>
      <c r="I293" s="169" t="e">
        <f t="shared" ca="1" si="73"/>
        <v>#VALUE!</v>
      </c>
      <c r="J293" s="169">
        <f t="shared" si="85"/>
        <v>0</v>
      </c>
      <c r="K293" s="170">
        <f t="shared" si="85"/>
        <v>0</v>
      </c>
      <c r="L293" s="169">
        <f t="shared" si="85"/>
        <v>0</v>
      </c>
      <c r="M293" s="169">
        <f t="shared" si="85"/>
        <v>0</v>
      </c>
      <c r="N293" s="169" t="e">
        <f t="shared" ca="1" si="74"/>
        <v>#VALUE!</v>
      </c>
      <c r="O293" s="171" t="str">
        <f t="shared" si="75"/>
        <v/>
      </c>
      <c r="P293" s="171" t="str">
        <f t="shared" ca="1" si="76"/>
        <v/>
      </c>
      <c r="Q293" s="170">
        <f t="shared" ca="1" si="77"/>
        <v>0</v>
      </c>
      <c r="R293" s="170">
        <f t="shared" ca="1" si="78"/>
        <v>0</v>
      </c>
      <c r="S293" s="171" t="b">
        <f t="shared" si="79"/>
        <v>0</v>
      </c>
      <c r="T293" s="171" t="b">
        <f t="shared" ca="1" si="80"/>
        <v>0</v>
      </c>
      <c r="U293" s="172"/>
    </row>
    <row r="294" spans="1:21" hidden="1">
      <c r="A294" s="143">
        <v>151</v>
      </c>
      <c r="B294" s="167">
        <f t="shared" si="84"/>
        <v>0</v>
      </c>
      <c r="C294" s="167">
        <f t="shared" si="84"/>
        <v>0</v>
      </c>
      <c r="D294" s="167">
        <f t="shared" si="84"/>
        <v>0</v>
      </c>
      <c r="E294" s="168">
        <f t="shared" si="84"/>
        <v>0</v>
      </c>
      <c r="F294" s="167">
        <f t="shared" si="84"/>
        <v>0</v>
      </c>
      <c r="G294" s="168">
        <f t="shared" si="84"/>
        <v>0</v>
      </c>
      <c r="H294" s="169">
        <f t="shared" si="84"/>
        <v>0</v>
      </c>
      <c r="I294" s="169" t="e">
        <f t="shared" ca="1" si="73"/>
        <v>#VALUE!</v>
      </c>
      <c r="J294" s="169">
        <f t="shared" si="85"/>
        <v>0</v>
      </c>
      <c r="K294" s="170">
        <f t="shared" si="85"/>
        <v>0</v>
      </c>
      <c r="L294" s="169">
        <f t="shared" si="85"/>
        <v>0</v>
      </c>
      <c r="M294" s="169">
        <f t="shared" si="85"/>
        <v>0</v>
      </c>
      <c r="N294" s="169" t="e">
        <f t="shared" ca="1" si="74"/>
        <v>#VALUE!</v>
      </c>
      <c r="O294" s="171" t="str">
        <f t="shared" si="75"/>
        <v/>
      </c>
      <c r="P294" s="171" t="str">
        <f t="shared" ca="1" si="76"/>
        <v/>
      </c>
      <c r="Q294" s="170">
        <f t="shared" ca="1" si="77"/>
        <v>0</v>
      </c>
      <c r="R294" s="170">
        <f t="shared" ca="1" si="78"/>
        <v>0</v>
      </c>
      <c r="S294" s="171" t="b">
        <f t="shared" si="79"/>
        <v>0</v>
      </c>
      <c r="T294" s="171" t="b">
        <f t="shared" ca="1" si="80"/>
        <v>0</v>
      </c>
      <c r="U294" s="172"/>
    </row>
    <row r="295" spans="1:21" hidden="1">
      <c r="A295" s="143">
        <v>221</v>
      </c>
      <c r="B295" s="167">
        <f t="shared" si="84"/>
        <v>0</v>
      </c>
      <c r="C295" s="167">
        <f t="shared" si="84"/>
        <v>0</v>
      </c>
      <c r="D295" s="167">
        <f t="shared" si="84"/>
        <v>0</v>
      </c>
      <c r="E295" s="168">
        <f t="shared" si="84"/>
        <v>0</v>
      </c>
      <c r="F295" s="167">
        <f t="shared" si="84"/>
        <v>0</v>
      </c>
      <c r="G295" s="168">
        <f t="shared" si="84"/>
        <v>0</v>
      </c>
      <c r="H295" s="169">
        <f t="shared" si="84"/>
        <v>0</v>
      </c>
      <c r="I295" s="169" t="e">
        <f t="shared" ca="1" si="73"/>
        <v>#VALUE!</v>
      </c>
      <c r="J295" s="169">
        <f t="shared" si="85"/>
        <v>0</v>
      </c>
      <c r="K295" s="170">
        <f t="shared" si="85"/>
        <v>0</v>
      </c>
      <c r="L295" s="169">
        <f t="shared" si="85"/>
        <v>0</v>
      </c>
      <c r="M295" s="169">
        <f t="shared" si="85"/>
        <v>0</v>
      </c>
      <c r="N295" s="169" t="e">
        <f t="shared" ca="1" si="74"/>
        <v>#VALUE!</v>
      </c>
      <c r="O295" s="171" t="str">
        <f t="shared" si="75"/>
        <v/>
      </c>
      <c r="P295" s="171" t="str">
        <f t="shared" ca="1" si="76"/>
        <v/>
      </c>
      <c r="Q295" s="170">
        <f t="shared" ca="1" si="77"/>
        <v>0</v>
      </c>
      <c r="R295" s="170">
        <f t="shared" ca="1" si="78"/>
        <v>0</v>
      </c>
      <c r="S295" s="171" t="b">
        <f t="shared" si="79"/>
        <v>0</v>
      </c>
      <c r="T295" s="171" t="b">
        <f t="shared" ca="1" si="80"/>
        <v>0</v>
      </c>
      <c r="U295" s="172"/>
    </row>
    <row r="296" spans="1:21" hidden="1">
      <c r="A296" s="143">
        <v>298</v>
      </c>
      <c r="B296" s="167">
        <f t="shared" si="84"/>
        <v>0</v>
      </c>
      <c r="C296" s="167">
        <f t="shared" si="84"/>
        <v>0</v>
      </c>
      <c r="D296" s="167">
        <f t="shared" si="84"/>
        <v>0</v>
      </c>
      <c r="E296" s="168">
        <f t="shared" si="84"/>
        <v>0</v>
      </c>
      <c r="F296" s="167">
        <f t="shared" si="84"/>
        <v>0</v>
      </c>
      <c r="G296" s="168">
        <f t="shared" si="84"/>
        <v>0</v>
      </c>
      <c r="H296" s="169">
        <f t="shared" si="84"/>
        <v>0</v>
      </c>
      <c r="I296" s="169" t="e">
        <f t="shared" ca="1" si="73"/>
        <v>#VALUE!</v>
      </c>
      <c r="J296" s="169">
        <f t="shared" si="85"/>
        <v>0</v>
      </c>
      <c r="K296" s="170">
        <f t="shared" si="85"/>
        <v>0</v>
      </c>
      <c r="L296" s="169">
        <f t="shared" si="85"/>
        <v>0</v>
      </c>
      <c r="M296" s="169">
        <f t="shared" si="85"/>
        <v>0</v>
      </c>
      <c r="N296" s="169" t="e">
        <f t="shared" ca="1" si="74"/>
        <v>#VALUE!</v>
      </c>
      <c r="O296" s="171" t="str">
        <f t="shared" si="75"/>
        <v/>
      </c>
      <c r="P296" s="171" t="str">
        <f t="shared" ca="1" si="76"/>
        <v/>
      </c>
      <c r="Q296" s="170">
        <f t="shared" ca="1" si="77"/>
        <v>0</v>
      </c>
      <c r="R296" s="170">
        <f t="shared" ca="1" si="78"/>
        <v>0</v>
      </c>
      <c r="S296" s="171" t="b">
        <f t="shared" si="79"/>
        <v>0</v>
      </c>
      <c r="T296" s="171" t="b">
        <f t="shared" ca="1" si="80"/>
        <v>0</v>
      </c>
      <c r="U296" s="172"/>
    </row>
    <row r="297" spans="1:21" hidden="1">
      <c r="A297" s="143">
        <v>453</v>
      </c>
      <c r="B297" s="167">
        <f t="shared" si="84"/>
        <v>0</v>
      </c>
      <c r="C297" s="167">
        <f t="shared" si="84"/>
        <v>0</v>
      </c>
      <c r="D297" s="167">
        <f t="shared" si="84"/>
        <v>0</v>
      </c>
      <c r="E297" s="168">
        <f t="shared" si="84"/>
        <v>0</v>
      </c>
      <c r="F297" s="167">
        <f t="shared" si="84"/>
        <v>0</v>
      </c>
      <c r="G297" s="168">
        <f t="shared" si="84"/>
        <v>0</v>
      </c>
      <c r="H297" s="169">
        <f t="shared" si="84"/>
        <v>0</v>
      </c>
      <c r="I297" s="169" t="e">
        <f t="shared" ca="1" si="73"/>
        <v>#VALUE!</v>
      </c>
      <c r="J297" s="169">
        <f t="shared" si="85"/>
        <v>0</v>
      </c>
      <c r="K297" s="170">
        <f t="shared" si="85"/>
        <v>0</v>
      </c>
      <c r="L297" s="169">
        <f t="shared" si="85"/>
        <v>0</v>
      </c>
      <c r="M297" s="169">
        <f t="shared" si="85"/>
        <v>0</v>
      </c>
      <c r="N297" s="169" t="e">
        <f t="shared" ca="1" si="74"/>
        <v>#VALUE!</v>
      </c>
      <c r="O297" s="171" t="str">
        <f t="shared" si="75"/>
        <v/>
      </c>
      <c r="P297" s="171" t="str">
        <f t="shared" ca="1" si="76"/>
        <v/>
      </c>
      <c r="Q297" s="170">
        <f t="shared" ca="1" si="77"/>
        <v>0</v>
      </c>
      <c r="R297" s="170">
        <f t="shared" ca="1" si="78"/>
        <v>0</v>
      </c>
      <c r="S297" s="171" t="b">
        <f t="shared" si="79"/>
        <v>0</v>
      </c>
      <c r="T297" s="171" t="b">
        <f t="shared" ca="1" si="80"/>
        <v>0</v>
      </c>
      <c r="U297" s="172"/>
    </row>
    <row r="298" spans="1:21" hidden="1">
      <c r="A298" s="143">
        <v>465</v>
      </c>
      <c r="B298" s="167">
        <f t="shared" si="84"/>
        <v>0</v>
      </c>
      <c r="C298" s="167">
        <f t="shared" si="84"/>
        <v>0</v>
      </c>
      <c r="D298" s="167">
        <f t="shared" si="84"/>
        <v>0</v>
      </c>
      <c r="E298" s="168">
        <f t="shared" si="84"/>
        <v>0</v>
      </c>
      <c r="F298" s="167">
        <f t="shared" si="84"/>
        <v>0</v>
      </c>
      <c r="G298" s="168">
        <f t="shared" si="84"/>
        <v>0</v>
      </c>
      <c r="H298" s="169">
        <f t="shared" si="84"/>
        <v>0</v>
      </c>
      <c r="I298" s="169" t="e">
        <f t="shared" ca="1" si="73"/>
        <v>#VALUE!</v>
      </c>
      <c r="J298" s="169">
        <f t="shared" si="85"/>
        <v>0</v>
      </c>
      <c r="K298" s="170">
        <f t="shared" si="85"/>
        <v>0</v>
      </c>
      <c r="L298" s="169">
        <f t="shared" si="85"/>
        <v>0</v>
      </c>
      <c r="M298" s="169">
        <f t="shared" si="85"/>
        <v>0</v>
      </c>
      <c r="N298" s="169" t="e">
        <f t="shared" ca="1" si="74"/>
        <v>#VALUE!</v>
      </c>
      <c r="O298" s="171" t="str">
        <f t="shared" si="75"/>
        <v/>
      </c>
      <c r="P298" s="171" t="str">
        <f t="shared" ca="1" si="76"/>
        <v/>
      </c>
      <c r="Q298" s="170">
        <f t="shared" ca="1" si="77"/>
        <v>0</v>
      </c>
      <c r="R298" s="170">
        <f t="shared" ca="1" si="78"/>
        <v>0</v>
      </c>
      <c r="S298" s="171" t="b">
        <f t="shared" si="79"/>
        <v>0</v>
      </c>
      <c r="T298" s="171" t="b">
        <f t="shared" ca="1" si="80"/>
        <v>0</v>
      </c>
      <c r="U298" s="172"/>
    </row>
    <row r="299" spans="1:21" hidden="1">
      <c r="A299" s="143">
        <v>187</v>
      </c>
      <c r="B299" s="167">
        <f t="shared" si="84"/>
        <v>0</v>
      </c>
      <c r="C299" s="167">
        <f t="shared" si="84"/>
        <v>0</v>
      </c>
      <c r="D299" s="167">
        <f t="shared" si="84"/>
        <v>0</v>
      </c>
      <c r="E299" s="168">
        <f t="shared" si="84"/>
        <v>0</v>
      </c>
      <c r="F299" s="167">
        <f t="shared" si="84"/>
        <v>0</v>
      </c>
      <c r="G299" s="168">
        <f t="shared" si="84"/>
        <v>0</v>
      </c>
      <c r="H299" s="169">
        <f t="shared" si="84"/>
        <v>0</v>
      </c>
      <c r="I299" s="169" t="e">
        <f t="shared" ca="1" si="73"/>
        <v>#VALUE!</v>
      </c>
      <c r="J299" s="169">
        <f t="shared" si="85"/>
        <v>0</v>
      </c>
      <c r="K299" s="170">
        <f t="shared" si="85"/>
        <v>0</v>
      </c>
      <c r="L299" s="169">
        <f t="shared" si="85"/>
        <v>0</v>
      </c>
      <c r="M299" s="169">
        <f t="shared" si="85"/>
        <v>0</v>
      </c>
      <c r="N299" s="169" t="e">
        <f t="shared" ca="1" si="74"/>
        <v>#VALUE!</v>
      </c>
      <c r="O299" s="171" t="str">
        <f t="shared" si="75"/>
        <v/>
      </c>
      <c r="P299" s="171" t="str">
        <f t="shared" ca="1" si="76"/>
        <v/>
      </c>
      <c r="Q299" s="170">
        <f t="shared" ca="1" si="77"/>
        <v>0</v>
      </c>
      <c r="R299" s="170">
        <f t="shared" ca="1" si="78"/>
        <v>0</v>
      </c>
      <c r="S299" s="171" t="b">
        <f t="shared" si="79"/>
        <v>0</v>
      </c>
      <c r="T299" s="171" t="b">
        <f t="shared" ca="1" si="80"/>
        <v>0</v>
      </c>
      <c r="U299" s="172"/>
    </row>
    <row r="300" spans="1:21" hidden="1">
      <c r="A300" s="143">
        <v>250</v>
      </c>
      <c r="B300" s="167">
        <f t="shared" si="84"/>
        <v>0</v>
      </c>
      <c r="C300" s="167">
        <f t="shared" si="84"/>
        <v>0</v>
      </c>
      <c r="D300" s="167">
        <f t="shared" si="84"/>
        <v>0</v>
      </c>
      <c r="E300" s="168">
        <f t="shared" si="84"/>
        <v>0</v>
      </c>
      <c r="F300" s="167">
        <f t="shared" si="84"/>
        <v>0</v>
      </c>
      <c r="G300" s="168">
        <f t="shared" si="84"/>
        <v>0</v>
      </c>
      <c r="H300" s="169">
        <f t="shared" si="84"/>
        <v>0</v>
      </c>
      <c r="I300" s="169" t="e">
        <f t="shared" ca="1" si="73"/>
        <v>#VALUE!</v>
      </c>
      <c r="J300" s="169">
        <f t="shared" si="85"/>
        <v>0</v>
      </c>
      <c r="K300" s="170">
        <f t="shared" si="85"/>
        <v>0</v>
      </c>
      <c r="L300" s="169">
        <f t="shared" si="85"/>
        <v>0</v>
      </c>
      <c r="M300" s="169">
        <f t="shared" si="85"/>
        <v>0</v>
      </c>
      <c r="N300" s="169" t="e">
        <f t="shared" ca="1" si="74"/>
        <v>#VALUE!</v>
      </c>
      <c r="O300" s="171" t="str">
        <f t="shared" si="75"/>
        <v/>
      </c>
      <c r="P300" s="171" t="str">
        <f t="shared" ca="1" si="76"/>
        <v/>
      </c>
      <c r="Q300" s="170">
        <f t="shared" ca="1" si="77"/>
        <v>0</v>
      </c>
      <c r="R300" s="170">
        <f t="shared" ca="1" si="78"/>
        <v>0</v>
      </c>
      <c r="S300" s="171" t="b">
        <f t="shared" si="79"/>
        <v>0</v>
      </c>
      <c r="T300" s="171" t="b">
        <f t="shared" ca="1" si="80"/>
        <v>0</v>
      </c>
      <c r="U300" s="172"/>
    </row>
    <row r="301" spans="1:21" hidden="1">
      <c r="A301" s="143">
        <v>165</v>
      </c>
      <c r="B301" s="167">
        <f t="shared" ref="B301:H310" si="86">IF($A301&lt;=$A$8,INDEX(Import.PO,$A301,B$8),0)</f>
        <v>0</v>
      </c>
      <c r="C301" s="167">
        <f t="shared" si="86"/>
        <v>0</v>
      </c>
      <c r="D301" s="167">
        <f t="shared" si="86"/>
        <v>0</v>
      </c>
      <c r="E301" s="168">
        <f t="shared" si="86"/>
        <v>0</v>
      </c>
      <c r="F301" s="167">
        <f t="shared" si="86"/>
        <v>0</v>
      </c>
      <c r="G301" s="168">
        <f t="shared" si="86"/>
        <v>0</v>
      </c>
      <c r="H301" s="169">
        <f t="shared" si="86"/>
        <v>0</v>
      </c>
      <c r="I301" s="169" t="e">
        <f t="shared" ca="1" si="73"/>
        <v>#VALUE!</v>
      </c>
      <c r="J301" s="169">
        <f t="shared" si="85"/>
        <v>0</v>
      </c>
      <c r="K301" s="170">
        <f t="shared" si="85"/>
        <v>0</v>
      </c>
      <c r="L301" s="169">
        <f t="shared" si="85"/>
        <v>0</v>
      </c>
      <c r="M301" s="169">
        <f t="shared" si="85"/>
        <v>0</v>
      </c>
      <c r="N301" s="169" t="e">
        <f t="shared" ca="1" si="74"/>
        <v>#VALUE!</v>
      </c>
      <c r="O301" s="171" t="str">
        <f t="shared" si="75"/>
        <v/>
      </c>
      <c r="P301" s="171" t="str">
        <f t="shared" ca="1" si="76"/>
        <v/>
      </c>
      <c r="Q301" s="170">
        <f t="shared" ca="1" si="77"/>
        <v>0</v>
      </c>
      <c r="R301" s="170">
        <f t="shared" ca="1" si="78"/>
        <v>0</v>
      </c>
      <c r="S301" s="171" t="b">
        <f t="shared" si="79"/>
        <v>0</v>
      </c>
      <c r="T301" s="171" t="b">
        <f t="shared" ca="1" si="80"/>
        <v>0</v>
      </c>
      <c r="U301" s="172"/>
    </row>
    <row r="302" spans="1:21" hidden="1">
      <c r="A302" s="143">
        <v>235</v>
      </c>
      <c r="B302" s="167">
        <f t="shared" si="86"/>
        <v>0</v>
      </c>
      <c r="C302" s="167">
        <f t="shared" si="86"/>
        <v>0</v>
      </c>
      <c r="D302" s="167">
        <f t="shared" si="86"/>
        <v>0</v>
      </c>
      <c r="E302" s="168">
        <f t="shared" si="86"/>
        <v>0</v>
      </c>
      <c r="F302" s="167">
        <f t="shared" si="86"/>
        <v>0</v>
      </c>
      <c r="G302" s="168">
        <f t="shared" si="86"/>
        <v>0</v>
      </c>
      <c r="H302" s="169">
        <f t="shared" si="86"/>
        <v>0</v>
      </c>
      <c r="I302" s="169" t="e">
        <f t="shared" ca="1" si="73"/>
        <v>#VALUE!</v>
      </c>
      <c r="J302" s="169">
        <f t="shared" si="85"/>
        <v>0</v>
      </c>
      <c r="K302" s="170">
        <f t="shared" si="85"/>
        <v>0</v>
      </c>
      <c r="L302" s="169">
        <f t="shared" si="85"/>
        <v>0</v>
      </c>
      <c r="M302" s="169">
        <f t="shared" si="85"/>
        <v>0</v>
      </c>
      <c r="N302" s="169" t="e">
        <f t="shared" ca="1" si="74"/>
        <v>#VALUE!</v>
      </c>
      <c r="O302" s="171" t="str">
        <f t="shared" si="75"/>
        <v/>
      </c>
      <c r="P302" s="171" t="str">
        <f t="shared" ca="1" si="76"/>
        <v/>
      </c>
      <c r="Q302" s="170">
        <f t="shared" ca="1" si="77"/>
        <v>0</v>
      </c>
      <c r="R302" s="170">
        <f t="shared" ca="1" si="78"/>
        <v>0</v>
      </c>
      <c r="S302" s="171" t="b">
        <f t="shared" si="79"/>
        <v>0</v>
      </c>
      <c r="T302" s="171" t="b">
        <f t="shared" ca="1" si="80"/>
        <v>0</v>
      </c>
      <c r="U302" s="172"/>
    </row>
    <row r="303" spans="1:21" hidden="1">
      <c r="A303" s="143">
        <v>290</v>
      </c>
      <c r="B303" s="167">
        <f t="shared" si="86"/>
        <v>0</v>
      </c>
      <c r="C303" s="167">
        <f t="shared" si="86"/>
        <v>0</v>
      </c>
      <c r="D303" s="167">
        <f t="shared" si="86"/>
        <v>0</v>
      </c>
      <c r="E303" s="168">
        <f t="shared" si="86"/>
        <v>0</v>
      </c>
      <c r="F303" s="167">
        <f t="shared" si="86"/>
        <v>0</v>
      </c>
      <c r="G303" s="168">
        <f t="shared" si="86"/>
        <v>0</v>
      </c>
      <c r="H303" s="169">
        <f t="shared" si="86"/>
        <v>0</v>
      </c>
      <c r="I303" s="169" t="e">
        <f t="shared" ca="1" si="73"/>
        <v>#VALUE!</v>
      </c>
      <c r="J303" s="169">
        <f t="shared" si="85"/>
        <v>0</v>
      </c>
      <c r="K303" s="170">
        <f t="shared" si="85"/>
        <v>0</v>
      </c>
      <c r="L303" s="169">
        <f t="shared" si="85"/>
        <v>0</v>
      </c>
      <c r="M303" s="169">
        <f t="shared" si="85"/>
        <v>0</v>
      </c>
      <c r="N303" s="169" t="e">
        <f t="shared" ca="1" si="74"/>
        <v>#VALUE!</v>
      </c>
      <c r="O303" s="171" t="str">
        <f t="shared" si="75"/>
        <v/>
      </c>
      <c r="P303" s="171" t="str">
        <f t="shared" ca="1" si="76"/>
        <v/>
      </c>
      <c r="Q303" s="170">
        <f t="shared" ca="1" si="77"/>
        <v>0</v>
      </c>
      <c r="R303" s="170">
        <f t="shared" ca="1" si="78"/>
        <v>0</v>
      </c>
      <c r="S303" s="171" t="b">
        <f t="shared" si="79"/>
        <v>0</v>
      </c>
      <c r="T303" s="171" t="b">
        <f t="shared" ca="1" si="80"/>
        <v>0</v>
      </c>
      <c r="U303" s="172"/>
    </row>
    <row r="304" spans="1:21" hidden="1">
      <c r="A304" s="143">
        <v>340</v>
      </c>
      <c r="B304" s="167">
        <f t="shared" si="86"/>
        <v>0</v>
      </c>
      <c r="C304" s="167">
        <f t="shared" si="86"/>
        <v>0</v>
      </c>
      <c r="D304" s="167">
        <f t="shared" si="86"/>
        <v>0</v>
      </c>
      <c r="E304" s="168">
        <f t="shared" si="86"/>
        <v>0</v>
      </c>
      <c r="F304" s="167">
        <f t="shared" si="86"/>
        <v>0</v>
      </c>
      <c r="G304" s="168">
        <f t="shared" si="86"/>
        <v>0</v>
      </c>
      <c r="H304" s="169">
        <f t="shared" si="86"/>
        <v>0</v>
      </c>
      <c r="I304" s="169" t="e">
        <f t="shared" ca="1" si="73"/>
        <v>#VALUE!</v>
      </c>
      <c r="J304" s="169">
        <f t="shared" si="85"/>
        <v>0</v>
      </c>
      <c r="K304" s="170">
        <f t="shared" si="85"/>
        <v>0</v>
      </c>
      <c r="L304" s="169">
        <f t="shared" si="85"/>
        <v>0</v>
      </c>
      <c r="M304" s="169">
        <f t="shared" si="85"/>
        <v>0</v>
      </c>
      <c r="N304" s="169" t="e">
        <f t="shared" ca="1" si="74"/>
        <v>#VALUE!</v>
      </c>
      <c r="O304" s="171" t="str">
        <f t="shared" si="75"/>
        <v/>
      </c>
      <c r="P304" s="171" t="str">
        <f t="shared" ca="1" si="76"/>
        <v/>
      </c>
      <c r="Q304" s="170">
        <f t="shared" ca="1" si="77"/>
        <v>0</v>
      </c>
      <c r="R304" s="170">
        <f t="shared" ca="1" si="78"/>
        <v>0</v>
      </c>
      <c r="S304" s="171" t="b">
        <f t="shared" si="79"/>
        <v>0</v>
      </c>
      <c r="T304" s="171" t="b">
        <f t="shared" ca="1" si="80"/>
        <v>0</v>
      </c>
      <c r="U304" s="172"/>
    </row>
    <row r="305" spans="1:21" hidden="1">
      <c r="A305" s="143">
        <v>36</v>
      </c>
      <c r="B305" s="167">
        <f t="shared" si="86"/>
        <v>0</v>
      </c>
      <c r="C305" s="167">
        <f t="shared" si="86"/>
        <v>0</v>
      </c>
      <c r="D305" s="167">
        <f t="shared" si="86"/>
        <v>0</v>
      </c>
      <c r="E305" s="168">
        <f t="shared" si="86"/>
        <v>0</v>
      </c>
      <c r="F305" s="167">
        <f t="shared" si="86"/>
        <v>0</v>
      </c>
      <c r="G305" s="168">
        <f t="shared" si="86"/>
        <v>0</v>
      </c>
      <c r="H305" s="169">
        <f t="shared" si="86"/>
        <v>0</v>
      </c>
      <c r="I305" s="169" t="e">
        <f t="shared" ca="1" si="73"/>
        <v>#VALUE!</v>
      </c>
      <c r="J305" s="169">
        <f t="shared" si="85"/>
        <v>0</v>
      </c>
      <c r="K305" s="170">
        <f t="shared" si="85"/>
        <v>0</v>
      </c>
      <c r="L305" s="169">
        <f t="shared" si="85"/>
        <v>0</v>
      </c>
      <c r="M305" s="169">
        <f t="shared" si="85"/>
        <v>0</v>
      </c>
      <c r="N305" s="169" t="e">
        <f t="shared" ca="1" si="74"/>
        <v>#VALUE!</v>
      </c>
      <c r="O305" s="171" t="str">
        <f t="shared" si="75"/>
        <v/>
      </c>
      <c r="P305" s="171" t="str">
        <f t="shared" ca="1" si="76"/>
        <v/>
      </c>
      <c r="Q305" s="170">
        <f t="shared" ca="1" si="77"/>
        <v>0</v>
      </c>
      <c r="R305" s="170">
        <f t="shared" ca="1" si="78"/>
        <v>0</v>
      </c>
      <c r="S305" s="171" t="b">
        <f t="shared" si="79"/>
        <v>0</v>
      </c>
      <c r="T305" s="171" t="b">
        <f t="shared" ca="1" si="80"/>
        <v>0</v>
      </c>
      <c r="U305" s="172"/>
    </row>
    <row r="306" spans="1:21" hidden="1">
      <c r="A306" s="143">
        <v>59</v>
      </c>
      <c r="B306" s="167">
        <f t="shared" si="86"/>
        <v>0</v>
      </c>
      <c r="C306" s="167">
        <f t="shared" si="86"/>
        <v>0</v>
      </c>
      <c r="D306" s="167">
        <f t="shared" si="86"/>
        <v>0</v>
      </c>
      <c r="E306" s="168">
        <f t="shared" si="86"/>
        <v>0</v>
      </c>
      <c r="F306" s="167">
        <f t="shared" si="86"/>
        <v>0</v>
      </c>
      <c r="G306" s="168">
        <f t="shared" si="86"/>
        <v>0</v>
      </c>
      <c r="H306" s="169">
        <f t="shared" si="86"/>
        <v>0</v>
      </c>
      <c r="I306" s="169" t="e">
        <f t="shared" ca="1" si="73"/>
        <v>#VALUE!</v>
      </c>
      <c r="J306" s="169">
        <f t="shared" si="85"/>
        <v>0</v>
      </c>
      <c r="K306" s="170">
        <f t="shared" si="85"/>
        <v>0</v>
      </c>
      <c r="L306" s="169">
        <f t="shared" si="85"/>
        <v>0</v>
      </c>
      <c r="M306" s="169">
        <f t="shared" si="85"/>
        <v>0</v>
      </c>
      <c r="N306" s="169" t="e">
        <f t="shared" ca="1" si="74"/>
        <v>#VALUE!</v>
      </c>
      <c r="O306" s="171" t="str">
        <f t="shared" si="75"/>
        <v/>
      </c>
      <c r="P306" s="171" t="str">
        <f t="shared" ca="1" si="76"/>
        <v/>
      </c>
      <c r="Q306" s="170">
        <f t="shared" ca="1" si="77"/>
        <v>0</v>
      </c>
      <c r="R306" s="170">
        <f t="shared" ca="1" si="78"/>
        <v>0</v>
      </c>
      <c r="S306" s="171" t="b">
        <f t="shared" si="79"/>
        <v>0</v>
      </c>
      <c r="T306" s="171" t="b">
        <f t="shared" ca="1" si="80"/>
        <v>0</v>
      </c>
      <c r="U306" s="172"/>
    </row>
    <row r="307" spans="1:21" hidden="1">
      <c r="A307" s="143">
        <v>449</v>
      </c>
      <c r="B307" s="167">
        <f t="shared" si="86"/>
        <v>0</v>
      </c>
      <c r="C307" s="167">
        <f t="shared" si="86"/>
        <v>0</v>
      </c>
      <c r="D307" s="167">
        <f t="shared" si="86"/>
        <v>0</v>
      </c>
      <c r="E307" s="168">
        <f t="shared" si="86"/>
        <v>0</v>
      </c>
      <c r="F307" s="167">
        <f t="shared" si="86"/>
        <v>0</v>
      </c>
      <c r="G307" s="168">
        <f t="shared" si="86"/>
        <v>0</v>
      </c>
      <c r="H307" s="169">
        <f t="shared" si="86"/>
        <v>0</v>
      </c>
      <c r="I307" s="169" t="e">
        <f t="shared" ca="1" si="73"/>
        <v>#VALUE!</v>
      </c>
      <c r="J307" s="169">
        <f t="shared" si="85"/>
        <v>0</v>
      </c>
      <c r="K307" s="170">
        <f t="shared" si="85"/>
        <v>0</v>
      </c>
      <c r="L307" s="169">
        <f t="shared" si="85"/>
        <v>0</v>
      </c>
      <c r="M307" s="169">
        <f t="shared" si="85"/>
        <v>0</v>
      </c>
      <c r="N307" s="169" t="e">
        <f t="shared" ca="1" si="74"/>
        <v>#VALUE!</v>
      </c>
      <c r="O307" s="171" t="str">
        <f t="shared" si="75"/>
        <v/>
      </c>
      <c r="P307" s="171" t="str">
        <f t="shared" ca="1" si="76"/>
        <v/>
      </c>
      <c r="Q307" s="170">
        <f t="shared" ca="1" si="77"/>
        <v>0</v>
      </c>
      <c r="R307" s="170">
        <f t="shared" ca="1" si="78"/>
        <v>0</v>
      </c>
      <c r="S307" s="171" t="b">
        <f t="shared" si="79"/>
        <v>0</v>
      </c>
      <c r="T307" s="171" t="b">
        <f t="shared" ca="1" si="80"/>
        <v>0</v>
      </c>
      <c r="U307" s="172"/>
    </row>
    <row r="308" spans="1:21" hidden="1">
      <c r="A308" s="143">
        <v>161</v>
      </c>
      <c r="B308" s="167">
        <f t="shared" si="86"/>
        <v>0</v>
      </c>
      <c r="C308" s="167">
        <f t="shared" si="86"/>
        <v>0</v>
      </c>
      <c r="D308" s="167">
        <f t="shared" si="86"/>
        <v>0</v>
      </c>
      <c r="E308" s="168">
        <f t="shared" si="86"/>
        <v>0</v>
      </c>
      <c r="F308" s="167">
        <f t="shared" si="86"/>
        <v>0</v>
      </c>
      <c r="G308" s="168">
        <f t="shared" si="86"/>
        <v>0</v>
      </c>
      <c r="H308" s="169">
        <f t="shared" si="86"/>
        <v>0</v>
      </c>
      <c r="I308" s="169" t="e">
        <f t="shared" ca="1" si="73"/>
        <v>#VALUE!</v>
      </c>
      <c r="J308" s="169">
        <f t="shared" si="85"/>
        <v>0</v>
      </c>
      <c r="K308" s="170">
        <f t="shared" si="85"/>
        <v>0</v>
      </c>
      <c r="L308" s="169">
        <f t="shared" si="85"/>
        <v>0</v>
      </c>
      <c r="M308" s="169">
        <f t="shared" si="85"/>
        <v>0</v>
      </c>
      <c r="N308" s="169" t="e">
        <f t="shared" ca="1" si="74"/>
        <v>#VALUE!</v>
      </c>
      <c r="O308" s="171" t="str">
        <f t="shared" si="75"/>
        <v/>
      </c>
      <c r="P308" s="171" t="str">
        <f t="shared" ca="1" si="76"/>
        <v/>
      </c>
      <c r="Q308" s="170">
        <f t="shared" ca="1" si="77"/>
        <v>0</v>
      </c>
      <c r="R308" s="170">
        <f t="shared" ca="1" si="78"/>
        <v>0</v>
      </c>
      <c r="S308" s="171" t="b">
        <f t="shared" si="79"/>
        <v>0</v>
      </c>
      <c r="T308" s="171" t="b">
        <f t="shared" ca="1" si="80"/>
        <v>0</v>
      </c>
      <c r="U308" s="172"/>
    </row>
    <row r="309" spans="1:21" hidden="1">
      <c r="A309" s="143">
        <v>231</v>
      </c>
      <c r="B309" s="167">
        <f t="shared" si="86"/>
        <v>0</v>
      </c>
      <c r="C309" s="167">
        <f t="shared" si="86"/>
        <v>0</v>
      </c>
      <c r="D309" s="167">
        <f t="shared" si="86"/>
        <v>0</v>
      </c>
      <c r="E309" s="168">
        <f t="shared" si="86"/>
        <v>0</v>
      </c>
      <c r="F309" s="167">
        <f t="shared" si="86"/>
        <v>0</v>
      </c>
      <c r="G309" s="168">
        <f t="shared" si="86"/>
        <v>0</v>
      </c>
      <c r="H309" s="169">
        <f t="shared" si="86"/>
        <v>0</v>
      </c>
      <c r="I309" s="169" t="e">
        <f t="shared" ca="1" si="73"/>
        <v>#VALUE!</v>
      </c>
      <c r="J309" s="169">
        <f t="shared" si="85"/>
        <v>0</v>
      </c>
      <c r="K309" s="170">
        <f t="shared" si="85"/>
        <v>0</v>
      </c>
      <c r="L309" s="169">
        <f t="shared" si="85"/>
        <v>0</v>
      </c>
      <c r="M309" s="169">
        <f t="shared" si="85"/>
        <v>0</v>
      </c>
      <c r="N309" s="169" t="e">
        <f t="shared" ca="1" si="74"/>
        <v>#VALUE!</v>
      </c>
      <c r="O309" s="171" t="str">
        <f t="shared" si="75"/>
        <v/>
      </c>
      <c r="P309" s="171" t="str">
        <f t="shared" ca="1" si="76"/>
        <v/>
      </c>
      <c r="Q309" s="170">
        <f t="shared" ca="1" si="77"/>
        <v>0</v>
      </c>
      <c r="R309" s="170">
        <f t="shared" ca="1" si="78"/>
        <v>0</v>
      </c>
      <c r="S309" s="171" t="b">
        <f t="shared" si="79"/>
        <v>0</v>
      </c>
      <c r="T309" s="171" t="b">
        <f t="shared" ca="1" si="80"/>
        <v>0</v>
      </c>
      <c r="U309" s="172"/>
    </row>
    <row r="310" spans="1:21" hidden="1">
      <c r="A310" s="143">
        <v>286</v>
      </c>
      <c r="B310" s="167">
        <f t="shared" si="86"/>
        <v>0</v>
      </c>
      <c r="C310" s="167">
        <f t="shared" si="86"/>
        <v>0</v>
      </c>
      <c r="D310" s="167">
        <f t="shared" si="86"/>
        <v>0</v>
      </c>
      <c r="E310" s="168">
        <f t="shared" si="86"/>
        <v>0</v>
      </c>
      <c r="F310" s="167">
        <f t="shared" si="86"/>
        <v>0</v>
      </c>
      <c r="G310" s="168">
        <f t="shared" si="86"/>
        <v>0</v>
      </c>
      <c r="H310" s="169">
        <f t="shared" si="86"/>
        <v>0</v>
      </c>
      <c r="I310" s="169" t="e">
        <f t="shared" ca="1" si="73"/>
        <v>#VALUE!</v>
      </c>
      <c r="J310" s="169">
        <f t="shared" si="85"/>
        <v>0</v>
      </c>
      <c r="K310" s="170">
        <f t="shared" si="85"/>
        <v>0</v>
      </c>
      <c r="L310" s="169">
        <f t="shared" si="85"/>
        <v>0</v>
      </c>
      <c r="M310" s="169">
        <f t="shared" si="85"/>
        <v>0</v>
      </c>
      <c r="N310" s="169" t="e">
        <f t="shared" ca="1" si="74"/>
        <v>#VALUE!</v>
      </c>
      <c r="O310" s="171" t="str">
        <f t="shared" si="75"/>
        <v/>
      </c>
      <c r="P310" s="171" t="str">
        <f t="shared" ca="1" si="76"/>
        <v/>
      </c>
      <c r="Q310" s="170">
        <f t="shared" ca="1" si="77"/>
        <v>0</v>
      </c>
      <c r="R310" s="170">
        <f t="shared" ca="1" si="78"/>
        <v>0</v>
      </c>
      <c r="S310" s="171" t="b">
        <f t="shared" si="79"/>
        <v>0</v>
      </c>
      <c r="T310" s="171" t="b">
        <f t="shared" ca="1" si="80"/>
        <v>0</v>
      </c>
      <c r="U310" s="172"/>
    </row>
    <row r="311" spans="1:21" hidden="1">
      <c r="A311" s="143">
        <v>336</v>
      </c>
      <c r="B311" s="167">
        <f t="shared" ref="B311:H320" si="87">IF($A311&lt;=$A$8,INDEX(Import.PO,$A311,B$8),0)</f>
        <v>0</v>
      </c>
      <c r="C311" s="167">
        <f t="shared" si="87"/>
        <v>0</v>
      </c>
      <c r="D311" s="167">
        <f t="shared" si="87"/>
        <v>0</v>
      </c>
      <c r="E311" s="168">
        <f t="shared" si="87"/>
        <v>0</v>
      </c>
      <c r="F311" s="167">
        <f t="shared" si="87"/>
        <v>0</v>
      </c>
      <c r="G311" s="168">
        <f t="shared" si="87"/>
        <v>0</v>
      </c>
      <c r="H311" s="169">
        <f t="shared" si="87"/>
        <v>0</v>
      </c>
      <c r="I311" s="169" t="e">
        <f t="shared" ca="1" si="73"/>
        <v>#VALUE!</v>
      </c>
      <c r="J311" s="169">
        <f t="shared" ref="J311:M330" si="88">IF($A311&lt;=$A$8,INDEX(Import.PO,$A311,J$8),0)</f>
        <v>0</v>
      </c>
      <c r="K311" s="170">
        <f t="shared" si="88"/>
        <v>0</v>
      </c>
      <c r="L311" s="169">
        <f t="shared" si="88"/>
        <v>0</v>
      </c>
      <c r="M311" s="169">
        <f t="shared" si="88"/>
        <v>0</v>
      </c>
      <c r="N311" s="169" t="e">
        <f t="shared" ca="1" si="74"/>
        <v>#VALUE!</v>
      </c>
      <c r="O311" s="171" t="str">
        <f t="shared" si="75"/>
        <v/>
      </c>
      <c r="P311" s="171" t="str">
        <f t="shared" ca="1" si="76"/>
        <v/>
      </c>
      <c r="Q311" s="170">
        <f t="shared" ca="1" si="77"/>
        <v>0</v>
      </c>
      <c r="R311" s="170">
        <f t="shared" ca="1" si="78"/>
        <v>0</v>
      </c>
      <c r="S311" s="171" t="b">
        <f t="shared" si="79"/>
        <v>0</v>
      </c>
      <c r="T311" s="171" t="b">
        <f t="shared" ca="1" si="80"/>
        <v>0</v>
      </c>
      <c r="U311" s="172"/>
    </row>
    <row r="312" spans="1:21" hidden="1">
      <c r="A312" s="143">
        <v>452</v>
      </c>
      <c r="B312" s="167">
        <f t="shared" si="87"/>
        <v>0</v>
      </c>
      <c r="C312" s="167">
        <f t="shared" si="87"/>
        <v>0</v>
      </c>
      <c r="D312" s="167">
        <f t="shared" si="87"/>
        <v>0</v>
      </c>
      <c r="E312" s="168">
        <f t="shared" si="87"/>
        <v>0</v>
      </c>
      <c r="F312" s="167">
        <f t="shared" si="87"/>
        <v>0</v>
      </c>
      <c r="G312" s="168">
        <f t="shared" si="87"/>
        <v>0</v>
      </c>
      <c r="H312" s="169">
        <f t="shared" si="87"/>
        <v>0</v>
      </c>
      <c r="I312" s="169" t="e">
        <f t="shared" ca="1" si="73"/>
        <v>#VALUE!</v>
      </c>
      <c r="J312" s="169">
        <f t="shared" si="88"/>
        <v>0</v>
      </c>
      <c r="K312" s="170">
        <f t="shared" si="88"/>
        <v>0</v>
      </c>
      <c r="L312" s="169">
        <f t="shared" si="88"/>
        <v>0</v>
      </c>
      <c r="M312" s="169">
        <f t="shared" si="88"/>
        <v>0</v>
      </c>
      <c r="N312" s="169" t="e">
        <f t="shared" ca="1" si="74"/>
        <v>#VALUE!</v>
      </c>
      <c r="O312" s="171" t="str">
        <f t="shared" si="75"/>
        <v/>
      </c>
      <c r="P312" s="171" t="str">
        <f t="shared" ca="1" si="76"/>
        <v/>
      </c>
      <c r="Q312" s="170">
        <f t="shared" ca="1" si="77"/>
        <v>0</v>
      </c>
      <c r="R312" s="170">
        <f t="shared" ca="1" si="78"/>
        <v>0</v>
      </c>
      <c r="S312" s="171" t="b">
        <f t="shared" si="79"/>
        <v>0</v>
      </c>
      <c r="T312" s="171" t="b">
        <f t="shared" ca="1" si="80"/>
        <v>0</v>
      </c>
      <c r="U312" s="172"/>
    </row>
    <row r="313" spans="1:21" hidden="1">
      <c r="A313" s="143">
        <v>450</v>
      </c>
      <c r="B313" s="167">
        <f t="shared" si="87"/>
        <v>0</v>
      </c>
      <c r="C313" s="167">
        <f t="shared" si="87"/>
        <v>0</v>
      </c>
      <c r="D313" s="167">
        <f t="shared" si="87"/>
        <v>0</v>
      </c>
      <c r="E313" s="168">
        <f t="shared" si="87"/>
        <v>0</v>
      </c>
      <c r="F313" s="167">
        <f t="shared" si="87"/>
        <v>0</v>
      </c>
      <c r="G313" s="168">
        <f t="shared" si="87"/>
        <v>0</v>
      </c>
      <c r="H313" s="169">
        <f t="shared" si="87"/>
        <v>0</v>
      </c>
      <c r="I313" s="169" t="e">
        <f t="shared" ca="1" si="73"/>
        <v>#VALUE!</v>
      </c>
      <c r="J313" s="169">
        <f t="shared" si="88"/>
        <v>0</v>
      </c>
      <c r="K313" s="170">
        <f t="shared" si="88"/>
        <v>0</v>
      </c>
      <c r="L313" s="169">
        <f t="shared" si="88"/>
        <v>0</v>
      </c>
      <c r="M313" s="169">
        <f t="shared" si="88"/>
        <v>0</v>
      </c>
      <c r="N313" s="169" t="e">
        <f t="shared" ca="1" si="74"/>
        <v>#VALUE!</v>
      </c>
      <c r="O313" s="171" t="str">
        <f t="shared" si="75"/>
        <v/>
      </c>
      <c r="P313" s="171" t="str">
        <f t="shared" ca="1" si="76"/>
        <v/>
      </c>
      <c r="Q313" s="170">
        <f t="shared" ca="1" si="77"/>
        <v>0</v>
      </c>
      <c r="R313" s="170">
        <f t="shared" ca="1" si="78"/>
        <v>0</v>
      </c>
      <c r="S313" s="171" t="b">
        <f t="shared" si="79"/>
        <v>0</v>
      </c>
      <c r="T313" s="171" t="b">
        <f t="shared" ca="1" si="80"/>
        <v>0</v>
      </c>
      <c r="U313" s="172"/>
    </row>
    <row r="314" spans="1:21" hidden="1">
      <c r="A314" s="143">
        <v>162</v>
      </c>
      <c r="B314" s="167">
        <f t="shared" si="87"/>
        <v>0</v>
      </c>
      <c r="C314" s="167">
        <f t="shared" si="87"/>
        <v>0</v>
      </c>
      <c r="D314" s="167">
        <f t="shared" si="87"/>
        <v>0</v>
      </c>
      <c r="E314" s="168">
        <f t="shared" si="87"/>
        <v>0</v>
      </c>
      <c r="F314" s="167">
        <f t="shared" si="87"/>
        <v>0</v>
      </c>
      <c r="G314" s="168">
        <f t="shared" si="87"/>
        <v>0</v>
      </c>
      <c r="H314" s="169">
        <f t="shared" si="87"/>
        <v>0</v>
      </c>
      <c r="I314" s="169" t="e">
        <f t="shared" ca="1" si="73"/>
        <v>#VALUE!</v>
      </c>
      <c r="J314" s="169">
        <f t="shared" si="88"/>
        <v>0</v>
      </c>
      <c r="K314" s="170">
        <f t="shared" si="88"/>
        <v>0</v>
      </c>
      <c r="L314" s="169">
        <f t="shared" si="88"/>
        <v>0</v>
      </c>
      <c r="M314" s="169">
        <f t="shared" si="88"/>
        <v>0</v>
      </c>
      <c r="N314" s="169" t="e">
        <f t="shared" ca="1" si="74"/>
        <v>#VALUE!</v>
      </c>
      <c r="O314" s="171" t="str">
        <f t="shared" si="75"/>
        <v/>
      </c>
      <c r="P314" s="171" t="str">
        <f t="shared" ca="1" si="76"/>
        <v/>
      </c>
      <c r="Q314" s="170">
        <f t="shared" ca="1" si="77"/>
        <v>0</v>
      </c>
      <c r="R314" s="170">
        <f t="shared" ca="1" si="78"/>
        <v>0</v>
      </c>
      <c r="S314" s="171" t="b">
        <f t="shared" si="79"/>
        <v>0</v>
      </c>
      <c r="T314" s="171" t="b">
        <f t="shared" ca="1" si="80"/>
        <v>0</v>
      </c>
      <c r="U314" s="172"/>
    </row>
    <row r="315" spans="1:21" hidden="1">
      <c r="A315" s="143">
        <v>232</v>
      </c>
      <c r="B315" s="167">
        <f t="shared" si="87"/>
        <v>0</v>
      </c>
      <c r="C315" s="167">
        <f t="shared" si="87"/>
        <v>0</v>
      </c>
      <c r="D315" s="167">
        <f t="shared" si="87"/>
        <v>0</v>
      </c>
      <c r="E315" s="168">
        <f t="shared" si="87"/>
        <v>0</v>
      </c>
      <c r="F315" s="167">
        <f t="shared" si="87"/>
        <v>0</v>
      </c>
      <c r="G315" s="168">
        <f t="shared" si="87"/>
        <v>0</v>
      </c>
      <c r="H315" s="169">
        <f t="shared" si="87"/>
        <v>0</v>
      </c>
      <c r="I315" s="169" t="e">
        <f t="shared" ca="1" si="73"/>
        <v>#VALUE!</v>
      </c>
      <c r="J315" s="169">
        <f t="shared" si="88"/>
        <v>0</v>
      </c>
      <c r="K315" s="170">
        <f t="shared" si="88"/>
        <v>0</v>
      </c>
      <c r="L315" s="169">
        <f t="shared" si="88"/>
        <v>0</v>
      </c>
      <c r="M315" s="169">
        <f t="shared" si="88"/>
        <v>0</v>
      </c>
      <c r="N315" s="169" t="e">
        <f t="shared" ca="1" si="74"/>
        <v>#VALUE!</v>
      </c>
      <c r="O315" s="171" t="str">
        <f t="shared" si="75"/>
        <v/>
      </c>
      <c r="P315" s="171" t="str">
        <f t="shared" ca="1" si="76"/>
        <v/>
      </c>
      <c r="Q315" s="170">
        <f t="shared" ca="1" si="77"/>
        <v>0</v>
      </c>
      <c r="R315" s="170">
        <f t="shared" ca="1" si="78"/>
        <v>0</v>
      </c>
      <c r="S315" s="171" t="b">
        <f t="shared" si="79"/>
        <v>0</v>
      </c>
      <c r="T315" s="171" t="b">
        <f t="shared" ca="1" si="80"/>
        <v>0</v>
      </c>
      <c r="U315" s="172"/>
    </row>
    <row r="316" spans="1:21" hidden="1">
      <c r="A316" s="143">
        <v>287</v>
      </c>
      <c r="B316" s="167">
        <f t="shared" si="87"/>
        <v>0</v>
      </c>
      <c r="C316" s="167">
        <f t="shared" si="87"/>
        <v>0</v>
      </c>
      <c r="D316" s="167">
        <f t="shared" si="87"/>
        <v>0</v>
      </c>
      <c r="E316" s="168">
        <f t="shared" si="87"/>
        <v>0</v>
      </c>
      <c r="F316" s="167">
        <f t="shared" si="87"/>
        <v>0</v>
      </c>
      <c r="G316" s="168">
        <f t="shared" si="87"/>
        <v>0</v>
      </c>
      <c r="H316" s="169">
        <f t="shared" si="87"/>
        <v>0</v>
      </c>
      <c r="I316" s="169" t="e">
        <f t="shared" ca="1" si="73"/>
        <v>#VALUE!</v>
      </c>
      <c r="J316" s="169">
        <f t="shared" si="88"/>
        <v>0</v>
      </c>
      <c r="K316" s="170">
        <f t="shared" si="88"/>
        <v>0</v>
      </c>
      <c r="L316" s="169">
        <f t="shared" si="88"/>
        <v>0</v>
      </c>
      <c r="M316" s="169">
        <f t="shared" si="88"/>
        <v>0</v>
      </c>
      <c r="N316" s="169" t="e">
        <f t="shared" ca="1" si="74"/>
        <v>#VALUE!</v>
      </c>
      <c r="O316" s="171" t="str">
        <f t="shared" si="75"/>
        <v/>
      </c>
      <c r="P316" s="171" t="str">
        <f t="shared" ca="1" si="76"/>
        <v/>
      </c>
      <c r="Q316" s="170">
        <f t="shared" ca="1" si="77"/>
        <v>0</v>
      </c>
      <c r="R316" s="170">
        <f t="shared" ca="1" si="78"/>
        <v>0</v>
      </c>
      <c r="S316" s="171" t="b">
        <f t="shared" si="79"/>
        <v>0</v>
      </c>
      <c r="T316" s="171" t="b">
        <f t="shared" ca="1" si="80"/>
        <v>0</v>
      </c>
      <c r="U316" s="172"/>
    </row>
    <row r="317" spans="1:21" hidden="1">
      <c r="A317" s="143">
        <v>337</v>
      </c>
      <c r="B317" s="167">
        <f t="shared" si="87"/>
        <v>0</v>
      </c>
      <c r="C317" s="167">
        <f t="shared" si="87"/>
        <v>0</v>
      </c>
      <c r="D317" s="167">
        <f t="shared" si="87"/>
        <v>0</v>
      </c>
      <c r="E317" s="168">
        <f t="shared" si="87"/>
        <v>0</v>
      </c>
      <c r="F317" s="167">
        <f t="shared" si="87"/>
        <v>0</v>
      </c>
      <c r="G317" s="168">
        <f t="shared" si="87"/>
        <v>0</v>
      </c>
      <c r="H317" s="169">
        <f t="shared" si="87"/>
        <v>0</v>
      </c>
      <c r="I317" s="169" t="e">
        <f t="shared" ca="1" si="73"/>
        <v>#VALUE!</v>
      </c>
      <c r="J317" s="169">
        <f t="shared" si="88"/>
        <v>0</v>
      </c>
      <c r="K317" s="170">
        <f t="shared" si="88"/>
        <v>0</v>
      </c>
      <c r="L317" s="169">
        <f t="shared" si="88"/>
        <v>0</v>
      </c>
      <c r="M317" s="169">
        <f t="shared" si="88"/>
        <v>0</v>
      </c>
      <c r="N317" s="169" t="e">
        <f t="shared" ca="1" si="74"/>
        <v>#VALUE!</v>
      </c>
      <c r="O317" s="171" t="str">
        <f t="shared" si="75"/>
        <v/>
      </c>
      <c r="P317" s="171" t="str">
        <f t="shared" ca="1" si="76"/>
        <v/>
      </c>
      <c r="Q317" s="170">
        <f t="shared" ca="1" si="77"/>
        <v>0</v>
      </c>
      <c r="R317" s="170">
        <f t="shared" ca="1" si="78"/>
        <v>0</v>
      </c>
      <c r="S317" s="171" t="b">
        <f t="shared" si="79"/>
        <v>0</v>
      </c>
      <c r="T317" s="171" t="b">
        <f t="shared" ca="1" si="80"/>
        <v>0</v>
      </c>
      <c r="U317" s="172"/>
    </row>
    <row r="318" spans="1:21" hidden="1">
      <c r="A318" s="143">
        <v>164</v>
      </c>
      <c r="B318" s="167">
        <f t="shared" si="87"/>
        <v>0</v>
      </c>
      <c r="C318" s="167">
        <f t="shared" si="87"/>
        <v>0</v>
      </c>
      <c r="D318" s="167">
        <f t="shared" si="87"/>
        <v>0</v>
      </c>
      <c r="E318" s="168">
        <f t="shared" si="87"/>
        <v>0</v>
      </c>
      <c r="F318" s="167">
        <f t="shared" si="87"/>
        <v>0</v>
      </c>
      <c r="G318" s="168">
        <f t="shared" si="87"/>
        <v>0</v>
      </c>
      <c r="H318" s="169">
        <f t="shared" si="87"/>
        <v>0</v>
      </c>
      <c r="I318" s="169" t="e">
        <f t="shared" ca="1" si="73"/>
        <v>#VALUE!</v>
      </c>
      <c r="J318" s="169">
        <f t="shared" si="88"/>
        <v>0</v>
      </c>
      <c r="K318" s="170">
        <f t="shared" si="88"/>
        <v>0</v>
      </c>
      <c r="L318" s="169">
        <f t="shared" si="88"/>
        <v>0</v>
      </c>
      <c r="M318" s="169">
        <f t="shared" si="88"/>
        <v>0</v>
      </c>
      <c r="N318" s="169" t="e">
        <f t="shared" ca="1" si="74"/>
        <v>#VALUE!</v>
      </c>
      <c r="O318" s="171" t="str">
        <f t="shared" si="75"/>
        <v/>
      </c>
      <c r="P318" s="171" t="str">
        <f t="shared" ca="1" si="76"/>
        <v/>
      </c>
      <c r="Q318" s="170">
        <f t="shared" ca="1" si="77"/>
        <v>0</v>
      </c>
      <c r="R318" s="170">
        <f t="shared" ca="1" si="78"/>
        <v>0</v>
      </c>
      <c r="S318" s="171" t="b">
        <f t="shared" si="79"/>
        <v>0</v>
      </c>
      <c r="T318" s="171" t="b">
        <f t="shared" ca="1" si="80"/>
        <v>0</v>
      </c>
      <c r="U318" s="172"/>
    </row>
    <row r="319" spans="1:21" hidden="1">
      <c r="A319" s="143">
        <v>186</v>
      </c>
      <c r="B319" s="167">
        <f t="shared" si="87"/>
        <v>0</v>
      </c>
      <c r="C319" s="167">
        <f t="shared" si="87"/>
        <v>0</v>
      </c>
      <c r="D319" s="167">
        <f t="shared" si="87"/>
        <v>0</v>
      </c>
      <c r="E319" s="168">
        <f t="shared" si="87"/>
        <v>0</v>
      </c>
      <c r="F319" s="167">
        <f t="shared" si="87"/>
        <v>0</v>
      </c>
      <c r="G319" s="168">
        <f t="shared" si="87"/>
        <v>0</v>
      </c>
      <c r="H319" s="169">
        <f t="shared" si="87"/>
        <v>0</v>
      </c>
      <c r="I319" s="169" t="e">
        <f t="shared" ca="1" si="73"/>
        <v>#VALUE!</v>
      </c>
      <c r="J319" s="169">
        <f t="shared" si="88"/>
        <v>0</v>
      </c>
      <c r="K319" s="170">
        <f t="shared" si="88"/>
        <v>0</v>
      </c>
      <c r="L319" s="169">
        <f t="shared" si="88"/>
        <v>0</v>
      </c>
      <c r="M319" s="169">
        <f t="shared" si="88"/>
        <v>0</v>
      </c>
      <c r="N319" s="169" t="e">
        <f t="shared" ca="1" si="74"/>
        <v>#VALUE!</v>
      </c>
      <c r="O319" s="171" t="str">
        <f t="shared" si="75"/>
        <v/>
      </c>
      <c r="P319" s="171" t="str">
        <f t="shared" ca="1" si="76"/>
        <v/>
      </c>
      <c r="Q319" s="170">
        <f t="shared" ca="1" si="77"/>
        <v>0</v>
      </c>
      <c r="R319" s="170">
        <f t="shared" ca="1" si="78"/>
        <v>0</v>
      </c>
      <c r="S319" s="171" t="b">
        <f t="shared" si="79"/>
        <v>0</v>
      </c>
      <c r="T319" s="171" t="b">
        <f t="shared" ca="1" si="80"/>
        <v>0</v>
      </c>
      <c r="U319" s="172"/>
    </row>
    <row r="320" spans="1:21" hidden="1">
      <c r="A320" s="143">
        <v>234</v>
      </c>
      <c r="B320" s="167">
        <f t="shared" si="87"/>
        <v>0</v>
      </c>
      <c r="C320" s="167">
        <f t="shared" si="87"/>
        <v>0</v>
      </c>
      <c r="D320" s="167">
        <f t="shared" si="87"/>
        <v>0</v>
      </c>
      <c r="E320" s="168">
        <f t="shared" si="87"/>
        <v>0</v>
      </c>
      <c r="F320" s="167">
        <f t="shared" si="87"/>
        <v>0</v>
      </c>
      <c r="G320" s="168">
        <f t="shared" si="87"/>
        <v>0</v>
      </c>
      <c r="H320" s="169">
        <f t="shared" si="87"/>
        <v>0</v>
      </c>
      <c r="I320" s="169" t="e">
        <f t="shared" ca="1" si="73"/>
        <v>#VALUE!</v>
      </c>
      <c r="J320" s="169">
        <f t="shared" si="88"/>
        <v>0</v>
      </c>
      <c r="K320" s="170">
        <f t="shared" si="88"/>
        <v>0</v>
      </c>
      <c r="L320" s="169">
        <f t="shared" si="88"/>
        <v>0</v>
      </c>
      <c r="M320" s="169">
        <f t="shared" si="88"/>
        <v>0</v>
      </c>
      <c r="N320" s="169" t="e">
        <f t="shared" ca="1" si="74"/>
        <v>#VALUE!</v>
      </c>
      <c r="O320" s="171" t="str">
        <f t="shared" si="75"/>
        <v/>
      </c>
      <c r="P320" s="171" t="str">
        <f t="shared" ca="1" si="76"/>
        <v/>
      </c>
      <c r="Q320" s="170">
        <f t="shared" ca="1" si="77"/>
        <v>0</v>
      </c>
      <c r="R320" s="170">
        <f t="shared" ca="1" si="78"/>
        <v>0</v>
      </c>
      <c r="S320" s="171" t="b">
        <f t="shared" si="79"/>
        <v>0</v>
      </c>
      <c r="T320" s="171" t="b">
        <f t="shared" ca="1" si="80"/>
        <v>0</v>
      </c>
      <c r="U320" s="172"/>
    </row>
    <row r="321" spans="1:21" hidden="1">
      <c r="A321" s="143">
        <v>249</v>
      </c>
      <c r="B321" s="167">
        <f t="shared" ref="B321:H330" si="89">IF($A321&lt;=$A$8,INDEX(Import.PO,$A321,B$8),0)</f>
        <v>0</v>
      </c>
      <c r="C321" s="167">
        <f t="shared" si="89"/>
        <v>0</v>
      </c>
      <c r="D321" s="167">
        <f t="shared" si="89"/>
        <v>0</v>
      </c>
      <c r="E321" s="168">
        <f t="shared" si="89"/>
        <v>0</v>
      </c>
      <c r="F321" s="167">
        <f t="shared" si="89"/>
        <v>0</v>
      </c>
      <c r="G321" s="168">
        <f t="shared" si="89"/>
        <v>0</v>
      </c>
      <c r="H321" s="169">
        <f t="shared" si="89"/>
        <v>0</v>
      </c>
      <c r="I321" s="169" t="e">
        <f t="shared" ca="1" si="73"/>
        <v>#VALUE!</v>
      </c>
      <c r="J321" s="169">
        <f t="shared" si="88"/>
        <v>0</v>
      </c>
      <c r="K321" s="170">
        <f t="shared" si="88"/>
        <v>0</v>
      </c>
      <c r="L321" s="169">
        <f t="shared" si="88"/>
        <v>0</v>
      </c>
      <c r="M321" s="169">
        <f t="shared" si="88"/>
        <v>0</v>
      </c>
      <c r="N321" s="169" t="e">
        <f t="shared" ca="1" si="74"/>
        <v>#VALUE!</v>
      </c>
      <c r="O321" s="171" t="str">
        <f t="shared" si="75"/>
        <v/>
      </c>
      <c r="P321" s="171" t="str">
        <f t="shared" ca="1" si="76"/>
        <v/>
      </c>
      <c r="Q321" s="170">
        <f t="shared" ca="1" si="77"/>
        <v>0</v>
      </c>
      <c r="R321" s="170">
        <f t="shared" ca="1" si="78"/>
        <v>0</v>
      </c>
      <c r="S321" s="171" t="b">
        <f t="shared" si="79"/>
        <v>0</v>
      </c>
      <c r="T321" s="171" t="b">
        <f t="shared" ca="1" si="80"/>
        <v>0</v>
      </c>
      <c r="U321" s="172"/>
    </row>
    <row r="322" spans="1:21" hidden="1">
      <c r="A322" s="143">
        <v>289</v>
      </c>
      <c r="B322" s="167">
        <f t="shared" si="89"/>
        <v>0</v>
      </c>
      <c r="C322" s="167">
        <f t="shared" si="89"/>
        <v>0</v>
      </c>
      <c r="D322" s="167">
        <f t="shared" si="89"/>
        <v>0</v>
      </c>
      <c r="E322" s="168">
        <f t="shared" si="89"/>
        <v>0</v>
      </c>
      <c r="F322" s="167">
        <f t="shared" si="89"/>
        <v>0</v>
      </c>
      <c r="G322" s="168">
        <f t="shared" si="89"/>
        <v>0</v>
      </c>
      <c r="H322" s="169">
        <f t="shared" si="89"/>
        <v>0</v>
      </c>
      <c r="I322" s="169" t="e">
        <f t="shared" ca="1" si="73"/>
        <v>#VALUE!</v>
      </c>
      <c r="J322" s="169">
        <f t="shared" si="88"/>
        <v>0</v>
      </c>
      <c r="K322" s="170">
        <f t="shared" si="88"/>
        <v>0</v>
      </c>
      <c r="L322" s="169">
        <f t="shared" si="88"/>
        <v>0</v>
      </c>
      <c r="M322" s="169">
        <f t="shared" si="88"/>
        <v>0</v>
      </c>
      <c r="N322" s="169" t="e">
        <f t="shared" ca="1" si="74"/>
        <v>#VALUE!</v>
      </c>
      <c r="O322" s="171" t="str">
        <f t="shared" si="75"/>
        <v/>
      </c>
      <c r="P322" s="171" t="str">
        <f t="shared" ca="1" si="76"/>
        <v/>
      </c>
      <c r="Q322" s="170">
        <f t="shared" ca="1" si="77"/>
        <v>0</v>
      </c>
      <c r="R322" s="170">
        <f t="shared" ca="1" si="78"/>
        <v>0</v>
      </c>
      <c r="S322" s="171" t="b">
        <f t="shared" si="79"/>
        <v>0</v>
      </c>
      <c r="T322" s="171" t="b">
        <f t="shared" ca="1" si="80"/>
        <v>0</v>
      </c>
      <c r="U322" s="172"/>
    </row>
    <row r="323" spans="1:21" hidden="1">
      <c r="A323" s="143">
        <v>339</v>
      </c>
      <c r="B323" s="167">
        <f t="shared" si="89"/>
        <v>0</v>
      </c>
      <c r="C323" s="167">
        <f t="shared" si="89"/>
        <v>0</v>
      </c>
      <c r="D323" s="167">
        <f t="shared" si="89"/>
        <v>0</v>
      </c>
      <c r="E323" s="168">
        <f t="shared" si="89"/>
        <v>0</v>
      </c>
      <c r="F323" s="167">
        <f t="shared" si="89"/>
        <v>0</v>
      </c>
      <c r="G323" s="168">
        <f t="shared" si="89"/>
        <v>0</v>
      </c>
      <c r="H323" s="169">
        <f t="shared" si="89"/>
        <v>0</v>
      </c>
      <c r="I323" s="169" t="e">
        <f t="shared" ca="1" si="73"/>
        <v>#VALUE!</v>
      </c>
      <c r="J323" s="169">
        <f t="shared" si="88"/>
        <v>0</v>
      </c>
      <c r="K323" s="170">
        <f t="shared" si="88"/>
        <v>0</v>
      </c>
      <c r="L323" s="169">
        <f t="shared" si="88"/>
        <v>0</v>
      </c>
      <c r="M323" s="169">
        <f t="shared" si="88"/>
        <v>0</v>
      </c>
      <c r="N323" s="169" t="e">
        <f t="shared" ca="1" si="74"/>
        <v>#VALUE!</v>
      </c>
      <c r="O323" s="171" t="str">
        <f t="shared" si="75"/>
        <v/>
      </c>
      <c r="P323" s="171" t="str">
        <f t="shared" ca="1" si="76"/>
        <v/>
      </c>
      <c r="Q323" s="170">
        <f t="shared" ca="1" si="77"/>
        <v>0</v>
      </c>
      <c r="R323" s="170">
        <f t="shared" ca="1" si="78"/>
        <v>0</v>
      </c>
      <c r="S323" s="171" t="b">
        <f t="shared" si="79"/>
        <v>0</v>
      </c>
      <c r="T323" s="171" t="b">
        <f t="shared" ca="1" si="80"/>
        <v>0</v>
      </c>
      <c r="U323" s="172"/>
    </row>
    <row r="324" spans="1:21" hidden="1">
      <c r="A324" s="143">
        <v>451</v>
      </c>
      <c r="B324" s="167">
        <f t="shared" si="89"/>
        <v>0</v>
      </c>
      <c r="C324" s="167">
        <f t="shared" si="89"/>
        <v>0</v>
      </c>
      <c r="D324" s="167">
        <f t="shared" si="89"/>
        <v>0</v>
      </c>
      <c r="E324" s="168">
        <f t="shared" si="89"/>
        <v>0</v>
      </c>
      <c r="F324" s="167">
        <f t="shared" si="89"/>
        <v>0</v>
      </c>
      <c r="G324" s="168">
        <f t="shared" si="89"/>
        <v>0</v>
      </c>
      <c r="H324" s="169">
        <f t="shared" si="89"/>
        <v>0</v>
      </c>
      <c r="I324" s="169" t="e">
        <f t="shared" ca="1" si="73"/>
        <v>#VALUE!</v>
      </c>
      <c r="J324" s="169">
        <f t="shared" si="88"/>
        <v>0</v>
      </c>
      <c r="K324" s="170">
        <f t="shared" si="88"/>
        <v>0</v>
      </c>
      <c r="L324" s="169">
        <f t="shared" si="88"/>
        <v>0</v>
      </c>
      <c r="M324" s="169">
        <f t="shared" si="88"/>
        <v>0</v>
      </c>
      <c r="N324" s="169" t="e">
        <f t="shared" ca="1" si="74"/>
        <v>#VALUE!</v>
      </c>
      <c r="O324" s="171" t="str">
        <f t="shared" si="75"/>
        <v/>
      </c>
      <c r="P324" s="171" t="str">
        <f t="shared" ca="1" si="76"/>
        <v/>
      </c>
      <c r="Q324" s="170">
        <f t="shared" ca="1" si="77"/>
        <v>0</v>
      </c>
      <c r="R324" s="170">
        <f t="shared" ca="1" si="78"/>
        <v>0</v>
      </c>
      <c r="S324" s="171" t="b">
        <f t="shared" si="79"/>
        <v>0</v>
      </c>
      <c r="T324" s="171" t="b">
        <f t="shared" ca="1" si="80"/>
        <v>0</v>
      </c>
      <c r="U324" s="172"/>
    </row>
    <row r="325" spans="1:21" hidden="1">
      <c r="A325" s="143">
        <v>446</v>
      </c>
      <c r="B325" s="167">
        <f t="shared" si="89"/>
        <v>0</v>
      </c>
      <c r="C325" s="167">
        <f t="shared" si="89"/>
        <v>0</v>
      </c>
      <c r="D325" s="167">
        <f t="shared" si="89"/>
        <v>0</v>
      </c>
      <c r="E325" s="168">
        <f t="shared" si="89"/>
        <v>0</v>
      </c>
      <c r="F325" s="167">
        <f t="shared" si="89"/>
        <v>0</v>
      </c>
      <c r="G325" s="168">
        <f t="shared" si="89"/>
        <v>0</v>
      </c>
      <c r="H325" s="169">
        <f t="shared" si="89"/>
        <v>0</v>
      </c>
      <c r="I325" s="169" t="e">
        <f t="shared" ca="1" si="73"/>
        <v>#VALUE!</v>
      </c>
      <c r="J325" s="169">
        <f t="shared" si="88"/>
        <v>0</v>
      </c>
      <c r="K325" s="170">
        <f t="shared" si="88"/>
        <v>0</v>
      </c>
      <c r="L325" s="169">
        <f t="shared" si="88"/>
        <v>0</v>
      </c>
      <c r="M325" s="169">
        <f t="shared" si="88"/>
        <v>0</v>
      </c>
      <c r="N325" s="169" t="e">
        <f t="shared" ca="1" si="74"/>
        <v>#VALUE!</v>
      </c>
      <c r="O325" s="171" t="str">
        <f t="shared" si="75"/>
        <v/>
      </c>
      <c r="P325" s="171" t="str">
        <f t="shared" ca="1" si="76"/>
        <v/>
      </c>
      <c r="Q325" s="170">
        <f t="shared" ca="1" si="77"/>
        <v>0</v>
      </c>
      <c r="R325" s="170">
        <f t="shared" ca="1" si="78"/>
        <v>0</v>
      </c>
      <c r="S325" s="171" t="b">
        <f t="shared" si="79"/>
        <v>0</v>
      </c>
      <c r="T325" s="171" t="b">
        <f t="shared" ca="1" si="80"/>
        <v>0</v>
      </c>
      <c r="U325" s="172"/>
    </row>
    <row r="326" spans="1:21" hidden="1">
      <c r="A326" s="143">
        <v>56</v>
      </c>
      <c r="B326" s="167">
        <f t="shared" si="89"/>
        <v>0</v>
      </c>
      <c r="C326" s="167">
        <f t="shared" si="89"/>
        <v>0</v>
      </c>
      <c r="D326" s="167">
        <f t="shared" si="89"/>
        <v>0</v>
      </c>
      <c r="E326" s="168">
        <f t="shared" si="89"/>
        <v>0</v>
      </c>
      <c r="F326" s="167">
        <f t="shared" si="89"/>
        <v>0</v>
      </c>
      <c r="G326" s="168">
        <f t="shared" si="89"/>
        <v>0</v>
      </c>
      <c r="H326" s="169">
        <f t="shared" si="89"/>
        <v>0</v>
      </c>
      <c r="I326" s="169" t="e">
        <f t="shared" ca="1" si="73"/>
        <v>#VALUE!</v>
      </c>
      <c r="J326" s="169">
        <f t="shared" si="88"/>
        <v>0</v>
      </c>
      <c r="K326" s="170">
        <f t="shared" si="88"/>
        <v>0</v>
      </c>
      <c r="L326" s="169">
        <f t="shared" si="88"/>
        <v>0</v>
      </c>
      <c r="M326" s="169">
        <f t="shared" si="88"/>
        <v>0</v>
      </c>
      <c r="N326" s="169" t="e">
        <f t="shared" ca="1" si="74"/>
        <v>#VALUE!</v>
      </c>
      <c r="O326" s="171" t="str">
        <f t="shared" si="75"/>
        <v/>
      </c>
      <c r="P326" s="171" t="str">
        <f t="shared" ca="1" si="76"/>
        <v/>
      </c>
      <c r="Q326" s="170">
        <f t="shared" ca="1" si="77"/>
        <v>0</v>
      </c>
      <c r="R326" s="170">
        <f t="shared" ca="1" si="78"/>
        <v>0</v>
      </c>
      <c r="S326" s="171" t="b">
        <f t="shared" si="79"/>
        <v>0</v>
      </c>
      <c r="T326" s="171" t="b">
        <f t="shared" ca="1" si="80"/>
        <v>0</v>
      </c>
      <c r="U326" s="172"/>
    </row>
    <row r="327" spans="1:21">
      <c r="A327" s="143">
        <v>22</v>
      </c>
      <c r="B327" s="167">
        <f t="shared" si="89"/>
        <v>0</v>
      </c>
      <c r="C327" s="167">
        <f t="shared" si="89"/>
        <v>0</v>
      </c>
      <c r="D327" s="167">
        <f t="shared" si="89"/>
        <v>0</v>
      </c>
      <c r="E327" s="168">
        <f t="shared" si="89"/>
        <v>0</v>
      </c>
      <c r="F327" s="167">
        <f t="shared" si="89"/>
        <v>0</v>
      </c>
      <c r="G327" s="168">
        <f t="shared" si="89"/>
        <v>0</v>
      </c>
      <c r="H327" s="169">
        <f t="shared" si="89"/>
        <v>0</v>
      </c>
      <c r="I327" s="169" t="e">
        <f t="shared" ca="1" si="73"/>
        <v>#VALUE!</v>
      </c>
      <c r="J327" s="169">
        <f t="shared" si="88"/>
        <v>0</v>
      </c>
      <c r="K327" s="170">
        <f t="shared" si="88"/>
        <v>0</v>
      </c>
      <c r="L327" s="169">
        <f t="shared" si="88"/>
        <v>0</v>
      </c>
      <c r="M327" s="169">
        <f t="shared" si="88"/>
        <v>0</v>
      </c>
      <c r="N327" s="169" t="e">
        <f t="shared" ca="1" si="74"/>
        <v>#VALUE!</v>
      </c>
      <c r="O327" s="171" t="str">
        <f t="shared" si="75"/>
        <v/>
      </c>
      <c r="P327" s="171" t="str">
        <f t="shared" ca="1" si="76"/>
        <v/>
      </c>
      <c r="Q327" s="170">
        <f t="shared" ca="1" si="77"/>
        <v>0</v>
      </c>
      <c r="R327" s="170">
        <f t="shared" ca="1" si="78"/>
        <v>0</v>
      </c>
      <c r="S327" s="171" t="b">
        <f t="shared" si="79"/>
        <v>0</v>
      </c>
      <c r="T327" s="171" t="b">
        <f t="shared" ca="1" si="80"/>
        <v>0</v>
      </c>
      <c r="U327" s="172"/>
    </row>
    <row r="328" spans="1:21">
      <c r="A328" s="143">
        <v>76</v>
      </c>
      <c r="B328" s="167">
        <f t="shared" si="89"/>
        <v>0</v>
      </c>
      <c r="C328" s="167">
        <f t="shared" si="89"/>
        <v>0</v>
      </c>
      <c r="D328" s="167">
        <f t="shared" si="89"/>
        <v>0</v>
      </c>
      <c r="E328" s="168">
        <f t="shared" si="89"/>
        <v>0</v>
      </c>
      <c r="F328" s="167">
        <f t="shared" si="89"/>
        <v>0</v>
      </c>
      <c r="G328" s="168">
        <f t="shared" si="89"/>
        <v>0</v>
      </c>
      <c r="H328" s="169">
        <f t="shared" si="89"/>
        <v>0</v>
      </c>
      <c r="I328" s="169" t="e">
        <f t="shared" ca="1" si="73"/>
        <v>#VALUE!</v>
      </c>
      <c r="J328" s="169">
        <f t="shared" si="88"/>
        <v>0</v>
      </c>
      <c r="K328" s="170">
        <f t="shared" si="88"/>
        <v>0</v>
      </c>
      <c r="L328" s="169">
        <f t="shared" si="88"/>
        <v>0</v>
      </c>
      <c r="M328" s="169">
        <f t="shared" si="88"/>
        <v>0</v>
      </c>
      <c r="N328" s="169" t="e">
        <f t="shared" ca="1" si="74"/>
        <v>#VALUE!</v>
      </c>
      <c r="O328" s="171" t="str">
        <f t="shared" si="75"/>
        <v/>
      </c>
      <c r="P328" s="171" t="str">
        <f t="shared" ca="1" si="76"/>
        <v/>
      </c>
      <c r="Q328" s="170">
        <f t="shared" ca="1" si="77"/>
        <v>0</v>
      </c>
      <c r="R328" s="170">
        <f t="shared" ca="1" si="78"/>
        <v>0</v>
      </c>
      <c r="S328" s="171" t="b">
        <f t="shared" si="79"/>
        <v>0</v>
      </c>
      <c r="T328" s="171" t="b">
        <f t="shared" ca="1" si="80"/>
        <v>0</v>
      </c>
      <c r="U328" s="172"/>
    </row>
    <row r="329" spans="1:21">
      <c r="A329" s="143">
        <v>21</v>
      </c>
      <c r="B329" s="167">
        <f t="shared" si="89"/>
        <v>0</v>
      </c>
      <c r="C329" s="167">
        <f t="shared" si="89"/>
        <v>0</v>
      </c>
      <c r="D329" s="167">
        <f t="shared" si="89"/>
        <v>0</v>
      </c>
      <c r="E329" s="168">
        <f t="shared" si="89"/>
        <v>0</v>
      </c>
      <c r="F329" s="167">
        <f t="shared" si="89"/>
        <v>0</v>
      </c>
      <c r="G329" s="168">
        <f t="shared" si="89"/>
        <v>0</v>
      </c>
      <c r="H329" s="169">
        <f t="shared" si="89"/>
        <v>0</v>
      </c>
      <c r="I329" s="169" t="e">
        <f t="shared" ca="1" si="73"/>
        <v>#VALUE!</v>
      </c>
      <c r="J329" s="169">
        <f t="shared" si="88"/>
        <v>0</v>
      </c>
      <c r="K329" s="170">
        <f t="shared" si="88"/>
        <v>0</v>
      </c>
      <c r="L329" s="169">
        <f t="shared" si="88"/>
        <v>0</v>
      </c>
      <c r="M329" s="169">
        <f t="shared" si="88"/>
        <v>0</v>
      </c>
      <c r="N329" s="169" t="e">
        <f t="shared" ca="1" si="74"/>
        <v>#VALUE!</v>
      </c>
      <c r="O329" s="171" t="str">
        <f t="shared" si="75"/>
        <v/>
      </c>
      <c r="P329" s="171" t="str">
        <f t="shared" ca="1" si="76"/>
        <v/>
      </c>
      <c r="Q329" s="170">
        <f t="shared" ca="1" si="77"/>
        <v>0</v>
      </c>
      <c r="R329" s="170">
        <f t="shared" ca="1" si="78"/>
        <v>0</v>
      </c>
      <c r="S329" s="171" t="b">
        <f t="shared" si="79"/>
        <v>0</v>
      </c>
      <c r="T329" s="171" t="b">
        <f t="shared" ca="1" si="80"/>
        <v>0</v>
      </c>
      <c r="U329" s="172"/>
    </row>
    <row r="330" spans="1:21">
      <c r="A330" s="143">
        <v>107</v>
      </c>
      <c r="B330" s="167">
        <f t="shared" si="89"/>
        <v>0</v>
      </c>
      <c r="C330" s="167">
        <f t="shared" si="89"/>
        <v>0</v>
      </c>
      <c r="D330" s="167">
        <f t="shared" si="89"/>
        <v>0</v>
      </c>
      <c r="E330" s="168">
        <f t="shared" si="89"/>
        <v>0</v>
      </c>
      <c r="F330" s="167">
        <f t="shared" si="89"/>
        <v>0</v>
      </c>
      <c r="G330" s="168">
        <f t="shared" si="89"/>
        <v>0</v>
      </c>
      <c r="H330" s="169">
        <f t="shared" si="89"/>
        <v>0</v>
      </c>
      <c r="I330" s="169" t="e">
        <f t="shared" ca="1" si="73"/>
        <v>#VALUE!</v>
      </c>
      <c r="J330" s="169">
        <f t="shared" si="88"/>
        <v>0</v>
      </c>
      <c r="K330" s="170">
        <f t="shared" si="88"/>
        <v>0</v>
      </c>
      <c r="L330" s="169">
        <f t="shared" si="88"/>
        <v>0</v>
      </c>
      <c r="M330" s="169">
        <f t="shared" si="88"/>
        <v>0</v>
      </c>
      <c r="N330" s="169" t="e">
        <f t="shared" ca="1" si="74"/>
        <v>#VALUE!</v>
      </c>
      <c r="O330" s="171" t="str">
        <f t="shared" si="75"/>
        <v/>
      </c>
      <c r="P330" s="171" t="str">
        <f t="shared" ca="1" si="76"/>
        <v/>
      </c>
      <c r="Q330" s="170">
        <f t="shared" ca="1" si="77"/>
        <v>0</v>
      </c>
      <c r="R330" s="170">
        <f t="shared" ca="1" si="78"/>
        <v>0</v>
      </c>
      <c r="S330" s="171" t="b">
        <f t="shared" si="79"/>
        <v>0</v>
      </c>
      <c r="T330" s="171" t="b">
        <f t="shared" ca="1" si="80"/>
        <v>0</v>
      </c>
      <c r="U330" s="172"/>
    </row>
    <row r="331" spans="1:21">
      <c r="A331" s="143">
        <v>37</v>
      </c>
      <c r="B331" s="167">
        <f t="shared" ref="B331:H340" si="90">IF($A331&lt;=$A$8,INDEX(Import.PO,$A331,B$8),0)</f>
        <v>0</v>
      </c>
      <c r="C331" s="167">
        <f t="shared" si="90"/>
        <v>0</v>
      </c>
      <c r="D331" s="167">
        <f t="shared" si="90"/>
        <v>0</v>
      </c>
      <c r="E331" s="168">
        <f t="shared" si="90"/>
        <v>0</v>
      </c>
      <c r="F331" s="167">
        <f t="shared" si="90"/>
        <v>0</v>
      </c>
      <c r="G331" s="168">
        <f t="shared" si="90"/>
        <v>0</v>
      </c>
      <c r="H331" s="169">
        <f t="shared" si="90"/>
        <v>0</v>
      </c>
      <c r="I331" s="169" t="e">
        <f t="shared" ref="I331:I394" ca="1" si="91">IF($P331=ROW($P331)-ROW($P$10),SUMIF(OFFSET($P$10,1,0,$A$7),$P331,OFFSET($H$10,1,0,$A$7)),OFFSET($I$10,$P331,0))</f>
        <v>#VALUE!</v>
      </c>
      <c r="J331" s="169">
        <f t="shared" ref="J331:M350" si="92">IF($A331&lt;=$A$8,INDEX(Import.PO,$A331,J$8),0)</f>
        <v>0</v>
      </c>
      <c r="K331" s="170">
        <f t="shared" si="92"/>
        <v>0</v>
      </c>
      <c r="L331" s="169">
        <f t="shared" si="92"/>
        <v>0</v>
      </c>
      <c r="M331" s="169">
        <f t="shared" si="92"/>
        <v>0</v>
      </c>
      <c r="N331" s="169" t="e">
        <f t="shared" ref="N331:N394" ca="1" si="93">IF($P331=ROW($P331)-ROW($P$10),SUMIF(OFFSET($P$10,1,0,$A$7),$P331,OFFSET($M$10,1,0,$A$7)),OFFSET($N$10,$P331,0))</f>
        <v>#VALUE!</v>
      </c>
      <c r="O331" s="171" t="str">
        <f t="shared" ref="O331:O394" si="94">IF($S331,D331&amp;"-"&amp;E331,"")</f>
        <v/>
      </c>
      <c r="P331" s="171" t="str">
        <f t="shared" ref="P331:P394" ca="1" si="95">IF($S331,MATCH(O331,OFFSET($O$10,1,0,$A$7),0),"")</f>
        <v/>
      </c>
      <c r="Q331" s="170">
        <f t="shared" ref="Q331:Q394" ca="1" si="96">IF($P331=ROW($P331)-ROW($P$10),$N331/$M$7,IF(ISNUMBER($P331),TEXT(OFFSET($Q$10,$P331,0)," 0,00% "),0))</f>
        <v>0</v>
      </c>
      <c r="R331" s="170">
        <f t="shared" ref="R331:R394" ca="1" si="97">SUMIF(OFFSET($Q$10,1,0,$A$7),"&gt;="&amp;$N331/$M$7,OFFSET($Q$10,1,0,$A$7))</f>
        <v>0</v>
      </c>
      <c r="S331" s="171" t="b">
        <f t="shared" ref="S331:S394" si="98">E331&lt;&gt;0</f>
        <v>0</v>
      </c>
      <c r="T331" s="171" t="b">
        <f t="shared" ref="T331:T394" ca="1" si="99">IF($P331=ROW($P331)-ROW($P$10),R331&lt;=$Q$8,IF(ISNUMBER($P331),OFFSET($T$10,VALUE($P331),0),FALSE))</f>
        <v>0</v>
      </c>
      <c r="U331" s="172"/>
    </row>
    <row r="332" spans="1:21">
      <c r="A332" s="143">
        <v>77</v>
      </c>
      <c r="B332" s="167">
        <f t="shared" si="90"/>
        <v>0</v>
      </c>
      <c r="C332" s="167">
        <f t="shared" si="90"/>
        <v>0</v>
      </c>
      <c r="D332" s="167">
        <f t="shared" si="90"/>
        <v>0</v>
      </c>
      <c r="E332" s="168">
        <f t="shared" si="90"/>
        <v>0</v>
      </c>
      <c r="F332" s="167">
        <f t="shared" si="90"/>
        <v>0</v>
      </c>
      <c r="G332" s="168">
        <f t="shared" si="90"/>
        <v>0</v>
      </c>
      <c r="H332" s="169">
        <f t="shared" si="90"/>
        <v>0</v>
      </c>
      <c r="I332" s="169" t="e">
        <f t="shared" ca="1" si="91"/>
        <v>#VALUE!</v>
      </c>
      <c r="J332" s="169">
        <f t="shared" si="92"/>
        <v>0</v>
      </c>
      <c r="K332" s="170">
        <f t="shared" si="92"/>
        <v>0</v>
      </c>
      <c r="L332" s="169">
        <f t="shared" si="92"/>
        <v>0</v>
      </c>
      <c r="M332" s="169">
        <f t="shared" si="92"/>
        <v>0</v>
      </c>
      <c r="N332" s="169" t="e">
        <f t="shared" ca="1" si="93"/>
        <v>#VALUE!</v>
      </c>
      <c r="O332" s="171" t="str">
        <f t="shared" si="94"/>
        <v/>
      </c>
      <c r="P332" s="171" t="str">
        <f t="shared" ca="1" si="95"/>
        <v/>
      </c>
      <c r="Q332" s="170">
        <f t="shared" ca="1" si="96"/>
        <v>0</v>
      </c>
      <c r="R332" s="170">
        <f t="shared" ca="1" si="97"/>
        <v>0</v>
      </c>
      <c r="S332" s="171" t="b">
        <f t="shared" si="98"/>
        <v>0</v>
      </c>
      <c r="T332" s="171" t="b">
        <f t="shared" ca="1" si="99"/>
        <v>0</v>
      </c>
      <c r="U332" s="172"/>
    </row>
    <row r="333" spans="1:21">
      <c r="A333" s="143">
        <v>95</v>
      </c>
      <c r="B333" s="167">
        <f t="shared" si="90"/>
        <v>0</v>
      </c>
      <c r="C333" s="167">
        <f t="shared" si="90"/>
        <v>0</v>
      </c>
      <c r="D333" s="167">
        <f t="shared" si="90"/>
        <v>0</v>
      </c>
      <c r="E333" s="168">
        <f t="shared" si="90"/>
        <v>0</v>
      </c>
      <c r="F333" s="167">
        <f t="shared" si="90"/>
        <v>0</v>
      </c>
      <c r="G333" s="168">
        <f t="shared" si="90"/>
        <v>0</v>
      </c>
      <c r="H333" s="169">
        <f t="shared" si="90"/>
        <v>0</v>
      </c>
      <c r="I333" s="169" t="e">
        <f t="shared" ca="1" si="91"/>
        <v>#VALUE!</v>
      </c>
      <c r="J333" s="169">
        <f t="shared" si="92"/>
        <v>0</v>
      </c>
      <c r="K333" s="170">
        <f t="shared" si="92"/>
        <v>0</v>
      </c>
      <c r="L333" s="169">
        <f t="shared" si="92"/>
        <v>0</v>
      </c>
      <c r="M333" s="169">
        <f t="shared" si="92"/>
        <v>0</v>
      </c>
      <c r="N333" s="169" t="e">
        <f t="shared" ca="1" si="93"/>
        <v>#VALUE!</v>
      </c>
      <c r="O333" s="171" t="str">
        <f t="shared" si="94"/>
        <v/>
      </c>
      <c r="P333" s="171" t="str">
        <f t="shared" ca="1" si="95"/>
        <v/>
      </c>
      <c r="Q333" s="170">
        <f t="shared" ca="1" si="96"/>
        <v>0</v>
      </c>
      <c r="R333" s="170">
        <f t="shared" ca="1" si="97"/>
        <v>0</v>
      </c>
      <c r="S333" s="171" t="b">
        <f t="shared" si="98"/>
        <v>0</v>
      </c>
      <c r="T333" s="171" t="b">
        <f t="shared" ca="1" si="99"/>
        <v>0</v>
      </c>
      <c r="U333" s="172"/>
    </row>
    <row r="334" spans="1:21">
      <c r="A334" s="143">
        <v>47</v>
      </c>
      <c r="B334" s="167">
        <f t="shared" si="90"/>
        <v>0</v>
      </c>
      <c r="C334" s="167">
        <f t="shared" si="90"/>
        <v>0</v>
      </c>
      <c r="D334" s="167">
        <f t="shared" si="90"/>
        <v>0</v>
      </c>
      <c r="E334" s="168">
        <f t="shared" si="90"/>
        <v>0</v>
      </c>
      <c r="F334" s="167">
        <f t="shared" si="90"/>
        <v>0</v>
      </c>
      <c r="G334" s="168">
        <f t="shared" si="90"/>
        <v>0</v>
      </c>
      <c r="H334" s="169">
        <f t="shared" si="90"/>
        <v>0</v>
      </c>
      <c r="I334" s="169" t="e">
        <f t="shared" ca="1" si="91"/>
        <v>#VALUE!</v>
      </c>
      <c r="J334" s="169">
        <f t="shared" si="92"/>
        <v>0</v>
      </c>
      <c r="K334" s="170">
        <f t="shared" si="92"/>
        <v>0</v>
      </c>
      <c r="L334" s="169">
        <f t="shared" si="92"/>
        <v>0</v>
      </c>
      <c r="M334" s="169">
        <f t="shared" si="92"/>
        <v>0</v>
      </c>
      <c r="N334" s="169" t="e">
        <f t="shared" ca="1" si="93"/>
        <v>#VALUE!</v>
      </c>
      <c r="O334" s="171" t="str">
        <f t="shared" si="94"/>
        <v/>
      </c>
      <c r="P334" s="171" t="str">
        <f t="shared" ca="1" si="95"/>
        <v/>
      </c>
      <c r="Q334" s="170">
        <f t="shared" ca="1" si="96"/>
        <v>0</v>
      </c>
      <c r="R334" s="170">
        <f t="shared" ca="1" si="97"/>
        <v>0</v>
      </c>
      <c r="S334" s="171" t="b">
        <f t="shared" si="98"/>
        <v>0</v>
      </c>
      <c r="T334" s="171" t="b">
        <f t="shared" ca="1" si="99"/>
        <v>0</v>
      </c>
      <c r="U334" s="172"/>
    </row>
    <row r="335" spans="1:21">
      <c r="A335" s="143">
        <v>123</v>
      </c>
      <c r="B335" s="167">
        <f t="shared" si="90"/>
        <v>0</v>
      </c>
      <c r="C335" s="167">
        <f t="shared" si="90"/>
        <v>0</v>
      </c>
      <c r="D335" s="167">
        <f t="shared" si="90"/>
        <v>0</v>
      </c>
      <c r="E335" s="168">
        <f t="shared" si="90"/>
        <v>0</v>
      </c>
      <c r="F335" s="167">
        <f t="shared" si="90"/>
        <v>0</v>
      </c>
      <c r="G335" s="168">
        <f t="shared" si="90"/>
        <v>0</v>
      </c>
      <c r="H335" s="169">
        <f t="shared" si="90"/>
        <v>0</v>
      </c>
      <c r="I335" s="169" t="e">
        <f t="shared" ca="1" si="91"/>
        <v>#VALUE!</v>
      </c>
      <c r="J335" s="169">
        <f t="shared" si="92"/>
        <v>0</v>
      </c>
      <c r="K335" s="170">
        <f t="shared" si="92"/>
        <v>0</v>
      </c>
      <c r="L335" s="169">
        <f t="shared" si="92"/>
        <v>0</v>
      </c>
      <c r="M335" s="169">
        <f t="shared" si="92"/>
        <v>0</v>
      </c>
      <c r="N335" s="169" t="e">
        <f t="shared" ca="1" si="93"/>
        <v>#VALUE!</v>
      </c>
      <c r="O335" s="171" t="str">
        <f t="shared" si="94"/>
        <v/>
      </c>
      <c r="P335" s="171" t="str">
        <f t="shared" ca="1" si="95"/>
        <v/>
      </c>
      <c r="Q335" s="170">
        <f t="shared" ca="1" si="96"/>
        <v>0</v>
      </c>
      <c r="R335" s="170">
        <f t="shared" ca="1" si="97"/>
        <v>0</v>
      </c>
      <c r="S335" s="171" t="b">
        <f t="shared" si="98"/>
        <v>0</v>
      </c>
      <c r="T335" s="171" t="b">
        <f t="shared" ca="1" si="99"/>
        <v>0</v>
      </c>
      <c r="U335" s="172"/>
    </row>
    <row r="336" spans="1:21">
      <c r="A336" s="143">
        <v>128</v>
      </c>
      <c r="B336" s="167">
        <f t="shared" si="90"/>
        <v>0</v>
      </c>
      <c r="C336" s="167">
        <f t="shared" si="90"/>
        <v>0</v>
      </c>
      <c r="D336" s="167">
        <f t="shared" si="90"/>
        <v>0</v>
      </c>
      <c r="E336" s="168">
        <f t="shared" si="90"/>
        <v>0</v>
      </c>
      <c r="F336" s="167">
        <f t="shared" si="90"/>
        <v>0</v>
      </c>
      <c r="G336" s="168">
        <f t="shared" si="90"/>
        <v>0</v>
      </c>
      <c r="H336" s="169">
        <f t="shared" si="90"/>
        <v>0</v>
      </c>
      <c r="I336" s="169" t="e">
        <f t="shared" ca="1" si="91"/>
        <v>#VALUE!</v>
      </c>
      <c r="J336" s="169">
        <f t="shared" si="92"/>
        <v>0</v>
      </c>
      <c r="K336" s="170">
        <f t="shared" si="92"/>
        <v>0</v>
      </c>
      <c r="L336" s="169">
        <f t="shared" si="92"/>
        <v>0</v>
      </c>
      <c r="M336" s="169">
        <f t="shared" si="92"/>
        <v>0</v>
      </c>
      <c r="N336" s="169" t="e">
        <f t="shared" ca="1" si="93"/>
        <v>#VALUE!</v>
      </c>
      <c r="O336" s="171" t="str">
        <f t="shared" si="94"/>
        <v/>
      </c>
      <c r="P336" s="171" t="str">
        <f t="shared" ca="1" si="95"/>
        <v/>
      </c>
      <c r="Q336" s="170">
        <f t="shared" ca="1" si="96"/>
        <v>0</v>
      </c>
      <c r="R336" s="170">
        <f t="shared" ca="1" si="97"/>
        <v>0</v>
      </c>
      <c r="S336" s="171" t="b">
        <f t="shared" si="98"/>
        <v>0</v>
      </c>
      <c r="T336" s="171" t="b">
        <f t="shared" ca="1" si="99"/>
        <v>0</v>
      </c>
      <c r="U336" s="172"/>
    </row>
    <row r="337" spans="1:21">
      <c r="A337" s="143">
        <v>103</v>
      </c>
      <c r="B337" s="167">
        <f t="shared" si="90"/>
        <v>0</v>
      </c>
      <c r="C337" s="167">
        <f t="shared" si="90"/>
        <v>0</v>
      </c>
      <c r="D337" s="167">
        <f t="shared" si="90"/>
        <v>0</v>
      </c>
      <c r="E337" s="168">
        <f t="shared" si="90"/>
        <v>0</v>
      </c>
      <c r="F337" s="167">
        <f t="shared" si="90"/>
        <v>0</v>
      </c>
      <c r="G337" s="168">
        <f t="shared" si="90"/>
        <v>0</v>
      </c>
      <c r="H337" s="169">
        <f t="shared" si="90"/>
        <v>0</v>
      </c>
      <c r="I337" s="169" t="e">
        <f t="shared" ca="1" si="91"/>
        <v>#VALUE!</v>
      </c>
      <c r="J337" s="169">
        <f t="shared" si="92"/>
        <v>0</v>
      </c>
      <c r="K337" s="170">
        <f t="shared" si="92"/>
        <v>0</v>
      </c>
      <c r="L337" s="169">
        <f t="shared" si="92"/>
        <v>0</v>
      </c>
      <c r="M337" s="169">
        <f t="shared" si="92"/>
        <v>0</v>
      </c>
      <c r="N337" s="169" t="e">
        <f t="shared" ca="1" si="93"/>
        <v>#VALUE!</v>
      </c>
      <c r="O337" s="171" t="str">
        <f t="shared" si="94"/>
        <v/>
      </c>
      <c r="P337" s="171" t="str">
        <f t="shared" ca="1" si="95"/>
        <v/>
      </c>
      <c r="Q337" s="170">
        <f t="shared" ca="1" si="96"/>
        <v>0</v>
      </c>
      <c r="R337" s="170">
        <f t="shared" ca="1" si="97"/>
        <v>0</v>
      </c>
      <c r="S337" s="171" t="b">
        <f t="shared" si="98"/>
        <v>0</v>
      </c>
      <c r="T337" s="171" t="b">
        <f t="shared" ca="1" si="99"/>
        <v>0</v>
      </c>
      <c r="U337" s="172"/>
    </row>
    <row r="338" spans="1:21">
      <c r="A338" s="143">
        <v>96</v>
      </c>
      <c r="B338" s="167">
        <f t="shared" si="90"/>
        <v>0</v>
      </c>
      <c r="C338" s="167">
        <f t="shared" si="90"/>
        <v>0</v>
      </c>
      <c r="D338" s="167">
        <f t="shared" si="90"/>
        <v>0</v>
      </c>
      <c r="E338" s="168">
        <f t="shared" si="90"/>
        <v>0</v>
      </c>
      <c r="F338" s="167">
        <f t="shared" si="90"/>
        <v>0</v>
      </c>
      <c r="G338" s="168">
        <f t="shared" si="90"/>
        <v>0</v>
      </c>
      <c r="H338" s="169">
        <f t="shared" si="90"/>
        <v>0</v>
      </c>
      <c r="I338" s="169" t="e">
        <f t="shared" ca="1" si="91"/>
        <v>#VALUE!</v>
      </c>
      <c r="J338" s="169">
        <f t="shared" si="92"/>
        <v>0</v>
      </c>
      <c r="K338" s="170">
        <f t="shared" si="92"/>
        <v>0</v>
      </c>
      <c r="L338" s="169">
        <f t="shared" si="92"/>
        <v>0</v>
      </c>
      <c r="M338" s="169">
        <f t="shared" si="92"/>
        <v>0</v>
      </c>
      <c r="N338" s="169" t="e">
        <f t="shared" ca="1" si="93"/>
        <v>#VALUE!</v>
      </c>
      <c r="O338" s="171" t="str">
        <f t="shared" si="94"/>
        <v/>
      </c>
      <c r="P338" s="171" t="str">
        <f t="shared" ca="1" si="95"/>
        <v/>
      </c>
      <c r="Q338" s="170">
        <f t="shared" ca="1" si="96"/>
        <v>0</v>
      </c>
      <c r="R338" s="170">
        <f t="shared" ca="1" si="97"/>
        <v>0</v>
      </c>
      <c r="S338" s="171" t="b">
        <f t="shared" si="98"/>
        <v>0</v>
      </c>
      <c r="T338" s="171" t="b">
        <f t="shared" ca="1" si="99"/>
        <v>0</v>
      </c>
      <c r="U338" s="172"/>
    </row>
    <row r="339" spans="1:21">
      <c r="A339" s="143">
        <v>4</v>
      </c>
      <c r="B339" s="167">
        <f t="shared" si="90"/>
        <v>0</v>
      </c>
      <c r="C339" s="167">
        <f t="shared" si="90"/>
        <v>0</v>
      </c>
      <c r="D339" s="167">
        <f t="shared" si="90"/>
        <v>0</v>
      </c>
      <c r="E339" s="168">
        <f t="shared" si="90"/>
        <v>0</v>
      </c>
      <c r="F339" s="167">
        <f t="shared" si="90"/>
        <v>0</v>
      </c>
      <c r="G339" s="168">
        <f t="shared" si="90"/>
        <v>0</v>
      </c>
      <c r="H339" s="169">
        <f t="shared" si="90"/>
        <v>0</v>
      </c>
      <c r="I339" s="169" t="e">
        <f t="shared" ca="1" si="91"/>
        <v>#VALUE!</v>
      </c>
      <c r="J339" s="169">
        <f t="shared" si="92"/>
        <v>0</v>
      </c>
      <c r="K339" s="170">
        <f t="shared" si="92"/>
        <v>0</v>
      </c>
      <c r="L339" s="169">
        <f t="shared" si="92"/>
        <v>0</v>
      </c>
      <c r="M339" s="169">
        <f t="shared" si="92"/>
        <v>0</v>
      </c>
      <c r="N339" s="169" t="e">
        <f t="shared" ca="1" si="93"/>
        <v>#VALUE!</v>
      </c>
      <c r="O339" s="171" t="str">
        <f t="shared" si="94"/>
        <v/>
      </c>
      <c r="P339" s="171" t="str">
        <f t="shared" ca="1" si="95"/>
        <v/>
      </c>
      <c r="Q339" s="170">
        <f t="shared" ca="1" si="96"/>
        <v>0</v>
      </c>
      <c r="R339" s="170">
        <f t="shared" ca="1" si="97"/>
        <v>0</v>
      </c>
      <c r="S339" s="171" t="b">
        <f t="shared" si="98"/>
        <v>0</v>
      </c>
      <c r="T339" s="171" t="b">
        <f t="shared" ca="1" si="99"/>
        <v>0</v>
      </c>
      <c r="U339" s="172"/>
    </row>
    <row r="340" spans="1:21">
      <c r="A340" s="143">
        <v>6</v>
      </c>
      <c r="B340" s="167">
        <f t="shared" si="90"/>
        <v>0</v>
      </c>
      <c r="C340" s="167">
        <f t="shared" si="90"/>
        <v>0</v>
      </c>
      <c r="D340" s="167">
        <f t="shared" si="90"/>
        <v>0</v>
      </c>
      <c r="E340" s="168">
        <f t="shared" si="90"/>
        <v>0</v>
      </c>
      <c r="F340" s="167">
        <f t="shared" si="90"/>
        <v>0</v>
      </c>
      <c r="G340" s="168">
        <f t="shared" si="90"/>
        <v>0</v>
      </c>
      <c r="H340" s="169">
        <f t="shared" si="90"/>
        <v>0</v>
      </c>
      <c r="I340" s="169" t="e">
        <f t="shared" ca="1" si="91"/>
        <v>#VALUE!</v>
      </c>
      <c r="J340" s="169">
        <f t="shared" si="92"/>
        <v>0</v>
      </c>
      <c r="K340" s="170">
        <f t="shared" si="92"/>
        <v>0</v>
      </c>
      <c r="L340" s="169">
        <f t="shared" si="92"/>
        <v>0</v>
      </c>
      <c r="M340" s="169">
        <f t="shared" si="92"/>
        <v>0</v>
      </c>
      <c r="N340" s="169" t="e">
        <f t="shared" ca="1" si="93"/>
        <v>#VALUE!</v>
      </c>
      <c r="O340" s="171" t="str">
        <f t="shared" si="94"/>
        <v/>
      </c>
      <c r="P340" s="171" t="str">
        <f t="shared" ca="1" si="95"/>
        <v/>
      </c>
      <c r="Q340" s="170">
        <f t="shared" ca="1" si="96"/>
        <v>0</v>
      </c>
      <c r="R340" s="170">
        <f t="shared" ca="1" si="97"/>
        <v>0</v>
      </c>
      <c r="S340" s="171" t="b">
        <f t="shared" si="98"/>
        <v>0</v>
      </c>
      <c r="T340" s="171" t="b">
        <f t="shared" ca="1" si="99"/>
        <v>0</v>
      </c>
      <c r="U340" s="172"/>
    </row>
    <row r="341" spans="1:21">
      <c r="A341" s="143">
        <v>7</v>
      </c>
      <c r="B341" s="167">
        <f t="shared" ref="B341:H350" si="100">IF($A341&lt;=$A$8,INDEX(Import.PO,$A341,B$8),0)</f>
        <v>0</v>
      </c>
      <c r="C341" s="167">
        <f t="shared" si="100"/>
        <v>0</v>
      </c>
      <c r="D341" s="167">
        <f t="shared" si="100"/>
        <v>0</v>
      </c>
      <c r="E341" s="168">
        <f t="shared" si="100"/>
        <v>0</v>
      </c>
      <c r="F341" s="167">
        <f t="shared" si="100"/>
        <v>0</v>
      </c>
      <c r="G341" s="168">
        <f t="shared" si="100"/>
        <v>0</v>
      </c>
      <c r="H341" s="169">
        <f t="shared" si="100"/>
        <v>0</v>
      </c>
      <c r="I341" s="169" t="e">
        <f t="shared" ca="1" si="91"/>
        <v>#VALUE!</v>
      </c>
      <c r="J341" s="169">
        <f t="shared" si="92"/>
        <v>0</v>
      </c>
      <c r="K341" s="170">
        <f t="shared" si="92"/>
        <v>0</v>
      </c>
      <c r="L341" s="169">
        <f t="shared" si="92"/>
        <v>0</v>
      </c>
      <c r="M341" s="169">
        <f t="shared" si="92"/>
        <v>0</v>
      </c>
      <c r="N341" s="169" t="e">
        <f t="shared" ca="1" si="93"/>
        <v>#VALUE!</v>
      </c>
      <c r="O341" s="171" t="str">
        <f t="shared" si="94"/>
        <v/>
      </c>
      <c r="P341" s="171" t="str">
        <f t="shared" ca="1" si="95"/>
        <v/>
      </c>
      <c r="Q341" s="170">
        <f t="shared" ca="1" si="96"/>
        <v>0</v>
      </c>
      <c r="R341" s="170">
        <f t="shared" ca="1" si="97"/>
        <v>0</v>
      </c>
      <c r="S341" s="171" t="b">
        <f t="shared" si="98"/>
        <v>0</v>
      </c>
      <c r="T341" s="171" t="b">
        <f t="shared" ca="1" si="99"/>
        <v>0</v>
      </c>
      <c r="U341" s="172"/>
    </row>
    <row r="342" spans="1:21">
      <c r="A342" s="143">
        <v>94</v>
      </c>
      <c r="B342" s="167">
        <f t="shared" si="100"/>
        <v>0</v>
      </c>
      <c r="C342" s="167">
        <f t="shared" si="100"/>
        <v>0</v>
      </c>
      <c r="D342" s="167">
        <f t="shared" si="100"/>
        <v>0</v>
      </c>
      <c r="E342" s="168">
        <f t="shared" si="100"/>
        <v>0</v>
      </c>
      <c r="F342" s="167">
        <f t="shared" si="100"/>
        <v>0</v>
      </c>
      <c r="G342" s="168">
        <f t="shared" si="100"/>
        <v>0</v>
      </c>
      <c r="H342" s="169">
        <f t="shared" si="100"/>
        <v>0</v>
      </c>
      <c r="I342" s="169" t="e">
        <f t="shared" ca="1" si="91"/>
        <v>#VALUE!</v>
      </c>
      <c r="J342" s="169">
        <f t="shared" si="92"/>
        <v>0</v>
      </c>
      <c r="K342" s="170">
        <f t="shared" si="92"/>
        <v>0</v>
      </c>
      <c r="L342" s="169">
        <f t="shared" si="92"/>
        <v>0</v>
      </c>
      <c r="M342" s="169">
        <f t="shared" si="92"/>
        <v>0</v>
      </c>
      <c r="N342" s="169" t="e">
        <f t="shared" ca="1" si="93"/>
        <v>#VALUE!</v>
      </c>
      <c r="O342" s="171" t="str">
        <f t="shared" si="94"/>
        <v/>
      </c>
      <c r="P342" s="171" t="str">
        <f t="shared" ca="1" si="95"/>
        <v/>
      </c>
      <c r="Q342" s="170">
        <f t="shared" ca="1" si="96"/>
        <v>0</v>
      </c>
      <c r="R342" s="170">
        <f t="shared" ca="1" si="97"/>
        <v>0</v>
      </c>
      <c r="S342" s="171" t="b">
        <f t="shared" si="98"/>
        <v>0</v>
      </c>
      <c r="T342" s="171" t="b">
        <f t="shared" ca="1" si="99"/>
        <v>0</v>
      </c>
      <c r="U342" s="172"/>
    </row>
    <row r="343" spans="1:21">
      <c r="A343" s="143">
        <v>97</v>
      </c>
      <c r="B343" s="167">
        <f t="shared" si="100"/>
        <v>0</v>
      </c>
      <c r="C343" s="167">
        <f t="shared" si="100"/>
        <v>0</v>
      </c>
      <c r="D343" s="167">
        <f t="shared" si="100"/>
        <v>0</v>
      </c>
      <c r="E343" s="168">
        <f t="shared" si="100"/>
        <v>0</v>
      </c>
      <c r="F343" s="167">
        <f t="shared" si="100"/>
        <v>0</v>
      </c>
      <c r="G343" s="168">
        <f t="shared" si="100"/>
        <v>0</v>
      </c>
      <c r="H343" s="169">
        <f t="shared" si="100"/>
        <v>0</v>
      </c>
      <c r="I343" s="169" t="e">
        <f t="shared" ca="1" si="91"/>
        <v>#VALUE!</v>
      </c>
      <c r="J343" s="169">
        <f t="shared" si="92"/>
        <v>0</v>
      </c>
      <c r="K343" s="170">
        <f t="shared" si="92"/>
        <v>0</v>
      </c>
      <c r="L343" s="169">
        <f t="shared" si="92"/>
        <v>0</v>
      </c>
      <c r="M343" s="169">
        <f t="shared" si="92"/>
        <v>0</v>
      </c>
      <c r="N343" s="169" t="e">
        <f t="shared" ca="1" si="93"/>
        <v>#VALUE!</v>
      </c>
      <c r="O343" s="171" t="str">
        <f t="shared" si="94"/>
        <v/>
      </c>
      <c r="P343" s="171" t="str">
        <f t="shared" ca="1" si="95"/>
        <v/>
      </c>
      <c r="Q343" s="170">
        <f t="shared" ca="1" si="96"/>
        <v>0</v>
      </c>
      <c r="R343" s="170">
        <f t="shared" ca="1" si="97"/>
        <v>0</v>
      </c>
      <c r="S343" s="171" t="b">
        <f t="shared" si="98"/>
        <v>0</v>
      </c>
      <c r="T343" s="171" t="b">
        <f t="shared" ca="1" si="99"/>
        <v>0</v>
      </c>
      <c r="U343" s="172"/>
    </row>
    <row r="344" spans="1:21">
      <c r="A344" s="143">
        <v>443</v>
      </c>
      <c r="B344" s="167">
        <f t="shared" si="100"/>
        <v>0</v>
      </c>
      <c r="C344" s="167">
        <f t="shared" si="100"/>
        <v>0</v>
      </c>
      <c r="D344" s="167">
        <f t="shared" si="100"/>
        <v>0</v>
      </c>
      <c r="E344" s="168">
        <f t="shared" si="100"/>
        <v>0</v>
      </c>
      <c r="F344" s="167">
        <f t="shared" si="100"/>
        <v>0</v>
      </c>
      <c r="G344" s="168">
        <f t="shared" si="100"/>
        <v>0</v>
      </c>
      <c r="H344" s="169">
        <f t="shared" si="100"/>
        <v>0</v>
      </c>
      <c r="I344" s="169" t="e">
        <f t="shared" ca="1" si="91"/>
        <v>#VALUE!</v>
      </c>
      <c r="J344" s="169">
        <f t="shared" si="92"/>
        <v>0</v>
      </c>
      <c r="K344" s="170">
        <f t="shared" si="92"/>
        <v>0</v>
      </c>
      <c r="L344" s="169">
        <f t="shared" si="92"/>
        <v>0</v>
      </c>
      <c r="M344" s="169">
        <f t="shared" si="92"/>
        <v>0</v>
      </c>
      <c r="N344" s="169" t="e">
        <f t="shared" ca="1" si="93"/>
        <v>#VALUE!</v>
      </c>
      <c r="O344" s="171" t="str">
        <f t="shared" si="94"/>
        <v/>
      </c>
      <c r="P344" s="171" t="str">
        <f t="shared" ca="1" si="95"/>
        <v/>
      </c>
      <c r="Q344" s="170">
        <f t="shared" ca="1" si="96"/>
        <v>0</v>
      </c>
      <c r="R344" s="170">
        <f t="shared" ca="1" si="97"/>
        <v>0</v>
      </c>
      <c r="S344" s="171" t="b">
        <f t="shared" si="98"/>
        <v>0</v>
      </c>
      <c r="T344" s="171" t="b">
        <f t="shared" ca="1" si="99"/>
        <v>0</v>
      </c>
      <c r="U344" s="172"/>
    </row>
    <row r="345" spans="1:21">
      <c r="A345" s="143">
        <v>111</v>
      </c>
      <c r="B345" s="167">
        <f t="shared" si="100"/>
        <v>0</v>
      </c>
      <c r="C345" s="167">
        <f t="shared" si="100"/>
        <v>0</v>
      </c>
      <c r="D345" s="167">
        <f t="shared" si="100"/>
        <v>0</v>
      </c>
      <c r="E345" s="168">
        <f t="shared" si="100"/>
        <v>0</v>
      </c>
      <c r="F345" s="167">
        <f t="shared" si="100"/>
        <v>0</v>
      </c>
      <c r="G345" s="168">
        <f t="shared" si="100"/>
        <v>0</v>
      </c>
      <c r="H345" s="169">
        <f t="shared" si="100"/>
        <v>0</v>
      </c>
      <c r="I345" s="169" t="e">
        <f t="shared" ca="1" si="91"/>
        <v>#VALUE!</v>
      </c>
      <c r="J345" s="169">
        <f t="shared" si="92"/>
        <v>0</v>
      </c>
      <c r="K345" s="170">
        <f t="shared" si="92"/>
        <v>0</v>
      </c>
      <c r="L345" s="169">
        <f t="shared" si="92"/>
        <v>0</v>
      </c>
      <c r="M345" s="169">
        <f t="shared" si="92"/>
        <v>0</v>
      </c>
      <c r="N345" s="169" t="e">
        <f t="shared" ca="1" si="93"/>
        <v>#VALUE!</v>
      </c>
      <c r="O345" s="171" t="str">
        <f t="shared" si="94"/>
        <v/>
      </c>
      <c r="P345" s="171" t="str">
        <f t="shared" ca="1" si="95"/>
        <v/>
      </c>
      <c r="Q345" s="170">
        <f t="shared" ca="1" si="96"/>
        <v>0</v>
      </c>
      <c r="R345" s="170">
        <f t="shared" ca="1" si="97"/>
        <v>0</v>
      </c>
      <c r="S345" s="171" t="b">
        <f t="shared" si="98"/>
        <v>0</v>
      </c>
      <c r="T345" s="171" t="b">
        <f t="shared" ca="1" si="99"/>
        <v>0</v>
      </c>
      <c r="U345" s="172"/>
    </row>
    <row r="346" spans="1:21">
      <c r="A346" s="143">
        <v>124</v>
      </c>
      <c r="B346" s="167">
        <f t="shared" si="100"/>
        <v>0</v>
      </c>
      <c r="C346" s="167">
        <f t="shared" si="100"/>
        <v>0</v>
      </c>
      <c r="D346" s="167">
        <f t="shared" si="100"/>
        <v>0</v>
      </c>
      <c r="E346" s="168">
        <f t="shared" si="100"/>
        <v>0</v>
      </c>
      <c r="F346" s="167">
        <f t="shared" si="100"/>
        <v>0</v>
      </c>
      <c r="G346" s="168">
        <f t="shared" si="100"/>
        <v>0</v>
      </c>
      <c r="H346" s="169">
        <f t="shared" si="100"/>
        <v>0</v>
      </c>
      <c r="I346" s="169" t="e">
        <f t="shared" ca="1" si="91"/>
        <v>#VALUE!</v>
      </c>
      <c r="J346" s="169">
        <f t="shared" si="92"/>
        <v>0</v>
      </c>
      <c r="K346" s="170">
        <f t="shared" si="92"/>
        <v>0</v>
      </c>
      <c r="L346" s="169">
        <f t="shared" si="92"/>
        <v>0</v>
      </c>
      <c r="M346" s="169">
        <f t="shared" si="92"/>
        <v>0</v>
      </c>
      <c r="N346" s="169" t="e">
        <f t="shared" ca="1" si="93"/>
        <v>#VALUE!</v>
      </c>
      <c r="O346" s="171" t="str">
        <f t="shared" si="94"/>
        <v/>
      </c>
      <c r="P346" s="171" t="str">
        <f t="shared" ca="1" si="95"/>
        <v/>
      </c>
      <c r="Q346" s="170">
        <f t="shared" ca="1" si="96"/>
        <v>0</v>
      </c>
      <c r="R346" s="170">
        <f t="shared" ca="1" si="97"/>
        <v>0</v>
      </c>
      <c r="S346" s="171" t="b">
        <f t="shared" si="98"/>
        <v>0</v>
      </c>
      <c r="T346" s="171" t="b">
        <f t="shared" ca="1" si="99"/>
        <v>0</v>
      </c>
      <c r="U346" s="172"/>
    </row>
    <row r="347" spans="1:21">
      <c r="A347" s="143">
        <v>33</v>
      </c>
      <c r="B347" s="167">
        <f t="shared" si="100"/>
        <v>0</v>
      </c>
      <c r="C347" s="167">
        <f t="shared" si="100"/>
        <v>0</v>
      </c>
      <c r="D347" s="167">
        <f t="shared" si="100"/>
        <v>0</v>
      </c>
      <c r="E347" s="168">
        <f t="shared" si="100"/>
        <v>0</v>
      </c>
      <c r="F347" s="167">
        <f t="shared" si="100"/>
        <v>0</v>
      </c>
      <c r="G347" s="168">
        <f t="shared" si="100"/>
        <v>0</v>
      </c>
      <c r="H347" s="169">
        <f t="shared" si="100"/>
        <v>0</v>
      </c>
      <c r="I347" s="169" t="e">
        <f t="shared" ca="1" si="91"/>
        <v>#VALUE!</v>
      </c>
      <c r="J347" s="169">
        <f t="shared" si="92"/>
        <v>0</v>
      </c>
      <c r="K347" s="170">
        <f t="shared" si="92"/>
        <v>0</v>
      </c>
      <c r="L347" s="169">
        <f t="shared" si="92"/>
        <v>0</v>
      </c>
      <c r="M347" s="169">
        <f t="shared" si="92"/>
        <v>0</v>
      </c>
      <c r="N347" s="169" t="e">
        <f t="shared" ca="1" si="93"/>
        <v>#VALUE!</v>
      </c>
      <c r="O347" s="171" t="str">
        <f t="shared" si="94"/>
        <v/>
      </c>
      <c r="P347" s="171" t="str">
        <f t="shared" ca="1" si="95"/>
        <v/>
      </c>
      <c r="Q347" s="170">
        <f t="shared" ca="1" si="96"/>
        <v>0</v>
      </c>
      <c r="R347" s="170">
        <f t="shared" ca="1" si="97"/>
        <v>0</v>
      </c>
      <c r="S347" s="171" t="b">
        <f t="shared" si="98"/>
        <v>0</v>
      </c>
      <c r="T347" s="171" t="b">
        <f t="shared" ca="1" si="99"/>
        <v>0</v>
      </c>
      <c r="U347" s="172"/>
    </row>
    <row r="348" spans="1:21">
      <c r="A348" s="143">
        <v>444</v>
      </c>
      <c r="B348" s="167">
        <f t="shared" si="100"/>
        <v>0</v>
      </c>
      <c r="C348" s="167">
        <f t="shared" si="100"/>
        <v>0</v>
      </c>
      <c r="D348" s="167">
        <f t="shared" si="100"/>
        <v>0</v>
      </c>
      <c r="E348" s="168">
        <f t="shared" si="100"/>
        <v>0</v>
      </c>
      <c r="F348" s="167">
        <f t="shared" si="100"/>
        <v>0</v>
      </c>
      <c r="G348" s="168">
        <f t="shared" si="100"/>
        <v>0</v>
      </c>
      <c r="H348" s="169">
        <f t="shared" si="100"/>
        <v>0</v>
      </c>
      <c r="I348" s="169" t="e">
        <f t="shared" ca="1" si="91"/>
        <v>#VALUE!</v>
      </c>
      <c r="J348" s="169">
        <f t="shared" si="92"/>
        <v>0</v>
      </c>
      <c r="K348" s="170">
        <f t="shared" si="92"/>
        <v>0</v>
      </c>
      <c r="L348" s="169">
        <f t="shared" si="92"/>
        <v>0</v>
      </c>
      <c r="M348" s="169">
        <f t="shared" si="92"/>
        <v>0</v>
      </c>
      <c r="N348" s="169" t="e">
        <f t="shared" ca="1" si="93"/>
        <v>#VALUE!</v>
      </c>
      <c r="O348" s="171" t="str">
        <f t="shared" si="94"/>
        <v/>
      </c>
      <c r="P348" s="171" t="str">
        <f t="shared" ca="1" si="95"/>
        <v/>
      </c>
      <c r="Q348" s="170">
        <f t="shared" ca="1" si="96"/>
        <v>0</v>
      </c>
      <c r="R348" s="170">
        <f t="shared" ca="1" si="97"/>
        <v>0</v>
      </c>
      <c r="S348" s="171" t="b">
        <f t="shared" si="98"/>
        <v>0</v>
      </c>
      <c r="T348" s="171" t="b">
        <f t="shared" ca="1" si="99"/>
        <v>0</v>
      </c>
      <c r="U348" s="172"/>
    </row>
    <row r="349" spans="1:21">
      <c r="A349" s="143">
        <v>10</v>
      </c>
      <c r="B349" s="167">
        <f t="shared" si="100"/>
        <v>0</v>
      </c>
      <c r="C349" s="167">
        <f t="shared" si="100"/>
        <v>0</v>
      </c>
      <c r="D349" s="167">
        <f t="shared" si="100"/>
        <v>0</v>
      </c>
      <c r="E349" s="168">
        <f t="shared" si="100"/>
        <v>0</v>
      </c>
      <c r="F349" s="167">
        <f t="shared" si="100"/>
        <v>0</v>
      </c>
      <c r="G349" s="168">
        <f t="shared" si="100"/>
        <v>0</v>
      </c>
      <c r="H349" s="169">
        <f t="shared" si="100"/>
        <v>0</v>
      </c>
      <c r="I349" s="169" t="e">
        <f t="shared" ca="1" si="91"/>
        <v>#VALUE!</v>
      </c>
      <c r="J349" s="169">
        <f t="shared" si="92"/>
        <v>0</v>
      </c>
      <c r="K349" s="170">
        <f t="shared" si="92"/>
        <v>0</v>
      </c>
      <c r="L349" s="169">
        <f t="shared" si="92"/>
        <v>0</v>
      </c>
      <c r="M349" s="169">
        <f t="shared" si="92"/>
        <v>0</v>
      </c>
      <c r="N349" s="169" t="e">
        <f t="shared" ca="1" si="93"/>
        <v>#VALUE!</v>
      </c>
      <c r="O349" s="171" t="str">
        <f t="shared" si="94"/>
        <v/>
      </c>
      <c r="P349" s="171" t="str">
        <f t="shared" ca="1" si="95"/>
        <v/>
      </c>
      <c r="Q349" s="170">
        <f t="shared" ca="1" si="96"/>
        <v>0</v>
      </c>
      <c r="R349" s="170">
        <f t="shared" ca="1" si="97"/>
        <v>0</v>
      </c>
      <c r="S349" s="171" t="b">
        <f t="shared" si="98"/>
        <v>0</v>
      </c>
      <c r="T349" s="171" t="b">
        <f t="shared" ca="1" si="99"/>
        <v>0</v>
      </c>
      <c r="U349" s="172"/>
    </row>
    <row r="350" spans="1:21">
      <c r="A350" s="143">
        <v>3</v>
      </c>
      <c r="B350" s="167">
        <f t="shared" si="100"/>
        <v>0</v>
      </c>
      <c r="C350" s="167">
        <f t="shared" si="100"/>
        <v>0</v>
      </c>
      <c r="D350" s="167">
        <f t="shared" si="100"/>
        <v>0</v>
      </c>
      <c r="E350" s="168">
        <f t="shared" si="100"/>
        <v>0</v>
      </c>
      <c r="F350" s="167">
        <f t="shared" si="100"/>
        <v>0</v>
      </c>
      <c r="G350" s="168">
        <f t="shared" si="100"/>
        <v>0</v>
      </c>
      <c r="H350" s="169">
        <f t="shared" si="100"/>
        <v>0</v>
      </c>
      <c r="I350" s="169" t="e">
        <f t="shared" ca="1" si="91"/>
        <v>#VALUE!</v>
      </c>
      <c r="J350" s="169">
        <f t="shared" si="92"/>
        <v>0</v>
      </c>
      <c r="K350" s="170">
        <f t="shared" si="92"/>
        <v>0</v>
      </c>
      <c r="L350" s="169">
        <f t="shared" si="92"/>
        <v>0</v>
      </c>
      <c r="M350" s="169">
        <f t="shared" si="92"/>
        <v>0</v>
      </c>
      <c r="N350" s="169" t="e">
        <f t="shared" ca="1" si="93"/>
        <v>#VALUE!</v>
      </c>
      <c r="O350" s="171" t="str">
        <f t="shared" si="94"/>
        <v/>
      </c>
      <c r="P350" s="171" t="str">
        <f t="shared" ca="1" si="95"/>
        <v/>
      </c>
      <c r="Q350" s="170">
        <f t="shared" ca="1" si="96"/>
        <v>0</v>
      </c>
      <c r="R350" s="170">
        <f t="shared" ca="1" si="97"/>
        <v>0</v>
      </c>
      <c r="S350" s="171" t="b">
        <f t="shared" si="98"/>
        <v>0</v>
      </c>
      <c r="T350" s="171" t="b">
        <f t="shared" ca="1" si="99"/>
        <v>0</v>
      </c>
      <c r="U350" s="172"/>
    </row>
    <row r="351" spans="1:21">
      <c r="A351" s="143">
        <v>19</v>
      </c>
      <c r="B351" s="167">
        <f t="shared" ref="B351:H360" si="101">IF($A351&lt;=$A$8,INDEX(Import.PO,$A351,B$8),0)</f>
        <v>0</v>
      </c>
      <c r="C351" s="167">
        <f t="shared" si="101"/>
        <v>0</v>
      </c>
      <c r="D351" s="167">
        <f t="shared" si="101"/>
        <v>0</v>
      </c>
      <c r="E351" s="168">
        <f t="shared" si="101"/>
        <v>0</v>
      </c>
      <c r="F351" s="167">
        <f t="shared" si="101"/>
        <v>0</v>
      </c>
      <c r="G351" s="168">
        <f t="shared" si="101"/>
        <v>0</v>
      </c>
      <c r="H351" s="169">
        <f t="shared" si="101"/>
        <v>0</v>
      </c>
      <c r="I351" s="169" t="e">
        <f t="shared" ca="1" si="91"/>
        <v>#VALUE!</v>
      </c>
      <c r="J351" s="169">
        <f t="shared" ref="J351:M370" si="102">IF($A351&lt;=$A$8,INDEX(Import.PO,$A351,J$8),0)</f>
        <v>0</v>
      </c>
      <c r="K351" s="170">
        <f t="shared" si="102"/>
        <v>0</v>
      </c>
      <c r="L351" s="169">
        <f t="shared" si="102"/>
        <v>0</v>
      </c>
      <c r="M351" s="169">
        <f t="shared" si="102"/>
        <v>0</v>
      </c>
      <c r="N351" s="169" t="e">
        <f t="shared" ca="1" si="93"/>
        <v>#VALUE!</v>
      </c>
      <c r="O351" s="171" t="str">
        <f t="shared" si="94"/>
        <v/>
      </c>
      <c r="P351" s="171" t="str">
        <f t="shared" ca="1" si="95"/>
        <v/>
      </c>
      <c r="Q351" s="170">
        <f t="shared" ca="1" si="96"/>
        <v>0</v>
      </c>
      <c r="R351" s="170">
        <f t="shared" ca="1" si="97"/>
        <v>0</v>
      </c>
      <c r="S351" s="171" t="b">
        <f t="shared" si="98"/>
        <v>0</v>
      </c>
      <c r="T351" s="171" t="b">
        <f t="shared" ca="1" si="99"/>
        <v>0</v>
      </c>
      <c r="U351" s="172"/>
    </row>
    <row r="352" spans="1:21">
      <c r="A352" s="143">
        <v>17</v>
      </c>
      <c r="B352" s="167">
        <f t="shared" si="101"/>
        <v>0</v>
      </c>
      <c r="C352" s="167">
        <f t="shared" si="101"/>
        <v>0</v>
      </c>
      <c r="D352" s="167">
        <f t="shared" si="101"/>
        <v>0</v>
      </c>
      <c r="E352" s="168">
        <f t="shared" si="101"/>
        <v>0</v>
      </c>
      <c r="F352" s="167">
        <f t="shared" si="101"/>
        <v>0</v>
      </c>
      <c r="G352" s="168">
        <f t="shared" si="101"/>
        <v>0</v>
      </c>
      <c r="H352" s="169">
        <f t="shared" si="101"/>
        <v>0</v>
      </c>
      <c r="I352" s="169" t="e">
        <f t="shared" ca="1" si="91"/>
        <v>#VALUE!</v>
      </c>
      <c r="J352" s="169">
        <f t="shared" si="102"/>
        <v>0</v>
      </c>
      <c r="K352" s="170">
        <f t="shared" si="102"/>
        <v>0</v>
      </c>
      <c r="L352" s="169">
        <f t="shared" si="102"/>
        <v>0</v>
      </c>
      <c r="M352" s="169">
        <f t="shared" si="102"/>
        <v>0</v>
      </c>
      <c r="N352" s="169" t="e">
        <f t="shared" ca="1" si="93"/>
        <v>#VALUE!</v>
      </c>
      <c r="O352" s="171" t="str">
        <f t="shared" si="94"/>
        <v/>
      </c>
      <c r="P352" s="171" t="str">
        <f t="shared" ca="1" si="95"/>
        <v/>
      </c>
      <c r="Q352" s="170">
        <f t="shared" ca="1" si="96"/>
        <v>0</v>
      </c>
      <c r="R352" s="170">
        <f t="shared" ca="1" si="97"/>
        <v>0</v>
      </c>
      <c r="S352" s="171" t="b">
        <f t="shared" si="98"/>
        <v>0</v>
      </c>
      <c r="T352" s="171" t="b">
        <f t="shared" ca="1" si="99"/>
        <v>0</v>
      </c>
      <c r="U352" s="172"/>
    </row>
    <row r="353" spans="1:21">
      <c r="A353" s="143">
        <v>16</v>
      </c>
      <c r="B353" s="167">
        <f t="shared" si="101"/>
        <v>0</v>
      </c>
      <c r="C353" s="167">
        <f t="shared" si="101"/>
        <v>0</v>
      </c>
      <c r="D353" s="167">
        <f t="shared" si="101"/>
        <v>0</v>
      </c>
      <c r="E353" s="168">
        <f t="shared" si="101"/>
        <v>0</v>
      </c>
      <c r="F353" s="167">
        <f t="shared" si="101"/>
        <v>0</v>
      </c>
      <c r="G353" s="168">
        <f t="shared" si="101"/>
        <v>0</v>
      </c>
      <c r="H353" s="169">
        <f t="shared" si="101"/>
        <v>0</v>
      </c>
      <c r="I353" s="169" t="e">
        <f t="shared" ca="1" si="91"/>
        <v>#VALUE!</v>
      </c>
      <c r="J353" s="169">
        <f t="shared" si="102"/>
        <v>0</v>
      </c>
      <c r="K353" s="170">
        <f t="shared" si="102"/>
        <v>0</v>
      </c>
      <c r="L353" s="169">
        <f t="shared" si="102"/>
        <v>0</v>
      </c>
      <c r="M353" s="169">
        <f t="shared" si="102"/>
        <v>0</v>
      </c>
      <c r="N353" s="169" t="e">
        <f t="shared" ca="1" si="93"/>
        <v>#VALUE!</v>
      </c>
      <c r="O353" s="171" t="str">
        <f t="shared" si="94"/>
        <v/>
      </c>
      <c r="P353" s="171" t="str">
        <f t="shared" ca="1" si="95"/>
        <v/>
      </c>
      <c r="Q353" s="170">
        <f t="shared" ca="1" si="96"/>
        <v>0</v>
      </c>
      <c r="R353" s="170">
        <f t="shared" ca="1" si="97"/>
        <v>0</v>
      </c>
      <c r="S353" s="171" t="b">
        <f t="shared" si="98"/>
        <v>0</v>
      </c>
      <c r="T353" s="171" t="b">
        <f t="shared" ca="1" si="99"/>
        <v>0</v>
      </c>
      <c r="U353" s="172"/>
    </row>
    <row r="354" spans="1:21">
      <c r="A354" s="143">
        <v>63</v>
      </c>
      <c r="B354" s="167">
        <f t="shared" si="101"/>
        <v>0</v>
      </c>
      <c r="C354" s="167">
        <f t="shared" si="101"/>
        <v>0</v>
      </c>
      <c r="D354" s="167">
        <f t="shared" si="101"/>
        <v>0</v>
      </c>
      <c r="E354" s="168">
        <f t="shared" si="101"/>
        <v>0</v>
      </c>
      <c r="F354" s="167">
        <f t="shared" si="101"/>
        <v>0</v>
      </c>
      <c r="G354" s="168">
        <f t="shared" si="101"/>
        <v>0</v>
      </c>
      <c r="H354" s="169">
        <f t="shared" si="101"/>
        <v>0</v>
      </c>
      <c r="I354" s="169" t="e">
        <f t="shared" ca="1" si="91"/>
        <v>#VALUE!</v>
      </c>
      <c r="J354" s="169">
        <f t="shared" si="102"/>
        <v>0</v>
      </c>
      <c r="K354" s="170">
        <f t="shared" si="102"/>
        <v>0</v>
      </c>
      <c r="L354" s="169">
        <f t="shared" si="102"/>
        <v>0</v>
      </c>
      <c r="M354" s="169">
        <f t="shared" si="102"/>
        <v>0</v>
      </c>
      <c r="N354" s="169" t="e">
        <f t="shared" ca="1" si="93"/>
        <v>#VALUE!</v>
      </c>
      <c r="O354" s="171" t="str">
        <f t="shared" si="94"/>
        <v/>
      </c>
      <c r="P354" s="171" t="str">
        <f t="shared" ca="1" si="95"/>
        <v/>
      </c>
      <c r="Q354" s="170">
        <f t="shared" ca="1" si="96"/>
        <v>0</v>
      </c>
      <c r="R354" s="170">
        <f t="shared" ca="1" si="97"/>
        <v>0</v>
      </c>
      <c r="S354" s="171" t="b">
        <f t="shared" si="98"/>
        <v>0</v>
      </c>
      <c r="T354" s="171" t="b">
        <f t="shared" ca="1" si="99"/>
        <v>0</v>
      </c>
      <c r="U354" s="172"/>
    </row>
    <row r="355" spans="1:21">
      <c r="A355" s="143">
        <v>127</v>
      </c>
      <c r="B355" s="167">
        <f t="shared" si="101"/>
        <v>0</v>
      </c>
      <c r="C355" s="167">
        <f t="shared" si="101"/>
        <v>0</v>
      </c>
      <c r="D355" s="167">
        <f t="shared" si="101"/>
        <v>0</v>
      </c>
      <c r="E355" s="168">
        <f t="shared" si="101"/>
        <v>0</v>
      </c>
      <c r="F355" s="167">
        <f t="shared" si="101"/>
        <v>0</v>
      </c>
      <c r="G355" s="168">
        <f t="shared" si="101"/>
        <v>0</v>
      </c>
      <c r="H355" s="169">
        <f t="shared" si="101"/>
        <v>0</v>
      </c>
      <c r="I355" s="169" t="e">
        <f t="shared" ca="1" si="91"/>
        <v>#VALUE!</v>
      </c>
      <c r="J355" s="169">
        <f t="shared" si="102"/>
        <v>0</v>
      </c>
      <c r="K355" s="170">
        <f t="shared" si="102"/>
        <v>0</v>
      </c>
      <c r="L355" s="169">
        <f t="shared" si="102"/>
        <v>0</v>
      </c>
      <c r="M355" s="169">
        <f t="shared" si="102"/>
        <v>0</v>
      </c>
      <c r="N355" s="169" t="e">
        <f t="shared" ca="1" si="93"/>
        <v>#VALUE!</v>
      </c>
      <c r="O355" s="171" t="str">
        <f t="shared" si="94"/>
        <v/>
      </c>
      <c r="P355" s="171" t="str">
        <f t="shared" ca="1" si="95"/>
        <v/>
      </c>
      <c r="Q355" s="170">
        <f t="shared" ca="1" si="96"/>
        <v>0</v>
      </c>
      <c r="R355" s="170">
        <f t="shared" ca="1" si="97"/>
        <v>0</v>
      </c>
      <c r="S355" s="171" t="b">
        <f t="shared" si="98"/>
        <v>0</v>
      </c>
      <c r="T355" s="171" t="b">
        <f t="shared" ca="1" si="99"/>
        <v>0</v>
      </c>
      <c r="U355" s="172"/>
    </row>
    <row r="356" spans="1:21">
      <c r="A356" s="143">
        <v>66</v>
      </c>
      <c r="B356" s="167">
        <f t="shared" si="101"/>
        <v>0</v>
      </c>
      <c r="C356" s="167">
        <f t="shared" si="101"/>
        <v>0</v>
      </c>
      <c r="D356" s="167">
        <f t="shared" si="101"/>
        <v>0</v>
      </c>
      <c r="E356" s="168">
        <f t="shared" si="101"/>
        <v>0</v>
      </c>
      <c r="F356" s="167">
        <f t="shared" si="101"/>
        <v>0</v>
      </c>
      <c r="G356" s="168">
        <f t="shared" si="101"/>
        <v>0</v>
      </c>
      <c r="H356" s="169">
        <f t="shared" si="101"/>
        <v>0</v>
      </c>
      <c r="I356" s="169" t="e">
        <f t="shared" ca="1" si="91"/>
        <v>#VALUE!</v>
      </c>
      <c r="J356" s="169">
        <f t="shared" si="102"/>
        <v>0</v>
      </c>
      <c r="K356" s="170">
        <f t="shared" si="102"/>
        <v>0</v>
      </c>
      <c r="L356" s="169">
        <f t="shared" si="102"/>
        <v>0</v>
      </c>
      <c r="M356" s="169">
        <f t="shared" si="102"/>
        <v>0</v>
      </c>
      <c r="N356" s="169" t="e">
        <f t="shared" ca="1" si="93"/>
        <v>#VALUE!</v>
      </c>
      <c r="O356" s="171" t="str">
        <f t="shared" si="94"/>
        <v/>
      </c>
      <c r="P356" s="171" t="str">
        <f t="shared" ca="1" si="95"/>
        <v/>
      </c>
      <c r="Q356" s="170">
        <f t="shared" ca="1" si="96"/>
        <v>0</v>
      </c>
      <c r="R356" s="170">
        <f t="shared" ca="1" si="97"/>
        <v>0</v>
      </c>
      <c r="S356" s="171" t="b">
        <f t="shared" si="98"/>
        <v>0</v>
      </c>
      <c r="T356" s="171" t="b">
        <f t="shared" ca="1" si="99"/>
        <v>0</v>
      </c>
      <c r="U356" s="172"/>
    </row>
    <row r="357" spans="1:21">
      <c r="A357" s="143">
        <v>5</v>
      </c>
      <c r="B357" s="167">
        <f t="shared" si="101"/>
        <v>0</v>
      </c>
      <c r="C357" s="167">
        <f t="shared" si="101"/>
        <v>0</v>
      </c>
      <c r="D357" s="167">
        <f t="shared" si="101"/>
        <v>0</v>
      </c>
      <c r="E357" s="168">
        <f t="shared" si="101"/>
        <v>0</v>
      </c>
      <c r="F357" s="167">
        <f t="shared" si="101"/>
        <v>0</v>
      </c>
      <c r="G357" s="168">
        <f t="shared" si="101"/>
        <v>0</v>
      </c>
      <c r="H357" s="169">
        <f t="shared" si="101"/>
        <v>0</v>
      </c>
      <c r="I357" s="169" t="e">
        <f t="shared" ca="1" si="91"/>
        <v>#VALUE!</v>
      </c>
      <c r="J357" s="169">
        <f t="shared" si="102"/>
        <v>0</v>
      </c>
      <c r="K357" s="170">
        <f t="shared" si="102"/>
        <v>0</v>
      </c>
      <c r="L357" s="169">
        <f t="shared" si="102"/>
        <v>0</v>
      </c>
      <c r="M357" s="169">
        <f t="shared" si="102"/>
        <v>0</v>
      </c>
      <c r="N357" s="169" t="e">
        <f t="shared" ca="1" si="93"/>
        <v>#VALUE!</v>
      </c>
      <c r="O357" s="171" t="str">
        <f t="shared" si="94"/>
        <v/>
      </c>
      <c r="P357" s="171" t="str">
        <f t="shared" ca="1" si="95"/>
        <v/>
      </c>
      <c r="Q357" s="170">
        <f t="shared" ca="1" si="96"/>
        <v>0</v>
      </c>
      <c r="R357" s="170">
        <f t="shared" ca="1" si="97"/>
        <v>0</v>
      </c>
      <c r="S357" s="171" t="b">
        <f t="shared" si="98"/>
        <v>0</v>
      </c>
      <c r="T357" s="171" t="b">
        <f t="shared" ca="1" si="99"/>
        <v>0</v>
      </c>
      <c r="U357" s="172"/>
    </row>
    <row r="358" spans="1:21">
      <c r="A358" s="143">
        <v>9</v>
      </c>
      <c r="B358" s="167">
        <f t="shared" si="101"/>
        <v>0</v>
      </c>
      <c r="C358" s="167">
        <f t="shared" si="101"/>
        <v>0</v>
      </c>
      <c r="D358" s="167">
        <f t="shared" si="101"/>
        <v>0</v>
      </c>
      <c r="E358" s="168">
        <f t="shared" si="101"/>
        <v>0</v>
      </c>
      <c r="F358" s="167">
        <f t="shared" si="101"/>
        <v>0</v>
      </c>
      <c r="G358" s="168">
        <f t="shared" si="101"/>
        <v>0</v>
      </c>
      <c r="H358" s="169">
        <f t="shared" si="101"/>
        <v>0</v>
      </c>
      <c r="I358" s="169" t="e">
        <f t="shared" ca="1" si="91"/>
        <v>#VALUE!</v>
      </c>
      <c r="J358" s="169">
        <f t="shared" si="102"/>
        <v>0</v>
      </c>
      <c r="K358" s="170">
        <f t="shared" si="102"/>
        <v>0</v>
      </c>
      <c r="L358" s="169">
        <f t="shared" si="102"/>
        <v>0</v>
      </c>
      <c r="M358" s="169">
        <f t="shared" si="102"/>
        <v>0</v>
      </c>
      <c r="N358" s="169" t="e">
        <f t="shared" ca="1" si="93"/>
        <v>#VALUE!</v>
      </c>
      <c r="O358" s="171" t="str">
        <f t="shared" si="94"/>
        <v/>
      </c>
      <c r="P358" s="171" t="str">
        <f t="shared" ca="1" si="95"/>
        <v/>
      </c>
      <c r="Q358" s="170">
        <f t="shared" ca="1" si="96"/>
        <v>0</v>
      </c>
      <c r="R358" s="170">
        <f t="shared" ca="1" si="97"/>
        <v>0</v>
      </c>
      <c r="S358" s="171" t="b">
        <f t="shared" si="98"/>
        <v>0</v>
      </c>
      <c r="T358" s="171" t="b">
        <f t="shared" ca="1" si="99"/>
        <v>0</v>
      </c>
      <c r="U358" s="172"/>
    </row>
    <row r="359" spans="1:21">
      <c r="A359" s="143">
        <v>126</v>
      </c>
      <c r="B359" s="167">
        <f t="shared" si="101"/>
        <v>0</v>
      </c>
      <c r="C359" s="167">
        <f t="shared" si="101"/>
        <v>0</v>
      </c>
      <c r="D359" s="167">
        <f t="shared" si="101"/>
        <v>0</v>
      </c>
      <c r="E359" s="168">
        <f t="shared" si="101"/>
        <v>0</v>
      </c>
      <c r="F359" s="167">
        <f t="shared" si="101"/>
        <v>0</v>
      </c>
      <c r="G359" s="168">
        <f t="shared" si="101"/>
        <v>0</v>
      </c>
      <c r="H359" s="169">
        <f t="shared" si="101"/>
        <v>0</v>
      </c>
      <c r="I359" s="169" t="e">
        <f t="shared" ca="1" si="91"/>
        <v>#VALUE!</v>
      </c>
      <c r="J359" s="169">
        <f t="shared" si="102"/>
        <v>0</v>
      </c>
      <c r="K359" s="170">
        <f t="shared" si="102"/>
        <v>0</v>
      </c>
      <c r="L359" s="169">
        <f t="shared" si="102"/>
        <v>0</v>
      </c>
      <c r="M359" s="169">
        <f t="shared" si="102"/>
        <v>0</v>
      </c>
      <c r="N359" s="169" t="e">
        <f t="shared" ca="1" si="93"/>
        <v>#VALUE!</v>
      </c>
      <c r="O359" s="171" t="str">
        <f t="shared" si="94"/>
        <v/>
      </c>
      <c r="P359" s="171" t="str">
        <f t="shared" ca="1" si="95"/>
        <v/>
      </c>
      <c r="Q359" s="170">
        <f t="shared" ca="1" si="96"/>
        <v>0</v>
      </c>
      <c r="R359" s="170">
        <f t="shared" ca="1" si="97"/>
        <v>0</v>
      </c>
      <c r="S359" s="171" t="b">
        <f t="shared" si="98"/>
        <v>0</v>
      </c>
      <c r="T359" s="171" t="b">
        <f t="shared" ca="1" si="99"/>
        <v>0</v>
      </c>
      <c r="U359" s="172"/>
    </row>
    <row r="360" spans="1:21">
      <c r="A360" s="143">
        <v>447</v>
      </c>
      <c r="B360" s="167">
        <f t="shared" si="101"/>
        <v>0</v>
      </c>
      <c r="C360" s="167">
        <f t="shared" si="101"/>
        <v>0</v>
      </c>
      <c r="D360" s="167">
        <f t="shared" si="101"/>
        <v>0</v>
      </c>
      <c r="E360" s="168">
        <f t="shared" si="101"/>
        <v>0</v>
      </c>
      <c r="F360" s="167">
        <f t="shared" si="101"/>
        <v>0</v>
      </c>
      <c r="G360" s="168">
        <f t="shared" si="101"/>
        <v>0</v>
      </c>
      <c r="H360" s="169">
        <f t="shared" si="101"/>
        <v>0</v>
      </c>
      <c r="I360" s="169" t="e">
        <f t="shared" ca="1" si="91"/>
        <v>#VALUE!</v>
      </c>
      <c r="J360" s="169">
        <f t="shared" si="102"/>
        <v>0</v>
      </c>
      <c r="K360" s="170">
        <f t="shared" si="102"/>
        <v>0</v>
      </c>
      <c r="L360" s="169">
        <f t="shared" si="102"/>
        <v>0</v>
      </c>
      <c r="M360" s="169">
        <f t="shared" si="102"/>
        <v>0</v>
      </c>
      <c r="N360" s="169" t="e">
        <f t="shared" ca="1" si="93"/>
        <v>#VALUE!</v>
      </c>
      <c r="O360" s="171" t="str">
        <f t="shared" si="94"/>
        <v/>
      </c>
      <c r="P360" s="171" t="str">
        <f t="shared" ca="1" si="95"/>
        <v/>
      </c>
      <c r="Q360" s="170">
        <f t="shared" ca="1" si="96"/>
        <v>0</v>
      </c>
      <c r="R360" s="170">
        <f t="shared" ca="1" si="97"/>
        <v>0</v>
      </c>
      <c r="S360" s="171" t="b">
        <f t="shared" si="98"/>
        <v>0</v>
      </c>
      <c r="T360" s="171" t="b">
        <f t="shared" ca="1" si="99"/>
        <v>0</v>
      </c>
      <c r="U360" s="172"/>
    </row>
    <row r="361" spans="1:21">
      <c r="A361" s="143">
        <v>113</v>
      </c>
      <c r="B361" s="167">
        <f t="shared" ref="B361:H370" si="103">IF($A361&lt;=$A$8,INDEX(Import.PO,$A361,B$8),0)</f>
        <v>0</v>
      </c>
      <c r="C361" s="167">
        <f t="shared" si="103"/>
        <v>0</v>
      </c>
      <c r="D361" s="167">
        <f t="shared" si="103"/>
        <v>0</v>
      </c>
      <c r="E361" s="168">
        <f t="shared" si="103"/>
        <v>0</v>
      </c>
      <c r="F361" s="167">
        <f t="shared" si="103"/>
        <v>0</v>
      </c>
      <c r="G361" s="168">
        <f t="shared" si="103"/>
        <v>0</v>
      </c>
      <c r="H361" s="169">
        <f t="shared" si="103"/>
        <v>0</v>
      </c>
      <c r="I361" s="169" t="e">
        <f t="shared" ca="1" si="91"/>
        <v>#VALUE!</v>
      </c>
      <c r="J361" s="169">
        <f t="shared" si="102"/>
        <v>0</v>
      </c>
      <c r="K361" s="170">
        <f t="shared" si="102"/>
        <v>0</v>
      </c>
      <c r="L361" s="169">
        <f t="shared" si="102"/>
        <v>0</v>
      </c>
      <c r="M361" s="169">
        <f t="shared" si="102"/>
        <v>0</v>
      </c>
      <c r="N361" s="169" t="e">
        <f t="shared" ca="1" si="93"/>
        <v>#VALUE!</v>
      </c>
      <c r="O361" s="171" t="str">
        <f t="shared" si="94"/>
        <v/>
      </c>
      <c r="P361" s="171" t="str">
        <f t="shared" ca="1" si="95"/>
        <v/>
      </c>
      <c r="Q361" s="170">
        <f t="shared" ca="1" si="96"/>
        <v>0</v>
      </c>
      <c r="R361" s="170">
        <f t="shared" ca="1" si="97"/>
        <v>0</v>
      </c>
      <c r="S361" s="171" t="b">
        <f t="shared" si="98"/>
        <v>0</v>
      </c>
      <c r="T361" s="171" t="b">
        <f t="shared" ca="1" si="99"/>
        <v>0</v>
      </c>
      <c r="U361" s="172"/>
    </row>
    <row r="362" spans="1:21">
      <c r="A362" s="143">
        <v>51</v>
      </c>
      <c r="B362" s="167">
        <f t="shared" si="103"/>
        <v>0</v>
      </c>
      <c r="C362" s="167">
        <f t="shared" si="103"/>
        <v>0</v>
      </c>
      <c r="D362" s="167">
        <f t="shared" si="103"/>
        <v>0</v>
      </c>
      <c r="E362" s="168">
        <f t="shared" si="103"/>
        <v>0</v>
      </c>
      <c r="F362" s="167">
        <f t="shared" si="103"/>
        <v>0</v>
      </c>
      <c r="G362" s="168">
        <f t="shared" si="103"/>
        <v>0</v>
      </c>
      <c r="H362" s="169">
        <f t="shared" si="103"/>
        <v>0</v>
      </c>
      <c r="I362" s="169" t="e">
        <f t="shared" ca="1" si="91"/>
        <v>#VALUE!</v>
      </c>
      <c r="J362" s="169">
        <f t="shared" si="102"/>
        <v>0</v>
      </c>
      <c r="K362" s="170">
        <f t="shared" si="102"/>
        <v>0</v>
      </c>
      <c r="L362" s="169">
        <f t="shared" si="102"/>
        <v>0</v>
      </c>
      <c r="M362" s="169">
        <f t="shared" si="102"/>
        <v>0</v>
      </c>
      <c r="N362" s="169" t="e">
        <f t="shared" ca="1" si="93"/>
        <v>#VALUE!</v>
      </c>
      <c r="O362" s="171" t="str">
        <f t="shared" si="94"/>
        <v/>
      </c>
      <c r="P362" s="171" t="str">
        <f t="shared" ca="1" si="95"/>
        <v/>
      </c>
      <c r="Q362" s="170">
        <f t="shared" ca="1" si="96"/>
        <v>0</v>
      </c>
      <c r="R362" s="170">
        <f t="shared" ca="1" si="97"/>
        <v>0</v>
      </c>
      <c r="S362" s="171" t="b">
        <f t="shared" si="98"/>
        <v>0</v>
      </c>
      <c r="T362" s="171" t="b">
        <f t="shared" ca="1" si="99"/>
        <v>0</v>
      </c>
      <c r="U362" s="172"/>
    </row>
    <row r="363" spans="1:21">
      <c r="A363" s="143">
        <v>11</v>
      </c>
      <c r="B363" s="167">
        <f t="shared" si="103"/>
        <v>0</v>
      </c>
      <c r="C363" s="167">
        <f t="shared" si="103"/>
        <v>0</v>
      </c>
      <c r="D363" s="167">
        <f t="shared" si="103"/>
        <v>0</v>
      </c>
      <c r="E363" s="168">
        <f t="shared" si="103"/>
        <v>0</v>
      </c>
      <c r="F363" s="167">
        <f t="shared" si="103"/>
        <v>0</v>
      </c>
      <c r="G363" s="168">
        <f t="shared" si="103"/>
        <v>0</v>
      </c>
      <c r="H363" s="169">
        <f t="shared" si="103"/>
        <v>0</v>
      </c>
      <c r="I363" s="169" t="e">
        <f t="shared" ca="1" si="91"/>
        <v>#VALUE!</v>
      </c>
      <c r="J363" s="169">
        <f t="shared" si="102"/>
        <v>0</v>
      </c>
      <c r="K363" s="170">
        <f t="shared" si="102"/>
        <v>0</v>
      </c>
      <c r="L363" s="169">
        <f t="shared" si="102"/>
        <v>0</v>
      </c>
      <c r="M363" s="169">
        <f t="shared" si="102"/>
        <v>0</v>
      </c>
      <c r="N363" s="169" t="e">
        <f t="shared" ca="1" si="93"/>
        <v>#VALUE!</v>
      </c>
      <c r="O363" s="171" t="str">
        <f t="shared" si="94"/>
        <v/>
      </c>
      <c r="P363" s="171" t="str">
        <f t="shared" ca="1" si="95"/>
        <v/>
      </c>
      <c r="Q363" s="170">
        <f t="shared" ca="1" si="96"/>
        <v>0</v>
      </c>
      <c r="R363" s="170">
        <f t="shared" ca="1" si="97"/>
        <v>0</v>
      </c>
      <c r="S363" s="171" t="b">
        <f t="shared" si="98"/>
        <v>0</v>
      </c>
      <c r="T363" s="171" t="b">
        <f t="shared" ca="1" si="99"/>
        <v>0</v>
      </c>
      <c r="U363" s="172"/>
    </row>
    <row r="364" spans="1:21">
      <c r="A364" s="143">
        <v>24</v>
      </c>
      <c r="B364" s="167">
        <f t="shared" si="103"/>
        <v>0</v>
      </c>
      <c r="C364" s="167">
        <f t="shared" si="103"/>
        <v>0</v>
      </c>
      <c r="D364" s="167">
        <f t="shared" si="103"/>
        <v>0</v>
      </c>
      <c r="E364" s="168">
        <f t="shared" si="103"/>
        <v>0</v>
      </c>
      <c r="F364" s="167">
        <f t="shared" si="103"/>
        <v>0</v>
      </c>
      <c r="G364" s="168">
        <f t="shared" si="103"/>
        <v>0</v>
      </c>
      <c r="H364" s="169">
        <f t="shared" si="103"/>
        <v>0</v>
      </c>
      <c r="I364" s="169" t="e">
        <f t="shared" ca="1" si="91"/>
        <v>#VALUE!</v>
      </c>
      <c r="J364" s="169">
        <f t="shared" si="102"/>
        <v>0</v>
      </c>
      <c r="K364" s="170">
        <f t="shared" si="102"/>
        <v>0</v>
      </c>
      <c r="L364" s="169">
        <f t="shared" si="102"/>
        <v>0</v>
      </c>
      <c r="M364" s="169">
        <f t="shared" si="102"/>
        <v>0</v>
      </c>
      <c r="N364" s="169" t="e">
        <f t="shared" ca="1" si="93"/>
        <v>#VALUE!</v>
      </c>
      <c r="O364" s="171" t="str">
        <f t="shared" si="94"/>
        <v/>
      </c>
      <c r="P364" s="171" t="str">
        <f t="shared" ca="1" si="95"/>
        <v/>
      </c>
      <c r="Q364" s="170">
        <f t="shared" ca="1" si="96"/>
        <v>0</v>
      </c>
      <c r="R364" s="170">
        <f t="shared" ca="1" si="97"/>
        <v>0</v>
      </c>
      <c r="S364" s="171" t="b">
        <f t="shared" si="98"/>
        <v>0</v>
      </c>
      <c r="T364" s="171" t="b">
        <f t="shared" ca="1" si="99"/>
        <v>0</v>
      </c>
      <c r="U364" s="172"/>
    </row>
    <row r="365" spans="1:21">
      <c r="A365" s="143">
        <v>109</v>
      </c>
      <c r="B365" s="167">
        <f t="shared" si="103"/>
        <v>0</v>
      </c>
      <c r="C365" s="167">
        <f t="shared" si="103"/>
        <v>0</v>
      </c>
      <c r="D365" s="167">
        <f t="shared" si="103"/>
        <v>0</v>
      </c>
      <c r="E365" s="168">
        <f t="shared" si="103"/>
        <v>0</v>
      </c>
      <c r="F365" s="167">
        <f t="shared" si="103"/>
        <v>0</v>
      </c>
      <c r="G365" s="168">
        <f t="shared" si="103"/>
        <v>0</v>
      </c>
      <c r="H365" s="169">
        <f t="shared" si="103"/>
        <v>0</v>
      </c>
      <c r="I365" s="169" t="e">
        <f t="shared" ca="1" si="91"/>
        <v>#VALUE!</v>
      </c>
      <c r="J365" s="169">
        <f t="shared" si="102"/>
        <v>0</v>
      </c>
      <c r="K365" s="170">
        <f t="shared" si="102"/>
        <v>0</v>
      </c>
      <c r="L365" s="169">
        <f t="shared" si="102"/>
        <v>0</v>
      </c>
      <c r="M365" s="169">
        <f t="shared" si="102"/>
        <v>0</v>
      </c>
      <c r="N365" s="169" t="e">
        <f t="shared" ca="1" si="93"/>
        <v>#VALUE!</v>
      </c>
      <c r="O365" s="171" t="str">
        <f t="shared" si="94"/>
        <v/>
      </c>
      <c r="P365" s="171" t="str">
        <f t="shared" ca="1" si="95"/>
        <v/>
      </c>
      <c r="Q365" s="170">
        <f t="shared" ca="1" si="96"/>
        <v>0</v>
      </c>
      <c r="R365" s="170">
        <f t="shared" ca="1" si="97"/>
        <v>0</v>
      </c>
      <c r="S365" s="171" t="b">
        <f t="shared" si="98"/>
        <v>0</v>
      </c>
      <c r="T365" s="171" t="b">
        <f t="shared" ca="1" si="99"/>
        <v>0</v>
      </c>
      <c r="U365" s="172"/>
    </row>
    <row r="366" spans="1:21">
      <c r="A366" s="143">
        <v>64</v>
      </c>
      <c r="B366" s="167">
        <f t="shared" si="103"/>
        <v>0</v>
      </c>
      <c r="C366" s="167">
        <f t="shared" si="103"/>
        <v>0</v>
      </c>
      <c r="D366" s="167">
        <f t="shared" si="103"/>
        <v>0</v>
      </c>
      <c r="E366" s="168">
        <f t="shared" si="103"/>
        <v>0</v>
      </c>
      <c r="F366" s="167">
        <f t="shared" si="103"/>
        <v>0</v>
      </c>
      <c r="G366" s="168">
        <f t="shared" si="103"/>
        <v>0</v>
      </c>
      <c r="H366" s="169">
        <f t="shared" si="103"/>
        <v>0</v>
      </c>
      <c r="I366" s="169" t="e">
        <f t="shared" ca="1" si="91"/>
        <v>#VALUE!</v>
      </c>
      <c r="J366" s="169">
        <f t="shared" si="102"/>
        <v>0</v>
      </c>
      <c r="K366" s="170">
        <f t="shared" si="102"/>
        <v>0</v>
      </c>
      <c r="L366" s="169">
        <f t="shared" si="102"/>
        <v>0</v>
      </c>
      <c r="M366" s="169">
        <f t="shared" si="102"/>
        <v>0</v>
      </c>
      <c r="N366" s="169" t="e">
        <f t="shared" ca="1" si="93"/>
        <v>#VALUE!</v>
      </c>
      <c r="O366" s="171" t="str">
        <f t="shared" si="94"/>
        <v/>
      </c>
      <c r="P366" s="171" t="str">
        <f t="shared" ca="1" si="95"/>
        <v/>
      </c>
      <c r="Q366" s="170">
        <f t="shared" ca="1" si="96"/>
        <v>0</v>
      </c>
      <c r="R366" s="170">
        <f t="shared" ca="1" si="97"/>
        <v>0</v>
      </c>
      <c r="S366" s="171" t="b">
        <f t="shared" si="98"/>
        <v>0</v>
      </c>
      <c r="T366" s="171" t="b">
        <f t="shared" ca="1" si="99"/>
        <v>0</v>
      </c>
      <c r="U366" s="172"/>
    </row>
    <row r="367" spans="1:21">
      <c r="A367" s="143">
        <v>14</v>
      </c>
      <c r="B367" s="167">
        <f t="shared" si="103"/>
        <v>0</v>
      </c>
      <c r="C367" s="167">
        <f t="shared" si="103"/>
        <v>0</v>
      </c>
      <c r="D367" s="167">
        <f t="shared" si="103"/>
        <v>0</v>
      </c>
      <c r="E367" s="168">
        <f t="shared" si="103"/>
        <v>0</v>
      </c>
      <c r="F367" s="167">
        <f t="shared" si="103"/>
        <v>0</v>
      </c>
      <c r="G367" s="168">
        <f t="shared" si="103"/>
        <v>0</v>
      </c>
      <c r="H367" s="169">
        <f t="shared" si="103"/>
        <v>0</v>
      </c>
      <c r="I367" s="169" t="e">
        <f t="shared" ca="1" si="91"/>
        <v>#VALUE!</v>
      </c>
      <c r="J367" s="169">
        <f t="shared" si="102"/>
        <v>0</v>
      </c>
      <c r="K367" s="170">
        <f t="shared" si="102"/>
        <v>0</v>
      </c>
      <c r="L367" s="169">
        <f t="shared" si="102"/>
        <v>0</v>
      </c>
      <c r="M367" s="169">
        <f t="shared" si="102"/>
        <v>0</v>
      </c>
      <c r="N367" s="169" t="e">
        <f t="shared" ca="1" si="93"/>
        <v>#VALUE!</v>
      </c>
      <c r="O367" s="171" t="str">
        <f t="shared" si="94"/>
        <v/>
      </c>
      <c r="P367" s="171" t="str">
        <f t="shared" ca="1" si="95"/>
        <v/>
      </c>
      <c r="Q367" s="170">
        <f t="shared" ca="1" si="96"/>
        <v>0</v>
      </c>
      <c r="R367" s="170">
        <f t="shared" ca="1" si="97"/>
        <v>0</v>
      </c>
      <c r="S367" s="171" t="b">
        <f t="shared" si="98"/>
        <v>0</v>
      </c>
      <c r="T367" s="171" t="b">
        <f t="shared" ca="1" si="99"/>
        <v>0</v>
      </c>
      <c r="U367" s="172"/>
    </row>
    <row r="368" spans="1:21">
      <c r="A368" s="143">
        <v>12</v>
      </c>
      <c r="B368" s="167">
        <f t="shared" si="103"/>
        <v>0</v>
      </c>
      <c r="C368" s="167">
        <f t="shared" si="103"/>
        <v>0</v>
      </c>
      <c r="D368" s="167">
        <f t="shared" si="103"/>
        <v>0</v>
      </c>
      <c r="E368" s="168">
        <f t="shared" si="103"/>
        <v>0</v>
      </c>
      <c r="F368" s="167">
        <f t="shared" si="103"/>
        <v>0</v>
      </c>
      <c r="G368" s="168">
        <f t="shared" si="103"/>
        <v>0</v>
      </c>
      <c r="H368" s="169">
        <f t="shared" si="103"/>
        <v>0</v>
      </c>
      <c r="I368" s="169" t="e">
        <f t="shared" ca="1" si="91"/>
        <v>#VALUE!</v>
      </c>
      <c r="J368" s="169">
        <f t="shared" si="102"/>
        <v>0</v>
      </c>
      <c r="K368" s="170">
        <f t="shared" si="102"/>
        <v>0</v>
      </c>
      <c r="L368" s="169">
        <f t="shared" si="102"/>
        <v>0</v>
      </c>
      <c r="M368" s="169">
        <f t="shared" si="102"/>
        <v>0</v>
      </c>
      <c r="N368" s="169" t="e">
        <f t="shared" ca="1" si="93"/>
        <v>#VALUE!</v>
      </c>
      <c r="O368" s="171" t="str">
        <f t="shared" si="94"/>
        <v/>
      </c>
      <c r="P368" s="171" t="str">
        <f t="shared" ca="1" si="95"/>
        <v/>
      </c>
      <c r="Q368" s="170">
        <f t="shared" ca="1" si="96"/>
        <v>0</v>
      </c>
      <c r="R368" s="170">
        <f t="shared" ca="1" si="97"/>
        <v>0</v>
      </c>
      <c r="S368" s="171" t="b">
        <f t="shared" si="98"/>
        <v>0</v>
      </c>
      <c r="T368" s="171" t="b">
        <f t="shared" ca="1" si="99"/>
        <v>0</v>
      </c>
      <c r="U368" s="172"/>
    </row>
    <row r="369" spans="1:21">
      <c r="A369" s="143">
        <v>110</v>
      </c>
      <c r="B369" s="167">
        <f t="shared" si="103"/>
        <v>0</v>
      </c>
      <c r="C369" s="167">
        <f t="shared" si="103"/>
        <v>0</v>
      </c>
      <c r="D369" s="167">
        <f t="shared" si="103"/>
        <v>0</v>
      </c>
      <c r="E369" s="168">
        <f t="shared" si="103"/>
        <v>0</v>
      </c>
      <c r="F369" s="167">
        <f t="shared" si="103"/>
        <v>0</v>
      </c>
      <c r="G369" s="168">
        <f t="shared" si="103"/>
        <v>0</v>
      </c>
      <c r="H369" s="169">
        <f t="shared" si="103"/>
        <v>0</v>
      </c>
      <c r="I369" s="169" t="e">
        <f t="shared" ca="1" si="91"/>
        <v>#VALUE!</v>
      </c>
      <c r="J369" s="169">
        <f t="shared" si="102"/>
        <v>0</v>
      </c>
      <c r="K369" s="170">
        <f t="shared" si="102"/>
        <v>0</v>
      </c>
      <c r="L369" s="169">
        <f t="shared" si="102"/>
        <v>0</v>
      </c>
      <c r="M369" s="169">
        <f t="shared" si="102"/>
        <v>0</v>
      </c>
      <c r="N369" s="169" t="e">
        <f t="shared" ca="1" si="93"/>
        <v>#VALUE!</v>
      </c>
      <c r="O369" s="171" t="str">
        <f t="shared" si="94"/>
        <v/>
      </c>
      <c r="P369" s="171" t="str">
        <f t="shared" ca="1" si="95"/>
        <v/>
      </c>
      <c r="Q369" s="170">
        <f t="shared" ca="1" si="96"/>
        <v>0</v>
      </c>
      <c r="R369" s="170">
        <f t="shared" ca="1" si="97"/>
        <v>0</v>
      </c>
      <c r="S369" s="171" t="b">
        <f t="shared" si="98"/>
        <v>0</v>
      </c>
      <c r="T369" s="171" t="b">
        <f t="shared" ca="1" si="99"/>
        <v>0</v>
      </c>
      <c r="U369" s="172"/>
    </row>
    <row r="370" spans="1:21">
      <c r="A370" s="143">
        <v>13</v>
      </c>
      <c r="B370" s="167">
        <f t="shared" si="103"/>
        <v>0</v>
      </c>
      <c r="C370" s="167">
        <f t="shared" si="103"/>
        <v>0</v>
      </c>
      <c r="D370" s="167">
        <f t="shared" si="103"/>
        <v>0</v>
      </c>
      <c r="E370" s="168">
        <f t="shared" si="103"/>
        <v>0</v>
      </c>
      <c r="F370" s="167">
        <f t="shared" si="103"/>
        <v>0</v>
      </c>
      <c r="G370" s="168">
        <f t="shared" si="103"/>
        <v>0</v>
      </c>
      <c r="H370" s="169">
        <f t="shared" si="103"/>
        <v>0</v>
      </c>
      <c r="I370" s="169" t="e">
        <f t="shared" ca="1" si="91"/>
        <v>#VALUE!</v>
      </c>
      <c r="J370" s="169">
        <f t="shared" si="102"/>
        <v>0</v>
      </c>
      <c r="K370" s="170">
        <f t="shared" si="102"/>
        <v>0</v>
      </c>
      <c r="L370" s="169">
        <f t="shared" si="102"/>
        <v>0</v>
      </c>
      <c r="M370" s="169">
        <f t="shared" si="102"/>
        <v>0</v>
      </c>
      <c r="N370" s="169" t="e">
        <f t="shared" ca="1" si="93"/>
        <v>#VALUE!</v>
      </c>
      <c r="O370" s="171" t="str">
        <f t="shared" si="94"/>
        <v/>
      </c>
      <c r="P370" s="171" t="str">
        <f t="shared" ca="1" si="95"/>
        <v/>
      </c>
      <c r="Q370" s="170">
        <f t="shared" ca="1" si="96"/>
        <v>0</v>
      </c>
      <c r="R370" s="170">
        <f t="shared" ca="1" si="97"/>
        <v>0</v>
      </c>
      <c r="S370" s="171" t="b">
        <f t="shared" si="98"/>
        <v>0</v>
      </c>
      <c r="T370" s="171" t="b">
        <f t="shared" ca="1" si="99"/>
        <v>0</v>
      </c>
      <c r="U370" s="172"/>
    </row>
    <row r="371" spans="1:21">
      <c r="A371" s="143">
        <v>60</v>
      </c>
      <c r="B371" s="167">
        <f t="shared" ref="B371:H380" si="104">IF($A371&lt;=$A$8,INDEX(Import.PO,$A371,B$8),0)</f>
        <v>0</v>
      </c>
      <c r="C371" s="167">
        <f t="shared" si="104"/>
        <v>0</v>
      </c>
      <c r="D371" s="167">
        <f t="shared" si="104"/>
        <v>0</v>
      </c>
      <c r="E371" s="168">
        <f t="shared" si="104"/>
        <v>0</v>
      </c>
      <c r="F371" s="167">
        <f t="shared" si="104"/>
        <v>0</v>
      </c>
      <c r="G371" s="168">
        <f t="shared" si="104"/>
        <v>0</v>
      </c>
      <c r="H371" s="169">
        <f t="shared" si="104"/>
        <v>0</v>
      </c>
      <c r="I371" s="169" t="e">
        <f t="shared" ca="1" si="91"/>
        <v>#VALUE!</v>
      </c>
      <c r="J371" s="169">
        <f t="shared" ref="J371:M390" si="105">IF($A371&lt;=$A$8,INDEX(Import.PO,$A371,J$8),0)</f>
        <v>0</v>
      </c>
      <c r="K371" s="170">
        <f t="shared" si="105"/>
        <v>0</v>
      </c>
      <c r="L371" s="169">
        <f t="shared" si="105"/>
        <v>0</v>
      </c>
      <c r="M371" s="169">
        <f t="shared" si="105"/>
        <v>0</v>
      </c>
      <c r="N371" s="169" t="e">
        <f t="shared" ca="1" si="93"/>
        <v>#VALUE!</v>
      </c>
      <c r="O371" s="171" t="str">
        <f t="shared" si="94"/>
        <v/>
      </c>
      <c r="P371" s="171" t="str">
        <f t="shared" ca="1" si="95"/>
        <v/>
      </c>
      <c r="Q371" s="170">
        <f t="shared" ca="1" si="96"/>
        <v>0</v>
      </c>
      <c r="R371" s="170">
        <f t="shared" ca="1" si="97"/>
        <v>0</v>
      </c>
      <c r="S371" s="171" t="b">
        <f t="shared" si="98"/>
        <v>0</v>
      </c>
      <c r="T371" s="171" t="b">
        <f t="shared" ca="1" si="99"/>
        <v>0</v>
      </c>
      <c r="U371" s="172"/>
    </row>
    <row r="372" spans="1:21">
      <c r="A372" s="143">
        <v>125</v>
      </c>
      <c r="B372" s="167">
        <f t="shared" si="104"/>
        <v>0</v>
      </c>
      <c r="C372" s="167">
        <f t="shared" si="104"/>
        <v>0</v>
      </c>
      <c r="D372" s="167">
        <f t="shared" si="104"/>
        <v>0</v>
      </c>
      <c r="E372" s="168">
        <f t="shared" si="104"/>
        <v>0</v>
      </c>
      <c r="F372" s="167">
        <f t="shared" si="104"/>
        <v>0</v>
      </c>
      <c r="G372" s="168">
        <f t="shared" si="104"/>
        <v>0</v>
      </c>
      <c r="H372" s="169">
        <f t="shared" si="104"/>
        <v>0</v>
      </c>
      <c r="I372" s="169" t="e">
        <f t="shared" ca="1" si="91"/>
        <v>#VALUE!</v>
      </c>
      <c r="J372" s="169">
        <f t="shared" si="105"/>
        <v>0</v>
      </c>
      <c r="K372" s="170">
        <f t="shared" si="105"/>
        <v>0</v>
      </c>
      <c r="L372" s="169">
        <f t="shared" si="105"/>
        <v>0</v>
      </c>
      <c r="M372" s="169">
        <f t="shared" si="105"/>
        <v>0</v>
      </c>
      <c r="N372" s="169" t="e">
        <f t="shared" ca="1" si="93"/>
        <v>#VALUE!</v>
      </c>
      <c r="O372" s="171" t="str">
        <f t="shared" si="94"/>
        <v/>
      </c>
      <c r="P372" s="171" t="str">
        <f t="shared" ca="1" si="95"/>
        <v/>
      </c>
      <c r="Q372" s="170">
        <f t="shared" ca="1" si="96"/>
        <v>0</v>
      </c>
      <c r="R372" s="170">
        <f t="shared" ca="1" si="97"/>
        <v>0</v>
      </c>
      <c r="S372" s="171" t="b">
        <f t="shared" si="98"/>
        <v>0</v>
      </c>
      <c r="T372" s="171" t="b">
        <f t="shared" ca="1" si="99"/>
        <v>0</v>
      </c>
      <c r="U372" s="172"/>
    </row>
    <row r="373" spans="1:21">
      <c r="A373" s="143">
        <v>52</v>
      </c>
      <c r="B373" s="167">
        <f t="shared" si="104"/>
        <v>0</v>
      </c>
      <c r="C373" s="167">
        <f t="shared" si="104"/>
        <v>0</v>
      </c>
      <c r="D373" s="167">
        <f t="shared" si="104"/>
        <v>0</v>
      </c>
      <c r="E373" s="168">
        <f t="shared" si="104"/>
        <v>0</v>
      </c>
      <c r="F373" s="167">
        <f t="shared" si="104"/>
        <v>0</v>
      </c>
      <c r="G373" s="168">
        <f t="shared" si="104"/>
        <v>0</v>
      </c>
      <c r="H373" s="169">
        <f t="shared" si="104"/>
        <v>0</v>
      </c>
      <c r="I373" s="169" t="e">
        <f t="shared" ca="1" si="91"/>
        <v>#VALUE!</v>
      </c>
      <c r="J373" s="169">
        <f t="shared" si="105"/>
        <v>0</v>
      </c>
      <c r="K373" s="170">
        <f t="shared" si="105"/>
        <v>0</v>
      </c>
      <c r="L373" s="169">
        <f t="shared" si="105"/>
        <v>0</v>
      </c>
      <c r="M373" s="169">
        <f t="shared" si="105"/>
        <v>0</v>
      </c>
      <c r="N373" s="169" t="e">
        <f t="shared" ca="1" si="93"/>
        <v>#VALUE!</v>
      </c>
      <c r="O373" s="171" t="str">
        <f t="shared" si="94"/>
        <v/>
      </c>
      <c r="P373" s="171" t="str">
        <f t="shared" ca="1" si="95"/>
        <v/>
      </c>
      <c r="Q373" s="170">
        <f t="shared" ca="1" si="96"/>
        <v>0</v>
      </c>
      <c r="R373" s="170">
        <f t="shared" ca="1" si="97"/>
        <v>0</v>
      </c>
      <c r="S373" s="171" t="b">
        <f t="shared" si="98"/>
        <v>0</v>
      </c>
      <c r="T373" s="171" t="b">
        <f t="shared" ca="1" si="99"/>
        <v>0</v>
      </c>
      <c r="U373" s="172"/>
    </row>
    <row r="374" spans="1:21">
      <c r="A374" s="143">
        <v>112</v>
      </c>
      <c r="B374" s="167">
        <f t="shared" si="104"/>
        <v>0</v>
      </c>
      <c r="C374" s="167">
        <f t="shared" si="104"/>
        <v>0</v>
      </c>
      <c r="D374" s="167">
        <f t="shared" si="104"/>
        <v>0</v>
      </c>
      <c r="E374" s="168">
        <f t="shared" si="104"/>
        <v>0</v>
      </c>
      <c r="F374" s="167">
        <f t="shared" si="104"/>
        <v>0</v>
      </c>
      <c r="G374" s="168">
        <f t="shared" si="104"/>
        <v>0</v>
      </c>
      <c r="H374" s="169">
        <f t="shared" si="104"/>
        <v>0</v>
      </c>
      <c r="I374" s="169" t="e">
        <f t="shared" ca="1" si="91"/>
        <v>#VALUE!</v>
      </c>
      <c r="J374" s="169">
        <f t="shared" si="105"/>
        <v>0</v>
      </c>
      <c r="K374" s="170">
        <f t="shared" si="105"/>
        <v>0</v>
      </c>
      <c r="L374" s="169">
        <f t="shared" si="105"/>
        <v>0</v>
      </c>
      <c r="M374" s="169">
        <f t="shared" si="105"/>
        <v>0</v>
      </c>
      <c r="N374" s="169" t="e">
        <f t="shared" ca="1" si="93"/>
        <v>#VALUE!</v>
      </c>
      <c r="O374" s="171" t="str">
        <f t="shared" si="94"/>
        <v/>
      </c>
      <c r="P374" s="171" t="str">
        <f t="shared" ca="1" si="95"/>
        <v/>
      </c>
      <c r="Q374" s="170">
        <f t="shared" ca="1" si="96"/>
        <v>0</v>
      </c>
      <c r="R374" s="170">
        <f t="shared" ca="1" si="97"/>
        <v>0</v>
      </c>
      <c r="S374" s="171" t="b">
        <f t="shared" si="98"/>
        <v>0</v>
      </c>
      <c r="T374" s="171" t="b">
        <f t="shared" ca="1" si="99"/>
        <v>0</v>
      </c>
      <c r="U374" s="172"/>
    </row>
    <row r="375" spans="1:21">
      <c r="A375" s="143">
        <v>15</v>
      </c>
      <c r="B375" s="167">
        <f t="shared" si="104"/>
        <v>0</v>
      </c>
      <c r="C375" s="167">
        <f t="shared" si="104"/>
        <v>0</v>
      </c>
      <c r="D375" s="167">
        <f t="shared" si="104"/>
        <v>0</v>
      </c>
      <c r="E375" s="168">
        <f t="shared" si="104"/>
        <v>0</v>
      </c>
      <c r="F375" s="167">
        <f t="shared" si="104"/>
        <v>0</v>
      </c>
      <c r="G375" s="168">
        <f t="shared" si="104"/>
        <v>0</v>
      </c>
      <c r="H375" s="169">
        <f t="shared" si="104"/>
        <v>0</v>
      </c>
      <c r="I375" s="169" t="e">
        <f t="shared" ca="1" si="91"/>
        <v>#VALUE!</v>
      </c>
      <c r="J375" s="169">
        <f t="shared" si="105"/>
        <v>0</v>
      </c>
      <c r="K375" s="170">
        <f t="shared" si="105"/>
        <v>0</v>
      </c>
      <c r="L375" s="169">
        <f t="shared" si="105"/>
        <v>0</v>
      </c>
      <c r="M375" s="169">
        <f t="shared" si="105"/>
        <v>0</v>
      </c>
      <c r="N375" s="169" t="e">
        <f t="shared" ca="1" si="93"/>
        <v>#VALUE!</v>
      </c>
      <c r="O375" s="171" t="str">
        <f t="shared" si="94"/>
        <v/>
      </c>
      <c r="P375" s="171" t="str">
        <f t="shared" ca="1" si="95"/>
        <v/>
      </c>
      <c r="Q375" s="170">
        <f t="shared" ca="1" si="96"/>
        <v>0</v>
      </c>
      <c r="R375" s="170">
        <f t="shared" ca="1" si="97"/>
        <v>0</v>
      </c>
      <c r="S375" s="171" t="b">
        <f t="shared" si="98"/>
        <v>0</v>
      </c>
      <c r="T375" s="171" t="b">
        <f t="shared" ca="1" si="99"/>
        <v>0</v>
      </c>
      <c r="U375" s="172"/>
    </row>
    <row r="376" spans="1:21">
      <c r="A376" s="143">
        <v>53</v>
      </c>
      <c r="B376" s="167">
        <f t="shared" si="104"/>
        <v>0</v>
      </c>
      <c r="C376" s="167">
        <f t="shared" si="104"/>
        <v>0</v>
      </c>
      <c r="D376" s="167">
        <f t="shared" si="104"/>
        <v>0</v>
      </c>
      <c r="E376" s="168">
        <f t="shared" si="104"/>
        <v>0</v>
      </c>
      <c r="F376" s="167">
        <f t="shared" si="104"/>
        <v>0</v>
      </c>
      <c r="G376" s="168">
        <f t="shared" si="104"/>
        <v>0</v>
      </c>
      <c r="H376" s="169">
        <f t="shared" si="104"/>
        <v>0</v>
      </c>
      <c r="I376" s="169" t="e">
        <f t="shared" ca="1" si="91"/>
        <v>#VALUE!</v>
      </c>
      <c r="J376" s="169">
        <f t="shared" si="105"/>
        <v>0</v>
      </c>
      <c r="K376" s="170">
        <f t="shared" si="105"/>
        <v>0</v>
      </c>
      <c r="L376" s="169">
        <f t="shared" si="105"/>
        <v>0</v>
      </c>
      <c r="M376" s="169">
        <f t="shared" si="105"/>
        <v>0</v>
      </c>
      <c r="N376" s="169" t="e">
        <f t="shared" ca="1" si="93"/>
        <v>#VALUE!</v>
      </c>
      <c r="O376" s="171" t="str">
        <f t="shared" si="94"/>
        <v/>
      </c>
      <c r="P376" s="171" t="str">
        <f t="shared" ca="1" si="95"/>
        <v/>
      </c>
      <c r="Q376" s="170">
        <f t="shared" ca="1" si="96"/>
        <v>0</v>
      </c>
      <c r="R376" s="170">
        <f t="shared" ca="1" si="97"/>
        <v>0</v>
      </c>
      <c r="S376" s="171" t="b">
        <f t="shared" si="98"/>
        <v>0</v>
      </c>
      <c r="T376" s="171" t="b">
        <f t="shared" ca="1" si="99"/>
        <v>0</v>
      </c>
      <c r="U376" s="172"/>
    </row>
    <row r="377" spans="1:21">
      <c r="A377" s="143">
        <v>8</v>
      </c>
      <c r="B377" s="167">
        <f t="shared" si="104"/>
        <v>0</v>
      </c>
      <c r="C377" s="167">
        <f t="shared" si="104"/>
        <v>0</v>
      </c>
      <c r="D377" s="167">
        <f t="shared" si="104"/>
        <v>0</v>
      </c>
      <c r="E377" s="168">
        <f t="shared" si="104"/>
        <v>0</v>
      </c>
      <c r="F377" s="167">
        <f t="shared" si="104"/>
        <v>0</v>
      </c>
      <c r="G377" s="168">
        <f t="shared" si="104"/>
        <v>0</v>
      </c>
      <c r="H377" s="169">
        <f t="shared" si="104"/>
        <v>0</v>
      </c>
      <c r="I377" s="169" t="e">
        <f t="shared" ca="1" si="91"/>
        <v>#VALUE!</v>
      </c>
      <c r="J377" s="169">
        <f t="shared" si="105"/>
        <v>0</v>
      </c>
      <c r="K377" s="170">
        <f t="shared" si="105"/>
        <v>0</v>
      </c>
      <c r="L377" s="169">
        <f t="shared" si="105"/>
        <v>0</v>
      </c>
      <c r="M377" s="169">
        <f t="shared" si="105"/>
        <v>0</v>
      </c>
      <c r="N377" s="169" t="e">
        <f t="shared" ca="1" si="93"/>
        <v>#VALUE!</v>
      </c>
      <c r="O377" s="171" t="str">
        <f t="shared" si="94"/>
        <v/>
      </c>
      <c r="P377" s="171" t="str">
        <f t="shared" ca="1" si="95"/>
        <v/>
      </c>
      <c r="Q377" s="170">
        <f t="shared" ca="1" si="96"/>
        <v>0</v>
      </c>
      <c r="R377" s="170">
        <f t="shared" ca="1" si="97"/>
        <v>0</v>
      </c>
      <c r="S377" s="171" t="b">
        <f t="shared" si="98"/>
        <v>0</v>
      </c>
      <c r="T377" s="171" t="b">
        <f t="shared" ca="1" si="99"/>
        <v>0</v>
      </c>
      <c r="U377" s="172"/>
    </row>
    <row r="378" spans="1:21">
      <c r="A378" s="143">
        <v>35</v>
      </c>
      <c r="B378" s="167">
        <f t="shared" si="104"/>
        <v>0</v>
      </c>
      <c r="C378" s="167">
        <f t="shared" si="104"/>
        <v>0</v>
      </c>
      <c r="D378" s="167">
        <f t="shared" si="104"/>
        <v>0</v>
      </c>
      <c r="E378" s="168">
        <f t="shared" si="104"/>
        <v>0</v>
      </c>
      <c r="F378" s="167">
        <f t="shared" si="104"/>
        <v>0</v>
      </c>
      <c r="G378" s="168">
        <f t="shared" si="104"/>
        <v>0</v>
      </c>
      <c r="H378" s="169">
        <f t="shared" si="104"/>
        <v>0</v>
      </c>
      <c r="I378" s="169" t="e">
        <f t="shared" ca="1" si="91"/>
        <v>#VALUE!</v>
      </c>
      <c r="J378" s="169">
        <f t="shared" si="105"/>
        <v>0</v>
      </c>
      <c r="K378" s="170">
        <f t="shared" si="105"/>
        <v>0</v>
      </c>
      <c r="L378" s="169">
        <f t="shared" si="105"/>
        <v>0</v>
      </c>
      <c r="M378" s="169">
        <f t="shared" si="105"/>
        <v>0</v>
      </c>
      <c r="N378" s="169" t="e">
        <f t="shared" ca="1" si="93"/>
        <v>#VALUE!</v>
      </c>
      <c r="O378" s="171" t="str">
        <f t="shared" si="94"/>
        <v/>
      </c>
      <c r="P378" s="171" t="str">
        <f t="shared" ca="1" si="95"/>
        <v/>
      </c>
      <c r="Q378" s="170">
        <f t="shared" ca="1" si="96"/>
        <v>0</v>
      </c>
      <c r="R378" s="170">
        <f t="shared" ca="1" si="97"/>
        <v>0</v>
      </c>
      <c r="S378" s="171" t="b">
        <f t="shared" si="98"/>
        <v>0</v>
      </c>
      <c r="T378" s="171" t="b">
        <f t="shared" ca="1" si="99"/>
        <v>0</v>
      </c>
      <c r="U378" s="172"/>
    </row>
    <row r="379" spans="1:21">
      <c r="A379" s="143">
        <v>18</v>
      </c>
      <c r="B379" s="167">
        <f t="shared" si="104"/>
        <v>0</v>
      </c>
      <c r="C379" s="167">
        <f t="shared" si="104"/>
        <v>0</v>
      </c>
      <c r="D379" s="167">
        <f t="shared" si="104"/>
        <v>0</v>
      </c>
      <c r="E379" s="168">
        <f t="shared" si="104"/>
        <v>0</v>
      </c>
      <c r="F379" s="167">
        <f t="shared" si="104"/>
        <v>0</v>
      </c>
      <c r="G379" s="168">
        <f t="shared" si="104"/>
        <v>0</v>
      </c>
      <c r="H379" s="169">
        <f t="shared" si="104"/>
        <v>0</v>
      </c>
      <c r="I379" s="169" t="e">
        <f t="shared" ca="1" si="91"/>
        <v>#VALUE!</v>
      </c>
      <c r="J379" s="169">
        <f t="shared" si="105"/>
        <v>0</v>
      </c>
      <c r="K379" s="170">
        <f t="shared" si="105"/>
        <v>0</v>
      </c>
      <c r="L379" s="169">
        <f t="shared" si="105"/>
        <v>0</v>
      </c>
      <c r="M379" s="169">
        <f t="shared" si="105"/>
        <v>0</v>
      </c>
      <c r="N379" s="169" t="e">
        <f t="shared" ca="1" si="93"/>
        <v>#VALUE!</v>
      </c>
      <c r="O379" s="171" t="str">
        <f t="shared" si="94"/>
        <v/>
      </c>
      <c r="P379" s="171" t="str">
        <f t="shared" ca="1" si="95"/>
        <v/>
      </c>
      <c r="Q379" s="170">
        <f t="shared" ca="1" si="96"/>
        <v>0</v>
      </c>
      <c r="R379" s="170">
        <f t="shared" ca="1" si="97"/>
        <v>0</v>
      </c>
      <c r="S379" s="171" t="b">
        <f t="shared" si="98"/>
        <v>0</v>
      </c>
      <c r="T379" s="171" t="b">
        <f t="shared" ca="1" si="99"/>
        <v>0</v>
      </c>
      <c r="U379" s="172"/>
    </row>
    <row r="380" spans="1:21">
      <c r="A380" s="143">
        <v>456</v>
      </c>
      <c r="B380" s="167">
        <f t="shared" si="104"/>
        <v>0</v>
      </c>
      <c r="C380" s="167">
        <f t="shared" si="104"/>
        <v>0</v>
      </c>
      <c r="D380" s="167">
        <f t="shared" si="104"/>
        <v>0</v>
      </c>
      <c r="E380" s="168">
        <f t="shared" si="104"/>
        <v>0</v>
      </c>
      <c r="F380" s="167">
        <f t="shared" si="104"/>
        <v>0</v>
      </c>
      <c r="G380" s="168">
        <f t="shared" si="104"/>
        <v>0</v>
      </c>
      <c r="H380" s="169">
        <f t="shared" si="104"/>
        <v>0</v>
      </c>
      <c r="I380" s="169" t="e">
        <f t="shared" ca="1" si="91"/>
        <v>#VALUE!</v>
      </c>
      <c r="J380" s="169">
        <f t="shared" si="105"/>
        <v>0</v>
      </c>
      <c r="K380" s="170">
        <f t="shared" si="105"/>
        <v>0</v>
      </c>
      <c r="L380" s="169">
        <f t="shared" si="105"/>
        <v>0</v>
      </c>
      <c r="M380" s="169">
        <f t="shared" si="105"/>
        <v>0</v>
      </c>
      <c r="N380" s="169" t="e">
        <f t="shared" ca="1" si="93"/>
        <v>#VALUE!</v>
      </c>
      <c r="O380" s="171" t="str">
        <f t="shared" si="94"/>
        <v/>
      </c>
      <c r="P380" s="171" t="str">
        <f t="shared" ca="1" si="95"/>
        <v/>
      </c>
      <c r="Q380" s="170">
        <f t="shared" ca="1" si="96"/>
        <v>0</v>
      </c>
      <c r="R380" s="170">
        <f t="shared" ca="1" si="97"/>
        <v>0</v>
      </c>
      <c r="S380" s="171" t="b">
        <f t="shared" si="98"/>
        <v>0</v>
      </c>
      <c r="T380" s="171" t="b">
        <f t="shared" ca="1" si="99"/>
        <v>0</v>
      </c>
      <c r="U380" s="172"/>
    </row>
    <row r="381" spans="1:21">
      <c r="A381" s="143">
        <v>468</v>
      </c>
      <c r="B381" s="167">
        <f t="shared" ref="B381:H390" si="106">IF($A381&lt;=$A$8,INDEX(Import.PO,$A381,B$8),0)</f>
        <v>0</v>
      </c>
      <c r="C381" s="167">
        <f t="shared" si="106"/>
        <v>0</v>
      </c>
      <c r="D381" s="167">
        <f t="shared" si="106"/>
        <v>0</v>
      </c>
      <c r="E381" s="168">
        <f t="shared" si="106"/>
        <v>0</v>
      </c>
      <c r="F381" s="167">
        <f t="shared" si="106"/>
        <v>0</v>
      </c>
      <c r="G381" s="168">
        <f t="shared" si="106"/>
        <v>0</v>
      </c>
      <c r="H381" s="169">
        <f t="shared" si="106"/>
        <v>0</v>
      </c>
      <c r="I381" s="169" t="e">
        <f t="shared" ca="1" si="91"/>
        <v>#VALUE!</v>
      </c>
      <c r="J381" s="169">
        <f t="shared" si="105"/>
        <v>0</v>
      </c>
      <c r="K381" s="170">
        <f t="shared" si="105"/>
        <v>0</v>
      </c>
      <c r="L381" s="169">
        <f t="shared" si="105"/>
        <v>0</v>
      </c>
      <c r="M381" s="169">
        <f t="shared" si="105"/>
        <v>0</v>
      </c>
      <c r="N381" s="169" t="e">
        <f t="shared" ca="1" si="93"/>
        <v>#VALUE!</v>
      </c>
      <c r="O381" s="171" t="str">
        <f t="shared" si="94"/>
        <v/>
      </c>
      <c r="P381" s="171" t="str">
        <f t="shared" ca="1" si="95"/>
        <v/>
      </c>
      <c r="Q381" s="170">
        <f t="shared" ca="1" si="96"/>
        <v>0</v>
      </c>
      <c r="R381" s="170">
        <f t="shared" ca="1" si="97"/>
        <v>0</v>
      </c>
      <c r="S381" s="171" t="b">
        <f t="shared" si="98"/>
        <v>0</v>
      </c>
      <c r="T381" s="171" t="b">
        <f t="shared" ca="1" si="99"/>
        <v>0</v>
      </c>
      <c r="U381" s="172"/>
    </row>
    <row r="382" spans="1:21">
      <c r="A382" s="143">
        <v>26</v>
      </c>
      <c r="B382" s="167">
        <f t="shared" si="106"/>
        <v>0</v>
      </c>
      <c r="C382" s="167">
        <f t="shared" si="106"/>
        <v>0</v>
      </c>
      <c r="D382" s="167">
        <f t="shared" si="106"/>
        <v>0</v>
      </c>
      <c r="E382" s="168">
        <f t="shared" si="106"/>
        <v>0</v>
      </c>
      <c r="F382" s="167">
        <f t="shared" si="106"/>
        <v>0</v>
      </c>
      <c r="G382" s="168">
        <f t="shared" si="106"/>
        <v>0</v>
      </c>
      <c r="H382" s="169">
        <f t="shared" si="106"/>
        <v>0</v>
      </c>
      <c r="I382" s="169" t="e">
        <f t="shared" ca="1" si="91"/>
        <v>#VALUE!</v>
      </c>
      <c r="J382" s="169">
        <f t="shared" si="105"/>
        <v>0</v>
      </c>
      <c r="K382" s="170">
        <f t="shared" si="105"/>
        <v>0</v>
      </c>
      <c r="L382" s="169">
        <f t="shared" si="105"/>
        <v>0</v>
      </c>
      <c r="M382" s="169">
        <f t="shared" si="105"/>
        <v>0</v>
      </c>
      <c r="N382" s="169" t="e">
        <f t="shared" ca="1" si="93"/>
        <v>#VALUE!</v>
      </c>
      <c r="O382" s="171" t="str">
        <f t="shared" si="94"/>
        <v/>
      </c>
      <c r="P382" s="171" t="str">
        <f t="shared" ca="1" si="95"/>
        <v/>
      </c>
      <c r="Q382" s="170">
        <f t="shared" ca="1" si="96"/>
        <v>0</v>
      </c>
      <c r="R382" s="170">
        <f t="shared" ca="1" si="97"/>
        <v>0</v>
      </c>
      <c r="S382" s="171" t="b">
        <f t="shared" si="98"/>
        <v>0</v>
      </c>
      <c r="T382" s="171" t="b">
        <f t="shared" ca="1" si="99"/>
        <v>0</v>
      </c>
      <c r="U382" s="172"/>
    </row>
    <row r="383" spans="1:21">
      <c r="A383" s="143">
        <v>58</v>
      </c>
      <c r="B383" s="167">
        <f t="shared" si="106"/>
        <v>0</v>
      </c>
      <c r="C383" s="167">
        <f t="shared" si="106"/>
        <v>0</v>
      </c>
      <c r="D383" s="167">
        <f t="shared" si="106"/>
        <v>0</v>
      </c>
      <c r="E383" s="168">
        <f t="shared" si="106"/>
        <v>0</v>
      </c>
      <c r="F383" s="167">
        <f t="shared" si="106"/>
        <v>0</v>
      </c>
      <c r="G383" s="168">
        <f t="shared" si="106"/>
        <v>0</v>
      </c>
      <c r="H383" s="169">
        <f t="shared" si="106"/>
        <v>0</v>
      </c>
      <c r="I383" s="169" t="e">
        <f t="shared" ca="1" si="91"/>
        <v>#VALUE!</v>
      </c>
      <c r="J383" s="169">
        <f t="shared" si="105"/>
        <v>0</v>
      </c>
      <c r="K383" s="170">
        <f t="shared" si="105"/>
        <v>0</v>
      </c>
      <c r="L383" s="169">
        <f t="shared" si="105"/>
        <v>0</v>
      </c>
      <c r="M383" s="169">
        <f t="shared" si="105"/>
        <v>0</v>
      </c>
      <c r="N383" s="169" t="e">
        <f t="shared" ca="1" si="93"/>
        <v>#VALUE!</v>
      </c>
      <c r="O383" s="171" t="str">
        <f t="shared" si="94"/>
        <v/>
      </c>
      <c r="P383" s="171" t="str">
        <f t="shared" ca="1" si="95"/>
        <v/>
      </c>
      <c r="Q383" s="170">
        <f t="shared" ca="1" si="96"/>
        <v>0</v>
      </c>
      <c r="R383" s="170">
        <f t="shared" ca="1" si="97"/>
        <v>0</v>
      </c>
      <c r="S383" s="171" t="b">
        <f t="shared" si="98"/>
        <v>0</v>
      </c>
      <c r="T383" s="171" t="b">
        <f t="shared" ca="1" si="99"/>
        <v>0</v>
      </c>
      <c r="U383" s="172"/>
    </row>
    <row r="384" spans="1:21" hidden="1">
      <c r="A384" s="143">
        <v>1</v>
      </c>
      <c r="B384" s="167">
        <f t="shared" si="106"/>
        <v>0</v>
      </c>
      <c r="C384" s="167">
        <f t="shared" si="106"/>
        <v>0</v>
      </c>
      <c r="D384" s="167">
        <f t="shared" si="106"/>
        <v>0</v>
      </c>
      <c r="E384" s="168">
        <f t="shared" si="106"/>
        <v>0</v>
      </c>
      <c r="F384" s="167">
        <f t="shared" si="106"/>
        <v>0</v>
      </c>
      <c r="G384" s="168">
        <f t="shared" si="106"/>
        <v>0</v>
      </c>
      <c r="H384" s="169">
        <f t="shared" si="106"/>
        <v>0</v>
      </c>
      <c r="I384" s="169" t="e">
        <f t="shared" ca="1" si="91"/>
        <v>#VALUE!</v>
      </c>
      <c r="J384" s="169">
        <f t="shared" si="105"/>
        <v>0</v>
      </c>
      <c r="K384" s="170">
        <f t="shared" si="105"/>
        <v>0</v>
      </c>
      <c r="L384" s="169">
        <f t="shared" si="105"/>
        <v>0</v>
      </c>
      <c r="M384" s="169">
        <f t="shared" si="105"/>
        <v>0</v>
      </c>
      <c r="N384" s="169" t="e">
        <f t="shared" ca="1" si="93"/>
        <v>#VALUE!</v>
      </c>
      <c r="O384" s="171" t="str">
        <f t="shared" si="94"/>
        <v/>
      </c>
      <c r="P384" s="171" t="str">
        <f t="shared" ca="1" si="95"/>
        <v/>
      </c>
      <c r="Q384" s="170">
        <f t="shared" ca="1" si="96"/>
        <v>0</v>
      </c>
      <c r="R384" s="170">
        <f t="shared" ca="1" si="97"/>
        <v>0</v>
      </c>
      <c r="S384" s="171" t="b">
        <f t="shared" si="98"/>
        <v>0</v>
      </c>
      <c r="T384" s="171" t="b">
        <f t="shared" ca="1" si="99"/>
        <v>0</v>
      </c>
      <c r="U384" s="172"/>
    </row>
    <row r="385" spans="1:21" hidden="1">
      <c r="A385" s="143">
        <v>2</v>
      </c>
      <c r="B385" s="167">
        <f t="shared" si="106"/>
        <v>0</v>
      </c>
      <c r="C385" s="167">
        <f t="shared" si="106"/>
        <v>0</v>
      </c>
      <c r="D385" s="167">
        <f t="shared" si="106"/>
        <v>0</v>
      </c>
      <c r="E385" s="168">
        <f t="shared" si="106"/>
        <v>0</v>
      </c>
      <c r="F385" s="167">
        <f t="shared" si="106"/>
        <v>0</v>
      </c>
      <c r="G385" s="168">
        <f t="shared" si="106"/>
        <v>0</v>
      </c>
      <c r="H385" s="169">
        <f t="shared" si="106"/>
        <v>0</v>
      </c>
      <c r="I385" s="169" t="e">
        <f t="shared" ca="1" si="91"/>
        <v>#VALUE!</v>
      </c>
      <c r="J385" s="169">
        <f t="shared" si="105"/>
        <v>0</v>
      </c>
      <c r="K385" s="170">
        <f t="shared" si="105"/>
        <v>0</v>
      </c>
      <c r="L385" s="169">
        <f t="shared" si="105"/>
        <v>0</v>
      </c>
      <c r="M385" s="169">
        <f t="shared" si="105"/>
        <v>0</v>
      </c>
      <c r="N385" s="169" t="e">
        <f t="shared" ca="1" si="93"/>
        <v>#VALUE!</v>
      </c>
      <c r="O385" s="171" t="str">
        <f t="shared" si="94"/>
        <v/>
      </c>
      <c r="P385" s="171" t="str">
        <f t="shared" ca="1" si="95"/>
        <v/>
      </c>
      <c r="Q385" s="170">
        <f t="shared" ca="1" si="96"/>
        <v>0</v>
      </c>
      <c r="R385" s="170">
        <f t="shared" ca="1" si="97"/>
        <v>0</v>
      </c>
      <c r="S385" s="171" t="b">
        <f t="shared" si="98"/>
        <v>0</v>
      </c>
      <c r="T385" s="171" t="b">
        <f t="shared" ca="1" si="99"/>
        <v>0</v>
      </c>
      <c r="U385" s="172"/>
    </row>
    <row r="386" spans="1:21" hidden="1">
      <c r="A386" s="143">
        <v>20</v>
      </c>
      <c r="B386" s="167">
        <f t="shared" si="106"/>
        <v>0</v>
      </c>
      <c r="C386" s="167">
        <f t="shared" si="106"/>
        <v>0</v>
      </c>
      <c r="D386" s="167">
        <f t="shared" si="106"/>
        <v>0</v>
      </c>
      <c r="E386" s="168">
        <f t="shared" si="106"/>
        <v>0</v>
      </c>
      <c r="F386" s="167">
        <f t="shared" si="106"/>
        <v>0</v>
      </c>
      <c r="G386" s="168">
        <f t="shared" si="106"/>
        <v>0</v>
      </c>
      <c r="H386" s="169">
        <f t="shared" si="106"/>
        <v>0</v>
      </c>
      <c r="I386" s="169" t="e">
        <f t="shared" ca="1" si="91"/>
        <v>#VALUE!</v>
      </c>
      <c r="J386" s="169">
        <f t="shared" si="105"/>
        <v>0</v>
      </c>
      <c r="K386" s="170">
        <f t="shared" si="105"/>
        <v>0</v>
      </c>
      <c r="L386" s="169">
        <f t="shared" si="105"/>
        <v>0</v>
      </c>
      <c r="M386" s="169">
        <f t="shared" si="105"/>
        <v>0</v>
      </c>
      <c r="N386" s="169" t="e">
        <f t="shared" ca="1" si="93"/>
        <v>#VALUE!</v>
      </c>
      <c r="O386" s="171" t="str">
        <f t="shared" si="94"/>
        <v/>
      </c>
      <c r="P386" s="171" t="str">
        <f t="shared" ca="1" si="95"/>
        <v/>
      </c>
      <c r="Q386" s="170">
        <f t="shared" ca="1" si="96"/>
        <v>0</v>
      </c>
      <c r="R386" s="170">
        <f t="shared" ca="1" si="97"/>
        <v>0</v>
      </c>
      <c r="S386" s="171" t="b">
        <f t="shared" si="98"/>
        <v>0</v>
      </c>
      <c r="T386" s="171" t="b">
        <f t="shared" ca="1" si="99"/>
        <v>0</v>
      </c>
      <c r="U386" s="172"/>
    </row>
    <row r="387" spans="1:21" hidden="1">
      <c r="A387" s="143">
        <v>29</v>
      </c>
      <c r="B387" s="167">
        <f t="shared" si="106"/>
        <v>0</v>
      </c>
      <c r="C387" s="167">
        <f t="shared" si="106"/>
        <v>0</v>
      </c>
      <c r="D387" s="167">
        <f t="shared" si="106"/>
        <v>0</v>
      </c>
      <c r="E387" s="168">
        <f t="shared" si="106"/>
        <v>0</v>
      </c>
      <c r="F387" s="167">
        <f t="shared" si="106"/>
        <v>0</v>
      </c>
      <c r="G387" s="168">
        <f t="shared" si="106"/>
        <v>0</v>
      </c>
      <c r="H387" s="169">
        <f t="shared" si="106"/>
        <v>0</v>
      </c>
      <c r="I387" s="169" t="e">
        <f t="shared" ca="1" si="91"/>
        <v>#VALUE!</v>
      </c>
      <c r="J387" s="169">
        <f t="shared" si="105"/>
        <v>0</v>
      </c>
      <c r="K387" s="170">
        <f t="shared" si="105"/>
        <v>0</v>
      </c>
      <c r="L387" s="169">
        <f t="shared" si="105"/>
        <v>0</v>
      </c>
      <c r="M387" s="169">
        <f t="shared" si="105"/>
        <v>0</v>
      </c>
      <c r="N387" s="169" t="e">
        <f t="shared" ca="1" si="93"/>
        <v>#VALUE!</v>
      </c>
      <c r="O387" s="171" t="str">
        <f t="shared" si="94"/>
        <v/>
      </c>
      <c r="P387" s="171" t="str">
        <f t="shared" ca="1" si="95"/>
        <v/>
      </c>
      <c r="Q387" s="170">
        <f t="shared" ca="1" si="96"/>
        <v>0</v>
      </c>
      <c r="R387" s="170">
        <f t="shared" ca="1" si="97"/>
        <v>0</v>
      </c>
      <c r="S387" s="171" t="b">
        <f t="shared" si="98"/>
        <v>0</v>
      </c>
      <c r="T387" s="171" t="b">
        <f t="shared" ca="1" si="99"/>
        <v>0</v>
      </c>
      <c r="U387" s="172"/>
    </row>
    <row r="388" spans="1:21" hidden="1">
      <c r="A388" s="143">
        <v>38</v>
      </c>
      <c r="B388" s="167">
        <f t="shared" si="106"/>
        <v>0</v>
      </c>
      <c r="C388" s="167">
        <f t="shared" si="106"/>
        <v>0</v>
      </c>
      <c r="D388" s="167">
        <f t="shared" si="106"/>
        <v>0</v>
      </c>
      <c r="E388" s="168">
        <f t="shared" si="106"/>
        <v>0</v>
      </c>
      <c r="F388" s="167">
        <f t="shared" si="106"/>
        <v>0</v>
      </c>
      <c r="G388" s="168">
        <f t="shared" si="106"/>
        <v>0</v>
      </c>
      <c r="H388" s="169">
        <f t="shared" si="106"/>
        <v>0</v>
      </c>
      <c r="I388" s="169" t="e">
        <f t="shared" ca="1" si="91"/>
        <v>#VALUE!</v>
      </c>
      <c r="J388" s="169">
        <f t="shared" si="105"/>
        <v>0</v>
      </c>
      <c r="K388" s="170">
        <f t="shared" si="105"/>
        <v>0</v>
      </c>
      <c r="L388" s="169">
        <f t="shared" si="105"/>
        <v>0</v>
      </c>
      <c r="M388" s="169">
        <f t="shared" si="105"/>
        <v>0</v>
      </c>
      <c r="N388" s="169" t="e">
        <f t="shared" ca="1" si="93"/>
        <v>#VALUE!</v>
      </c>
      <c r="O388" s="171" t="str">
        <f t="shared" si="94"/>
        <v/>
      </c>
      <c r="P388" s="171" t="str">
        <f t="shared" ca="1" si="95"/>
        <v/>
      </c>
      <c r="Q388" s="170">
        <f t="shared" ca="1" si="96"/>
        <v>0</v>
      </c>
      <c r="R388" s="170">
        <f t="shared" ca="1" si="97"/>
        <v>0</v>
      </c>
      <c r="S388" s="171" t="b">
        <f t="shared" si="98"/>
        <v>0</v>
      </c>
      <c r="T388" s="171" t="b">
        <f t="shared" ca="1" si="99"/>
        <v>0</v>
      </c>
      <c r="U388" s="172"/>
    </row>
    <row r="389" spans="1:21" hidden="1">
      <c r="A389" s="143">
        <v>41</v>
      </c>
      <c r="B389" s="167">
        <f t="shared" si="106"/>
        <v>0</v>
      </c>
      <c r="C389" s="167">
        <f t="shared" si="106"/>
        <v>0</v>
      </c>
      <c r="D389" s="167">
        <f t="shared" si="106"/>
        <v>0</v>
      </c>
      <c r="E389" s="168">
        <f t="shared" si="106"/>
        <v>0</v>
      </c>
      <c r="F389" s="167">
        <f t="shared" si="106"/>
        <v>0</v>
      </c>
      <c r="G389" s="168">
        <f t="shared" si="106"/>
        <v>0</v>
      </c>
      <c r="H389" s="169">
        <f t="shared" si="106"/>
        <v>0</v>
      </c>
      <c r="I389" s="169" t="e">
        <f t="shared" ca="1" si="91"/>
        <v>#VALUE!</v>
      </c>
      <c r="J389" s="169">
        <f t="shared" si="105"/>
        <v>0</v>
      </c>
      <c r="K389" s="170">
        <f t="shared" si="105"/>
        <v>0</v>
      </c>
      <c r="L389" s="169">
        <f t="shared" si="105"/>
        <v>0</v>
      </c>
      <c r="M389" s="169">
        <f t="shared" si="105"/>
        <v>0</v>
      </c>
      <c r="N389" s="169" t="e">
        <f t="shared" ca="1" si="93"/>
        <v>#VALUE!</v>
      </c>
      <c r="O389" s="171" t="str">
        <f t="shared" si="94"/>
        <v/>
      </c>
      <c r="P389" s="171" t="str">
        <f t="shared" ca="1" si="95"/>
        <v/>
      </c>
      <c r="Q389" s="170">
        <f t="shared" ca="1" si="96"/>
        <v>0</v>
      </c>
      <c r="R389" s="170">
        <f t="shared" ca="1" si="97"/>
        <v>0</v>
      </c>
      <c r="S389" s="171" t="b">
        <f t="shared" si="98"/>
        <v>0</v>
      </c>
      <c r="T389" s="171" t="b">
        <f t="shared" ca="1" si="99"/>
        <v>0</v>
      </c>
      <c r="U389" s="172"/>
    </row>
    <row r="390" spans="1:21" hidden="1">
      <c r="A390" s="143">
        <v>42</v>
      </c>
      <c r="B390" s="167">
        <f t="shared" si="106"/>
        <v>0</v>
      </c>
      <c r="C390" s="167">
        <f t="shared" si="106"/>
        <v>0</v>
      </c>
      <c r="D390" s="167">
        <f t="shared" si="106"/>
        <v>0</v>
      </c>
      <c r="E390" s="168">
        <f t="shared" si="106"/>
        <v>0</v>
      </c>
      <c r="F390" s="167">
        <f t="shared" si="106"/>
        <v>0</v>
      </c>
      <c r="G390" s="168">
        <f t="shared" si="106"/>
        <v>0</v>
      </c>
      <c r="H390" s="169">
        <f t="shared" si="106"/>
        <v>0</v>
      </c>
      <c r="I390" s="169" t="e">
        <f t="shared" ca="1" si="91"/>
        <v>#VALUE!</v>
      </c>
      <c r="J390" s="169">
        <f t="shared" si="105"/>
        <v>0</v>
      </c>
      <c r="K390" s="170">
        <f t="shared" si="105"/>
        <v>0</v>
      </c>
      <c r="L390" s="169">
        <f t="shared" si="105"/>
        <v>0</v>
      </c>
      <c r="M390" s="169">
        <f t="shared" si="105"/>
        <v>0</v>
      </c>
      <c r="N390" s="169" t="e">
        <f t="shared" ca="1" si="93"/>
        <v>#VALUE!</v>
      </c>
      <c r="O390" s="171" t="str">
        <f t="shared" si="94"/>
        <v/>
      </c>
      <c r="P390" s="171" t="str">
        <f t="shared" ca="1" si="95"/>
        <v/>
      </c>
      <c r="Q390" s="170">
        <f t="shared" ca="1" si="96"/>
        <v>0</v>
      </c>
      <c r="R390" s="170">
        <f t="shared" ca="1" si="97"/>
        <v>0</v>
      </c>
      <c r="S390" s="171" t="b">
        <f t="shared" si="98"/>
        <v>0</v>
      </c>
      <c r="T390" s="171" t="b">
        <f t="shared" ca="1" si="99"/>
        <v>0</v>
      </c>
      <c r="U390" s="172"/>
    </row>
    <row r="391" spans="1:21" hidden="1">
      <c r="A391" s="143">
        <v>43</v>
      </c>
      <c r="B391" s="167">
        <f t="shared" ref="B391:H400" si="107">IF($A391&lt;=$A$8,INDEX(Import.PO,$A391,B$8),0)</f>
        <v>0</v>
      </c>
      <c r="C391" s="167">
        <f t="shared" si="107"/>
        <v>0</v>
      </c>
      <c r="D391" s="167">
        <f t="shared" si="107"/>
        <v>0</v>
      </c>
      <c r="E391" s="168">
        <f t="shared" si="107"/>
        <v>0</v>
      </c>
      <c r="F391" s="167">
        <f t="shared" si="107"/>
        <v>0</v>
      </c>
      <c r="G391" s="168">
        <f t="shared" si="107"/>
        <v>0</v>
      </c>
      <c r="H391" s="169">
        <f t="shared" si="107"/>
        <v>0</v>
      </c>
      <c r="I391" s="169" t="e">
        <f t="shared" ca="1" si="91"/>
        <v>#VALUE!</v>
      </c>
      <c r="J391" s="169">
        <f t="shared" ref="J391:M410" si="108">IF($A391&lt;=$A$8,INDEX(Import.PO,$A391,J$8),0)</f>
        <v>0</v>
      </c>
      <c r="K391" s="170">
        <f t="shared" si="108"/>
        <v>0</v>
      </c>
      <c r="L391" s="169">
        <f t="shared" si="108"/>
        <v>0</v>
      </c>
      <c r="M391" s="169">
        <f t="shared" si="108"/>
        <v>0</v>
      </c>
      <c r="N391" s="169" t="e">
        <f t="shared" ca="1" si="93"/>
        <v>#VALUE!</v>
      </c>
      <c r="O391" s="171" t="str">
        <f t="shared" si="94"/>
        <v/>
      </c>
      <c r="P391" s="171" t="str">
        <f t="shared" ca="1" si="95"/>
        <v/>
      </c>
      <c r="Q391" s="170">
        <f t="shared" ca="1" si="96"/>
        <v>0</v>
      </c>
      <c r="R391" s="170">
        <f t="shared" ca="1" si="97"/>
        <v>0</v>
      </c>
      <c r="S391" s="171" t="b">
        <f t="shared" si="98"/>
        <v>0</v>
      </c>
      <c r="T391" s="171" t="b">
        <f t="shared" ca="1" si="99"/>
        <v>0</v>
      </c>
      <c r="U391" s="172"/>
    </row>
    <row r="392" spans="1:21" hidden="1">
      <c r="A392" s="143">
        <v>46</v>
      </c>
      <c r="B392" s="167">
        <f t="shared" si="107"/>
        <v>0</v>
      </c>
      <c r="C392" s="167">
        <f t="shared" si="107"/>
        <v>0</v>
      </c>
      <c r="D392" s="167">
        <f t="shared" si="107"/>
        <v>0</v>
      </c>
      <c r="E392" s="168">
        <f t="shared" si="107"/>
        <v>0</v>
      </c>
      <c r="F392" s="167">
        <f t="shared" si="107"/>
        <v>0</v>
      </c>
      <c r="G392" s="168">
        <f t="shared" si="107"/>
        <v>0</v>
      </c>
      <c r="H392" s="169">
        <f t="shared" si="107"/>
        <v>0</v>
      </c>
      <c r="I392" s="169" t="e">
        <f t="shared" ca="1" si="91"/>
        <v>#VALUE!</v>
      </c>
      <c r="J392" s="169">
        <f t="shared" si="108"/>
        <v>0</v>
      </c>
      <c r="K392" s="170">
        <f t="shared" si="108"/>
        <v>0</v>
      </c>
      <c r="L392" s="169">
        <f t="shared" si="108"/>
        <v>0</v>
      </c>
      <c r="M392" s="169">
        <f t="shared" si="108"/>
        <v>0</v>
      </c>
      <c r="N392" s="169" t="e">
        <f t="shared" ca="1" si="93"/>
        <v>#VALUE!</v>
      </c>
      <c r="O392" s="171" t="str">
        <f t="shared" si="94"/>
        <v/>
      </c>
      <c r="P392" s="171" t="str">
        <f t="shared" ca="1" si="95"/>
        <v/>
      </c>
      <c r="Q392" s="170">
        <f t="shared" ca="1" si="96"/>
        <v>0</v>
      </c>
      <c r="R392" s="170">
        <f t="shared" ca="1" si="97"/>
        <v>0</v>
      </c>
      <c r="S392" s="171" t="b">
        <f t="shared" si="98"/>
        <v>0</v>
      </c>
      <c r="T392" s="171" t="b">
        <f t="shared" ca="1" si="99"/>
        <v>0</v>
      </c>
      <c r="U392" s="172"/>
    </row>
    <row r="393" spans="1:21" hidden="1">
      <c r="A393" s="143">
        <v>48</v>
      </c>
      <c r="B393" s="167">
        <f t="shared" si="107"/>
        <v>0</v>
      </c>
      <c r="C393" s="167">
        <f t="shared" si="107"/>
        <v>0</v>
      </c>
      <c r="D393" s="167">
        <f t="shared" si="107"/>
        <v>0</v>
      </c>
      <c r="E393" s="168">
        <f t="shared" si="107"/>
        <v>0</v>
      </c>
      <c r="F393" s="167">
        <f t="shared" si="107"/>
        <v>0</v>
      </c>
      <c r="G393" s="168">
        <f t="shared" si="107"/>
        <v>0</v>
      </c>
      <c r="H393" s="169">
        <f t="shared" si="107"/>
        <v>0</v>
      </c>
      <c r="I393" s="169" t="e">
        <f t="shared" ca="1" si="91"/>
        <v>#VALUE!</v>
      </c>
      <c r="J393" s="169">
        <f t="shared" si="108"/>
        <v>0</v>
      </c>
      <c r="K393" s="170">
        <f t="shared" si="108"/>
        <v>0</v>
      </c>
      <c r="L393" s="169">
        <f t="shared" si="108"/>
        <v>0</v>
      </c>
      <c r="M393" s="169">
        <f t="shared" si="108"/>
        <v>0</v>
      </c>
      <c r="N393" s="169" t="e">
        <f t="shared" ca="1" si="93"/>
        <v>#VALUE!</v>
      </c>
      <c r="O393" s="171" t="str">
        <f t="shared" si="94"/>
        <v/>
      </c>
      <c r="P393" s="171" t="str">
        <f t="shared" ca="1" si="95"/>
        <v/>
      </c>
      <c r="Q393" s="170">
        <f t="shared" ca="1" si="96"/>
        <v>0</v>
      </c>
      <c r="R393" s="170">
        <f t="shared" ca="1" si="97"/>
        <v>0</v>
      </c>
      <c r="S393" s="171" t="b">
        <f t="shared" si="98"/>
        <v>0</v>
      </c>
      <c r="T393" s="171" t="b">
        <f t="shared" ca="1" si="99"/>
        <v>0</v>
      </c>
      <c r="U393" s="172"/>
    </row>
    <row r="394" spans="1:21" hidden="1">
      <c r="A394" s="143">
        <v>61</v>
      </c>
      <c r="B394" s="167">
        <f t="shared" si="107"/>
        <v>0</v>
      </c>
      <c r="C394" s="167">
        <f t="shared" si="107"/>
        <v>0</v>
      </c>
      <c r="D394" s="167">
        <f t="shared" si="107"/>
        <v>0</v>
      </c>
      <c r="E394" s="168">
        <f t="shared" si="107"/>
        <v>0</v>
      </c>
      <c r="F394" s="167">
        <f t="shared" si="107"/>
        <v>0</v>
      </c>
      <c r="G394" s="168">
        <f t="shared" si="107"/>
        <v>0</v>
      </c>
      <c r="H394" s="169">
        <f t="shared" si="107"/>
        <v>0</v>
      </c>
      <c r="I394" s="169" t="e">
        <f t="shared" ca="1" si="91"/>
        <v>#VALUE!</v>
      </c>
      <c r="J394" s="169">
        <f t="shared" si="108"/>
        <v>0</v>
      </c>
      <c r="K394" s="170">
        <f t="shared" si="108"/>
        <v>0</v>
      </c>
      <c r="L394" s="169">
        <f t="shared" si="108"/>
        <v>0</v>
      </c>
      <c r="M394" s="169">
        <f t="shared" si="108"/>
        <v>0</v>
      </c>
      <c r="N394" s="169" t="e">
        <f t="shared" ca="1" si="93"/>
        <v>#VALUE!</v>
      </c>
      <c r="O394" s="171" t="str">
        <f t="shared" si="94"/>
        <v/>
      </c>
      <c r="P394" s="171" t="str">
        <f t="shared" ca="1" si="95"/>
        <v/>
      </c>
      <c r="Q394" s="170">
        <f t="shared" ca="1" si="96"/>
        <v>0</v>
      </c>
      <c r="R394" s="170">
        <f t="shared" ca="1" si="97"/>
        <v>0</v>
      </c>
      <c r="S394" s="171" t="b">
        <f t="shared" si="98"/>
        <v>0</v>
      </c>
      <c r="T394" s="171" t="b">
        <f t="shared" ca="1" si="99"/>
        <v>0</v>
      </c>
      <c r="U394" s="172"/>
    </row>
    <row r="395" spans="1:21" hidden="1">
      <c r="A395" s="143">
        <v>68</v>
      </c>
      <c r="B395" s="167">
        <f t="shared" si="107"/>
        <v>0</v>
      </c>
      <c r="C395" s="167">
        <f t="shared" si="107"/>
        <v>0</v>
      </c>
      <c r="D395" s="167">
        <f t="shared" si="107"/>
        <v>0</v>
      </c>
      <c r="E395" s="168">
        <f t="shared" si="107"/>
        <v>0</v>
      </c>
      <c r="F395" s="167">
        <f t="shared" si="107"/>
        <v>0</v>
      </c>
      <c r="G395" s="168">
        <f t="shared" si="107"/>
        <v>0</v>
      </c>
      <c r="H395" s="169">
        <f t="shared" si="107"/>
        <v>0</v>
      </c>
      <c r="I395" s="169" t="e">
        <f t="shared" ref="I395:I458" ca="1" si="109">IF($P395=ROW($P395)-ROW($P$10),SUMIF(OFFSET($P$10,1,0,$A$7),$P395,OFFSET($H$10,1,0,$A$7)),OFFSET($I$10,$P395,0))</f>
        <v>#VALUE!</v>
      </c>
      <c r="J395" s="169">
        <f t="shared" si="108"/>
        <v>0</v>
      </c>
      <c r="K395" s="170">
        <f t="shared" si="108"/>
        <v>0</v>
      </c>
      <c r="L395" s="169">
        <f t="shared" si="108"/>
        <v>0</v>
      </c>
      <c r="M395" s="169">
        <f t="shared" si="108"/>
        <v>0</v>
      </c>
      <c r="N395" s="169" t="e">
        <f t="shared" ref="N395:N458" ca="1" si="110">IF($P395=ROW($P395)-ROW($P$10),SUMIF(OFFSET($P$10,1,0,$A$7),$P395,OFFSET($M$10,1,0,$A$7)),OFFSET($N$10,$P395,0))</f>
        <v>#VALUE!</v>
      </c>
      <c r="O395" s="171" t="str">
        <f t="shared" ref="O395:O458" si="111">IF($S395,D395&amp;"-"&amp;E395,"")</f>
        <v/>
      </c>
      <c r="P395" s="171" t="str">
        <f t="shared" ref="P395:P458" ca="1" si="112">IF($S395,MATCH(O395,OFFSET($O$10,1,0,$A$7),0),"")</f>
        <v/>
      </c>
      <c r="Q395" s="170">
        <f t="shared" ref="Q395:Q458" ca="1" si="113">IF($P395=ROW($P395)-ROW($P$10),$N395/$M$7,IF(ISNUMBER($P395),TEXT(OFFSET($Q$10,$P395,0)," 0,00% "),0))</f>
        <v>0</v>
      </c>
      <c r="R395" s="170">
        <f t="shared" ref="R395:R458" ca="1" si="114">SUMIF(OFFSET($Q$10,1,0,$A$7),"&gt;="&amp;$N395/$M$7,OFFSET($Q$10,1,0,$A$7))</f>
        <v>0</v>
      </c>
      <c r="S395" s="171" t="b">
        <f t="shared" ref="S395:S458" si="115">E395&lt;&gt;0</f>
        <v>0</v>
      </c>
      <c r="T395" s="171" t="b">
        <f t="shared" ref="T395:T458" ca="1" si="116">IF($P395=ROW($P395)-ROW($P$10),R395&lt;=$Q$8,IF(ISNUMBER($P395),OFFSET($T$10,VALUE($P395),0),FALSE))</f>
        <v>0</v>
      </c>
      <c r="U395" s="172"/>
    </row>
    <row r="396" spans="1:21" hidden="1">
      <c r="A396" s="143">
        <v>69</v>
      </c>
      <c r="B396" s="167">
        <f t="shared" si="107"/>
        <v>0</v>
      </c>
      <c r="C396" s="167">
        <f t="shared" si="107"/>
        <v>0</v>
      </c>
      <c r="D396" s="167">
        <f t="shared" si="107"/>
        <v>0</v>
      </c>
      <c r="E396" s="168">
        <f t="shared" si="107"/>
        <v>0</v>
      </c>
      <c r="F396" s="167">
        <f t="shared" si="107"/>
        <v>0</v>
      </c>
      <c r="G396" s="168">
        <f t="shared" si="107"/>
        <v>0</v>
      </c>
      <c r="H396" s="169">
        <f t="shared" si="107"/>
        <v>0</v>
      </c>
      <c r="I396" s="169" t="e">
        <f t="shared" ca="1" si="109"/>
        <v>#VALUE!</v>
      </c>
      <c r="J396" s="169">
        <f t="shared" si="108"/>
        <v>0</v>
      </c>
      <c r="K396" s="170">
        <f t="shared" si="108"/>
        <v>0</v>
      </c>
      <c r="L396" s="169">
        <f t="shared" si="108"/>
        <v>0</v>
      </c>
      <c r="M396" s="169">
        <f t="shared" si="108"/>
        <v>0</v>
      </c>
      <c r="N396" s="169" t="e">
        <f t="shared" ca="1" si="110"/>
        <v>#VALUE!</v>
      </c>
      <c r="O396" s="171" t="str">
        <f t="shared" si="111"/>
        <v/>
      </c>
      <c r="P396" s="171" t="str">
        <f t="shared" ca="1" si="112"/>
        <v/>
      </c>
      <c r="Q396" s="170">
        <f t="shared" ca="1" si="113"/>
        <v>0</v>
      </c>
      <c r="R396" s="170">
        <f t="shared" ca="1" si="114"/>
        <v>0</v>
      </c>
      <c r="S396" s="171" t="b">
        <f t="shared" si="115"/>
        <v>0</v>
      </c>
      <c r="T396" s="171" t="b">
        <f t="shared" ca="1" si="116"/>
        <v>0</v>
      </c>
      <c r="U396" s="172"/>
    </row>
    <row r="397" spans="1:21" hidden="1">
      <c r="A397" s="143">
        <v>78</v>
      </c>
      <c r="B397" s="167">
        <f t="shared" si="107"/>
        <v>0</v>
      </c>
      <c r="C397" s="167">
        <f t="shared" si="107"/>
        <v>0</v>
      </c>
      <c r="D397" s="167">
        <f t="shared" si="107"/>
        <v>0</v>
      </c>
      <c r="E397" s="168">
        <f t="shared" si="107"/>
        <v>0</v>
      </c>
      <c r="F397" s="167">
        <f t="shared" si="107"/>
        <v>0</v>
      </c>
      <c r="G397" s="168">
        <f t="shared" si="107"/>
        <v>0</v>
      </c>
      <c r="H397" s="169">
        <f t="shared" si="107"/>
        <v>0</v>
      </c>
      <c r="I397" s="169" t="e">
        <f t="shared" ca="1" si="109"/>
        <v>#VALUE!</v>
      </c>
      <c r="J397" s="169">
        <f t="shared" si="108"/>
        <v>0</v>
      </c>
      <c r="K397" s="170">
        <f t="shared" si="108"/>
        <v>0</v>
      </c>
      <c r="L397" s="169">
        <f t="shared" si="108"/>
        <v>0</v>
      </c>
      <c r="M397" s="169">
        <f t="shared" si="108"/>
        <v>0</v>
      </c>
      <c r="N397" s="169" t="e">
        <f t="shared" ca="1" si="110"/>
        <v>#VALUE!</v>
      </c>
      <c r="O397" s="171" t="str">
        <f t="shared" si="111"/>
        <v/>
      </c>
      <c r="P397" s="171" t="str">
        <f t="shared" ca="1" si="112"/>
        <v/>
      </c>
      <c r="Q397" s="170">
        <f t="shared" ca="1" si="113"/>
        <v>0</v>
      </c>
      <c r="R397" s="170">
        <f t="shared" ca="1" si="114"/>
        <v>0</v>
      </c>
      <c r="S397" s="171" t="b">
        <f t="shared" si="115"/>
        <v>0</v>
      </c>
      <c r="T397" s="171" t="b">
        <f t="shared" ca="1" si="116"/>
        <v>0</v>
      </c>
      <c r="U397" s="172"/>
    </row>
    <row r="398" spans="1:21" hidden="1">
      <c r="A398" s="143">
        <v>79</v>
      </c>
      <c r="B398" s="167">
        <f t="shared" si="107"/>
        <v>0</v>
      </c>
      <c r="C398" s="167">
        <f t="shared" si="107"/>
        <v>0</v>
      </c>
      <c r="D398" s="167">
        <f t="shared" si="107"/>
        <v>0</v>
      </c>
      <c r="E398" s="168">
        <f t="shared" si="107"/>
        <v>0</v>
      </c>
      <c r="F398" s="167">
        <f t="shared" si="107"/>
        <v>0</v>
      </c>
      <c r="G398" s="168">
        <f t="shared" si="107"/>
        <v>0</v>
      </c>
      <c r="H398" s="169">
        <f t="shared" si="107"/>
        <v>0</v>
      </c>
      <c r="I398" s="169" t="e">
        <f t="shared" ca="1" si="109"/>
        <v>#VALUE!</v>
      </c>
      <c r="J398" s="169">
        <f t="shared" si="108"/>
        <v>0</v>
      </c>
      <c r="K398" s="170">
        <f t="shared" si="108"/>
        <v>0</v>
      </c>
      <c r="L398" s="169">
        <f t="shared" si="108"/>
        <v>0</v>
      </c>
      <c r="M398" s="169">
        <f t="shared" si="108"/>
        <v>0</v>
      </c>
      <c r="N398" s="169" t="e">
        <f t="shared" ca="1" si="110"/>
        <v>#VALUE!</v>
      </c>
      <c r="O398" s="171" t="str">
        <f t="shared" si="111"/>
        <v/>
      </c>
      <c r="P398" s="171" t="str">
        <f t="shared" ca="1" si="112"/>
        <v/>
      </c>
      <c r="Q398" s="170">
        <f t="shared" ca="1" si="113"/>
        <v>0</v>
      </c>
      <c r="R398" s="170">
        <f t="shared" ca="1" si="114"/>
        <v>0</v>
      </c>
      <c r="S398" s="171" t="b">
        <f t="shared" si="115"/>
        <v>0</v>
      </c>
      <c r="T398" s="171" t="b">
        <f t="shared" ca="1" si="116"/>
        <v>0</v>
      </c>
      <c r="U398" s="172"/>
    </row>
    <row r="399" spans="1:21" hidden="1">
      <c r="A399" s="143">
        <v>82</v>
      </c>
      <c r="B399" s="167">
        <f t="shared" si="107"/>
        <v>0</v>
      </c>
      <c r="C399" s="167">
        <f t="shared" si="107"/>
        <v>0</v>
      </c>
      <c r="D399" s="167">
        <f t="shared" si="107"/>
        <v>0</v>
      </c>
      <c r="E399" s="168">
        <f t="shared" si="107"/>
        <v>0</v>
      </c>
      <c r="F399" s="167">
        <f t="shared" si="107"/>
        <v>0</v>
      </c>
      <c r="G399" s="168">
        <f t="shared" si="107"/>
        <v>0</v>
      </c>
      <c r="H399" s="169">
        <f t="shared" si="107"/>
        <v>0</v>
      </c>
      <c r="I399" s="169" t="e">
        <f t="shared" ca="1" si="109"/>
        <v>#VALUE!</v>
      </c>
      <c r="J399" s="169">
        <f t="shared" si="108"/>
        <v>0</v>
      </c>
      <c r="K399" s="170">
        <f t="shared" si="108"/>
        <v>0</v>
      </c>
      <c r="L399" s="169">
        <f t="shared" si="108"/>
        <v>0</v>
      </c>
      <c r="M399" s="169">
        <f t="shared" si="108"/>
        <v>0</v>
      </c>
      <c r="N399" s="169" t="e">
        <f t="shared" ca="1" si="110"/>
        <v>#VALUE!</v>
      </c>
      <c r="O399" s="171" t="str">
        <f t="shared" si="111"/>
        <v/>
      </c>
      <c r="P399" s="171" t="str">
        <f t="shared" ca="1" si="112"/>
        <v/>
      </c>
      <c r="Q399" s="170">
        <f t="shared" ca="1" si="113"/>
        <v>0</v>
      </c>
      <c r="R399" s="170">
        <f t="shared" ca="1" si="114"/>
        <v>0</v>
      </c>
      <c r="S399" s="171" t="b">
        <f t="shared" si="115"/>
        <v>0</v>
      </c>
      <c r="T399" s="171" t="b">
        <f t="shared" ca="1" si="116"/>
        <v>0</v>
      </c>
      <c r="U399" s="172"/>
    </row>
    <row r="400" spans="1:21" hidden="1">
      <c r="A400" s="143">
        <v>83</v>
      </c>
      <c r="B400" s="167">
        <f t="shared" si="107"/>
        <v>0</v>
      </c>
      <c r="C400" s="167">
        <f t="shared" si="107"/>
        <v>0</v>
      </c>
      <c r="D400" s="167">
        <f t="shared" si="107"/>
        <v>0</v>
      </c>
      <c r="E400" s="168">
        <f t="shared" si="107"/>
        <v>0</v>
      </c>
      <c r="F400" s="167">
        <f t="shared" si="107"/>
        <v>0</v>
      </c>
      <c r="G400" s="168">
        <f t="shared" si="107"/>
        <v>0</v>
      </c>
      <c r="H400" s="169">
        <f t="shared" si="107"/>
        <v>0</v>
      </c>
      <c r="I400" s="169" t="e">
        <f t="shared" ca="1" si="109"/>
        <v>#VALUE!</v>
      </c>
      <c r="J400" s="169">
        <f t="shared" si="108"/>
        <v>0</v>
      </c>
      <c r="K400" s="170">
        <f t="shared" si="108"/>
        <v>0</v>
      </c>
      <c r="L400" s="169">
        <f t="shared" si="108"/>
        <v>0</v>
      </c>
      <c r="M400" s="169">
        <f t="shared" si="108"/>
        <v>0</v>
      </c>
      <c r="N400" s="169" t="e">
        <f t="shared" ca="1" si="110"/>
        <v>#VALUE!</v>
      </c>
      <c r="O400" s="171" t="str">
        <f t="shared" si="111"/>
        <v/>
      </c>
      <c r="P400" s="171" t="str">
        <f t="shared" ca="1" si="112"/>
        <v/>
      </c>
      <c r="Q400" s="170">
        <f t="shared" ca="1" si="113"/>
        <v>0</v>
      </c>
      <c r="R400" s="170">
        <f t="shared" ca="1" si="114"/>
        <v>0</v>
      </c>
      <c r="S400" s="171" t="b">
        <f t="shared" si="115"/>
        <v>0</v>
      </c>
      <c r="T400" s="171" t="b">
        <f t="shared" ca="1" si="116"/>
        <v>0</v>
      </c>
      <c r="U400" s="172"/>
    </row>
    <row r="401" spans="1:21" hidden="1">
      <c r="A401" s="143">
        <v>92</v>
      </c>
      <c r="B401" s="167">
        <f t="shared" ref="B401:H410" si="117">IF($A401&lt;=$A$8,INDEX(Import.PO,$A401,B$8),0)</f>
        <v>0</v>
      </c>
      <c r="C401" s="167">
        <f t="shared" si="117"/>
        <v>0</v>
      </c>
      <c r="D401" s="167">
        <f t="shared" si="117"/>
        <v>0</v>
      </c>
      <c r="E401" s="168">
        <f t="shared" si="117"/>
        <v>0</v>
      </c>
      <c r="F401" s="167">
        <f t="shared" si="117"/>
        <v>0</v>
      </c>
      <c r="G401" s="168">
        <f t="shared" si="117"/>
        <v>0</v>
      </c>
      <c r="H401" s="169">
        <f t="shared" si="117"/>
        <v>0</v>
      </c>
      <c r="I401" s="169" t="e">
        <f t="shared" ca="1" si="109"/>
        <v>#VALUE!</v>
      </c>
      <c r="J401" s="169">
        <f t="shared" si="108"/>
        <v>0</v>
      </c>
      <c r="K401" s="170">
        <f t="shared" si="108"/>
        <v>0</v>
      </c>
      <c r="L401" s="169">
        <f t="shared" si="108"/>
        <v>0</v>
      </c>
      <c r="M401" s="169">
        <f t="shared" si="108"/>
        <v>0</v>
      </c>
      <c r="N401" s="169" t="e">
        <f t="shared" ca="1" si="110"/>
        <v>#VALUE!</v>
      </c>
      <c r="O401" s="171" t="str">
        <f t="shared" si="111"/>
        <v/>
      </c>
      <c r="P401" s="171" t="str">
        <f t="shared" ca="1" si="112"/>
        <v/>
      </c>
      <c r="Q401" s="170">
        <f t="shared" ca="1" si="113"/>
        <v>0</v>
      </c>
      <c r="R401" s="170">
        <f t="shared" ca="1" si="114"/>
        <v>0</v>
      </c>
      <c r="S401" s="171" t="b">
        <f t="shared" si="115"/>
        <v>0</v>
      </c>
      <c r="T401" s="171" t="b">
        <f t="shared" ca="1" si="116"/>
        <v>0</v>
      </c>
      <c r="U401" s="172"/>
    </row>
    <row r="402" spans="1:21" hidden="1">
      <c r="A402" s="143">
        <v>104</v>
      </c>
      <c r="B402" s="167">
        <f t="shared" si="117"/>
        <v>0</v>
      </c>
      <c r="C402" s="167">
        <f t="shared" si="117"/>
        <v>0</v>
      </c>
      <c r="D402" s="167">
        <f t="shared" si="117"/>
        <v>0</v>
      </c>
      <c r="E402" s="168">
        <f t="shared" si="117"/>
        <v>0</v>
      </c>
      <c r="F402" s="167">
        <f t="shared" si="117"/>
        <v>0</v>
      </c>
      <c r="G402" s="168">
        <f t="shared" si="117"/>
        <v>0</v>
      </c>
      <c r="H402" s="169">
        <f t="shared" si="117"/>
        <v>0</v>
      </c>
      <c r="I402" s="169" t="e">
        <f t="shared" ca="1" si="109"/>
        <v>#VALUE!</v>
      </c>
      <c r="J402" s="169">
        <f t="shared" si="108"/>
        <v>0</v>
      </c>
      <c r="K402" s="170">
        <f t="shared" si="108"/>
        <v>0</v>
      </c>
      <c r="L402" s="169">
        <f t="shared" si="108"/>
        <v>0</v>
      </c>
      <c r="M402" s="169">
        <f t="shared" si="108"/>
        <v>0</v>
      </c>
      <c r="N402" s="169" t="e">
        <f t="shared" ca="1" si="110"/>
        <v>#VALUE!</v>
      </c>
      <c r="O402" s="171" t="str">
        <f t="shared" si="111"/>
        <v/>
      </c>
      <c r="P402" s="171" t="str">
        <f t="shared" ca="1" si="112"/>
        <v/>
      </c>
      <c r="Q402" s="170">
        <f t="shared" ca="1" si="113"/>
        <v>0</v>
      </c>
      <c r="R402" s="170">
        <f t="shared" ca="1" si="114"/>
        <v>0</v>
      </c>
      <c r="S402" s="171" t="b">
        <f t="shared" si="115"/>
        <v>0</v>
      </c>
      <c r="T402" s="171" t="b">
        <f t="shared" ca="1" si="116"/>
        <v>0</v>
      </c>
      <c r="U402" s="172"/>
    </row>
    <row r="403" spans="1:21" hidden="1">
      <c r="A403" s="143">
        <v>114</v>
      </c>
      <c r="B403" s="167">
        <f t="shared" si="117"/>
        <v>0</v>
      </c>
      <c r="C403" s="167">
        <f t="shared" si="117"/>
        <v>0</v>
      </c>
      <c r="D403" s="167">
        <f t="shared" si="117"/>
        <v>0</v>
      </c>
      <c r="E403" s="168">
        <f t="shared" si="117"/>
        <v>0</v>
      </c>
      <c r="F403" s="167">
        <f t="shared" si="117"/>
        <v>0</v>
      </c>
      <c r="G403" s="168">
        <f t="shared" si="117"/>
        <v>0</v>
      </c>
      <c r="H403" s="169">
        <f t="shared" si="117"/>
        <v>0</v>
      </c>
      <c r="I403" s="169" t="e">
        <f t="shared" ca="1" si="109"/>
        <v>#VALUE!</v>
      </c>
      <c r="J403" s="169">
        <f t="shared" si="108"/>
        <v>0</v>
      </c>
      <c r="K403" s="170">
        <f t="shared" si="108"/>
        <v>0</v>
      </c>
      <c r="L403" s="169">
        <f t="shared" si="108"/>
        <v>0</v>
      </c>
      <c r="M403" s="169">
        <f t="shared" si="108"/>
        <v>0</v>
      </c>
      <c r="N403" s="169" t="e">
        <f t="shared" ca="1" si="110"/>
        <v>#VALUE!</v>
      </c>
      <c r="O403" s="171" t="str">
        <f t="shared" si="111"/>
        <v/>
      </c>
      <c r="P403" s="171" t="str">
        <f t="shared" ca="1" si="112"/>
        <v/>
      </c>
      <c r="Q403" s="170">
        <f t="shared" ca="1" si="113"/>
        <v>0</v>
      </c>
      <c r="R403" s="170">
        <f t="shared" ca="1" si="114"/>
        <v>0</v>
      </c>
      <c r="S403" s="171" t="b">
        <f t="shared" si="115"/>
        <v>0</v>
      </c>
      <c r="T403" s="171" t="b">
        <f t="shared" ca="1" si="116"/>
        <v>0</v>
      </c>
      <c r="U403" s="172"/>
    </row>
    <row r="404" spans="1:21" hidden="1">
      <c r="A404" s="143">
        <v>115</v>
      </c>
      <c r="B404" s="167">
        <f t="shared" si="117"/>
        <v>0</v>
      </c>
      <c r="C404" s="167">
        <f t="shared" si="117"/>
        <v>0</v>
      </c>
      <c r="D404" s="167">
        <f t="shared" si="117"/>
        <v>0</v>
      </c>
      <c r="E404" s="168">
        <f t="shared" si="117"/>
        <v>0</v>
      </c>
      <c r="F404" s="167">
        <f t="shared" si="117"/>
        <v>0</v>
      </c>
      <c r="G404" s="168">
        <f t="shared" si="117"/>
        <v>0</v>
      </c>
      <c r="H404" s="169">
        <f t="shared" si="117"/>
        <v>0</v>
      </c>
      <c r="I404" s="169" t="e">
        <f t="shared" ca="1" si="109"/>
        <v>#VALUE!</v>
      </c>
      <c r="J404" s="169">
        <f t="shared" si="108"/>
        <v>0</v>
      </c>
      <c r="K404" s="170">
        <f t="shared" si="108"/>
        <v>0</v>
      </c>
      <c r="L404" s="169">
        <f t="shared" si="108"/>
        <v>0</v>
      </c>
      <c r="M404" s="169">
        <f t="shared" si="108"/>
        <v>0</v>
      </c>
      <c r="N404" s="169" t="e">
        <f t="shared" ca="1" si="110"/>
        <v>#VALUE!</v>
      </c>
      <c r="O404" s="171" t="str">
        <f t="shared" si="111"/>
        <v/>
      </c>
      <c r="P404" s="171" t="str">
        <f t="shared" ca="1" si="112"/>
        <v/>
      </c>
      <c r="Q404" s="170">
        <f t="shared" ca="1" si="113"/>
        <v>0</v>
      </c>
      <c r="R404" s="170">
        <f t="shared" ca="1" si="114"/>
        <v>0</v>
      </c>
      <c r="S404" s="171" t="b">
        <f t="shared" si="115"/>
        <v>0</v>
      </c>
      <c r="T404" s="171" t="b">
        <f t="shared" ca="1" si="116"/>
        <v>0</v>
      </c>
      <c r="U404" s="172"/>
    </row>
    <row r="405" spans="1:21" hidden="1">
      <c r="A405" s="143">
        <v>118</v>
      </c>
      <c r="B405" s="167">
        <f t="shared" si="117"/>
        <v>0</v>
      </c>
      <c r="C405" s="167">
        <f t="shared" si="117"/>
        <v>0</v>
      </c>
      <c r="D405" s="167">
        <f t="shared" si="117"/>
        <v>0</v>
      </c>
      <c r="E405" s="168">
        <f t="shared" si="117"/>
        <v>0</v>
      </c>
      <c r="F405" s="167">
        <f t="shared" si="117"/>
        <v>0</v>
      </c>
      <c r="G405" s="168">
        <f t="shared" si="117"/>
        <v>0</v>
      </c>
      <c r="H405" s="169">
        <f t="shared" si="117"/>
        <v>0</v>
      </c>
      <c r="I405" s="169" t="e">
        <f t="shared" ca="1" si="109"/>
        <v>#VALUE!</v>
      </c>
      <c r="J405" s="169">
        <f t="shared" si="108"/>
        <v>0</v>
      </c>
      <c r="K405" s="170">
        <f t="shared" si="108"/>
        <v>0</v>
      </c>
      <c r="L405" s="169">
        <f t="shared" si="108"/>
        <v>0</v>
      </c>
      <c r="M405" s="169">
        <f t="shared" si="108"/>
        <v>0</v>
      </c>
      <c r="N405" s="169" t="e">
        <f t="shared" ca="1" si="110"/>
        <v>#VALUE!</v>
      </c>
      <c r="O405" s="171" t="str">
        <f t="shared" si="111"/>
        <v/>
      </c>
      <c r="P405" s="171" t="str">
        <f t="shared" ca="1" si="112"/>
        <v/>
      </c>
      <c r="Q405" s="170">
        <f t="shared" ca="1" si="113"/>
        <v>0</v>
      </c>
      <c r="R405" s="170">
        <f t="shared" ca="1" si="114"/>
        <v>0</v>
      </c>
      <c r="S405" s="171" t="b">
        <f t="shared" si="115"/>
        <v>0</v>
      </c>
      <c r="T405" s="171" t="b">
        <f t="shared" ca="1" si="116"/>
        <v>0</v>
      </c>
      <c r="U405" s="172"/>
    </row>
    <row r="406" spans="1:21" hidden="1">
      <c r="A406" s="143">
        <v>119</v>
      </c>
      <c r="B406" s="167">
        <f t="shared" si="117"/>
        <v>0</v>
      </c>
      <c r="C406" s="167">
        <f t="shared" si="117"/>
        <v>0</v>
      </c>
      <c r="D406" s="167">
        <f t="shared" si="117"/>
        <v>0</v>
      </c>
      <c r="E406" s="168">
        <f t="shared" si="117"/>
        <v>0</v>
      </c>
      <c r="F406" s="167">
        <f t="shared" si="117"/>
        <v>0</v>
      </c>
      <c r="G406" s="168">
        <f t="shared" si="117"/>
        <v>0</v>
      </c>
      <c r="H406" s="169">
        <f t="shared" si="117"/>
        <v>0</v>
      </c>
      <c r="I406" s="169" t="e">
        <f t="shared" ca="1" si="109"/>
        <v>#VALUE!</v>
      </c>
      <c r="J406" s="169">
        <f t="shared" si="108"/>
        <v>0</v>
      </c>
      <c r="K406" s="170">
        <f t="shared" si="108"/>
        <v>0</v>
      </c>
      <c r="L406" s="169">
        <f t="shared" si="108"/>
        <v>0</v>
      </c>
      <c r="M406" s="169">
        <f t="shared" si="108"/>
        <v>0</v>
      </c>
      <c r="N406" s="169" t="e">
        <f t="shared" ca="1" si="110"/>
        <v>#VALUE!</v>
      </c>
      <c r="O406" s="171" t="str">
        <f t="shared" si="111"/>
        <v/>
      </c>
      <c r="P406" s="171" t="str">
        <f t="shared" ca="1" si="112"/>
        <v/>
      </c>
      <c r="Q406" s="170">
        <f t="shared" ca="1" si="113"/>
        <v>0</v>
      </c>
      <c r="R406" s="170">
        <f t="shared" ca="1" si="114"/>
        <v>0</v>
      </c>
      <c r="S406" s="171" t="b">
        <f t="shared" si="115"/>
        <v>0</v>
      </c>
      <c r="T406" s="171" t="b">
        <f t="shared" ca="1" si="116"/>
        <v>0</v>
      </c>
      <c r="U406" s="172"/>
    </row>
    <row r="407" spans="1:21" hidden="1">
      <c r="A407" s="143">
        <v>130</v>
      </c>
      <c r="B407" s="167">
        <f t="shared" si="117"/>
        <v>0</v>
      </c>
      <c r="C407" s="167">
        <f t="shared" si="117"/>
        <v>0</v>
      </c>
      <c r="D407" s="167">
        <f t="shared" si="117"/>
        <v>0</v>
      </c>
      <c r="E407" s="168">
        <f t="shared" si="117"/>
        <v>0</v>
      </c>
      <c r="F407" s="167">
        <f t="shared" si="117"/>
        <v>0</v>
      </c>
      <c r="G407" s="168">
        <f t="shared" si="117"/>
        <v>0</v>
      </c>
      <c r="H407" s="169">
        <f t="shared" si="117"/>
        <v>0</v>
      </c>
      <c r="I407" s="169" t="e">
        <f t="shared" ca="1" si="109"/>
        <v>#VALUE!</v>
      </c>
      <c r="J407" s="169">
        <f t="shared" si="108"/>
        <v>0</v>
      </c>
      <c r="K407" s="170">
        <f t="shared" si="108"/>
        <v>0</v>
      </c>
      <c r="L407" s="169">
        <f t="shared" si="108"/>
        <v>0</v>
      </c>
      <c r="M407" s="169">
        <f t="shared" si="108"/>
        <v>0</v>
      </c>
      <c r="N407" s="169" t="e">
        <f t="shared" ca="1" si="110"/>
        <v>#VALUE!</v>
      </c>
      <c r="O407" s="171" t="str">
        <f t="shared" si="111"/>
        <v/>
      </c>
      <c r="P407" s="171" t="str">
        <f t="shared" ca="1" si="112"/>
        <v/>
      </c>
      <c r="Q407" s="170">
        <f t="shared" ca="1" si="113"/>
        <v>0</v>
      </c>
      <c r="R407" s="170">
        <f t="shared" ca="1" si="114"/>
        <v>0</v>
      </c>
      <c r="S407" s="171" t="b">
        <f t="shared" si="115"/>
        <v>0</v>
      </c>
      <c r="T407" s="171" t="b">
        <f t="shared" ca="1" si="116"/>
        <v>0</v>
      </c>
      <c r="U407" s="172"/>
    </row>
    <row r="408" spans="1:21" hidden="1">
      <c r="A408" s="143">
        <v>139</v>
      </c>
      <c r="B408" s="167">
        <f t="shared" si="117"/>
        <v>0</v>
      </c>
      <c r="C408" s="167">
        <f t="shared" si="117"/>
        <v>0</v>
      </c>
      <c r="D408" s="167">
        <f t="shared" si="117"/>
        <v>0</v>
      </c>
      <c r="E408" s="168">
        <f t="shared" si="117"/>
        <v>0</v>
      </c>
      <c r="F408" s="167">
        <f t="shared" si="117"/>
        <v>0</v>
      </c>
      <c r="G408" s="168">
        <f t="shared" si="117"/>
        <v>0</v>
      </c>
      <c r="H408" s="169">
        <f t="shared" si="117"/>
        <v>0</v>
      </c>
      <c r="I408" s="169" t="e">
        <f t="shared" ca="1" si="109"/>
        <v>#VALUE!</v>
      </c>
      <c r="J408" s="169">
        <f t="shared" si="108"/>
        <v>0</v>
      </c>
      <c r="K408" s="170">
        <f t="shared" si="108"/>
        <v>0</v>
      </c>
      <c r="L408" s="169">
        <f t="shared" si="108"/>
        <v>0</v>
      </c>
      <c r="M408" s="169">
        <f t="shared" si="108"/>
        <v>0</v>
      </c>
      <c r="N408" s="169" t="e">
        <f t="shared" ca="1" si="110"/>
        <v>#VALUE!</v>
      </c>
      <c r="O408" s="171" t="str">
        <f t="shared" si="111"/>
        <v/>
      </c>
      <c r="P408" s="171" t="str">
        <f t="shared" ca="1" si="112"/>
        <v/>
      </c>
      <c r="Q408" s="170">
        <f t="shared" ca="1" si="113"/>
        <v>0</v>
      </c>
      <c r="R408" s="170">
        <f t="shared" ca="1" si="114"/>
        <v>0</v>
      </c>
      <c r="S408" s="171" t="b">
        <f t="shared" si="115"/>
        <v>0</v>
      </c>
      <c r="T408" s="171" t="b">
        <f t="shared" ca="1" si="116"/>
        <v>0</v>
      </c>
      <c r="U408" s="172"/>
    </row>
    <row r="409" spans="1:21" hidden="1">
      <c r="A409" s="143">
        <v>140</v>
      </c>
      <c r="B409" s="167">
        <f t="shared" si="117"/>
        <v>0</v>
      </c>
      <c r="C409" s="167">
        <f t="shared" si="117"/>
        <v>0</v>
      </c>
      <c r="D409" s="167">
        <f t="shared" si="117"/>
        <v>0</v>
      </c>
      <c r="E409" s="168">
        <f t="shared" si="117"/>
        <v>0</v>
      </c>
      <c r="F409" s="167">
        <f t="shared" si="117"/>
        <v>0</v>
      </c>
      <c r="G409" s="168">
        <f t="shared" si="117"/>
        <v>0</v>
      </c>
      <c r="H409" s="169">
        <f t="shared" si="117"/>
        <v>0</v>
      </c>
      <c r="I409" s="169" t="e">
        <f t="shared" ca="1" si="109"/>
        <v>#VALUE!</v>
      </c>
      <c r="J409" s="169">
        <f t="shared" si="108"/>
        <v>0</v>
      </c>
      <c r="K409" s="170">
        <f t="shared" si="108"/>
        <v>0</v>
      </c>
      <c r="L409" s="169">
        <f t="shared" si="108"/>
        <v>0</v>
      </c>
      <c r="M409" s="169">
        <f t="shared" si="108"/>
        <v>0</v>
      </c>
      <c r="N409" s="169" t="e">
        <f t="shared" ca="1" si="110"/>
        <v>#VALUE!</v>
      </c>
      <c r="O409" s="171" t="str">
        <f t="shared" si="111"/>
        <v/>
      </c>
      <c r="P409" s="171" t="str">
        <f t="shared" ca="1" si="112"/>
        <v/>
      </c>
      <c r="Q409" s="170">
        <f t="shared" ca="1" si="113"/>
        <v>0</v>
      </c>
      <c r="R409" s="170">
        <f t="shared" ca="1" si="114"/>
        <v>0</v>
      </c>
      <c r="S409" s="171" t="b">
        <f t="shared" si="115"/>
        <v>0</v>
      </c>
      <c r="T409" s="171" t="b">
        <f t="shared" ca="1" si="116"/>
        <v>0</v>
      </c>
      <c r="U409" s="172"/>
    </row>
    <row r="410" spans="1:21" hidden="1">
      <c r="A410" s="143">
        <v>143</v>
      </c>
      <c r="B410" s="167">
        <f t="shared" si="117"/>
        <v>0</v>
      </c>
      <c r="C410" s="167">
        <f t="shared" si="117"/>
        <v>0</v>
      </c>
      <c r="D410" s="167">
        <f t="shared" si="117"/>
        <v>0</v>
      </c>
      <c r="E410" s="168">
        <f t="shared" si="117"/>
        <v>0</v>
      </c>
      <c r="F410" s="167">
        <f t="shared" si="117"/>
        <v>0</v>
      </c>
      <c r="G410" s="168">
        <f t="shared" si="117"/>
        <v>0</v>
      </c>
      <c r="H410" s="169">
        <f t="shared" si="117"/>
        <v>0</v>
      </c>
      <c r="I410" s="169" t="e">
        <f t="shared" ca="1" si="109"/>
        <v>#VALUE!</v>
      </c>
      <c r="J410" s="169">
        <f t="shared" si="108"/>
        <v>0</v>
      </c>
      <c r="K410" s="170">
        <f t="shared" si="108"/>
        <v>0</v>
      </c>
      <c r="L410" s="169">
        <f t="shared" si="108"/>
        <v>0</v>
      </c>
      <c r="M410" s="169">
        <f t="shared" si="108"/>
        <v>0</v>
      </c>
      <c r="N410" s="169" t="e">
        <f t="shared" ca="1" si="110"/>
        <v>#VALUE!</v>
      </c>
      <c r="O410" s="171" t="str">
        <f t="shared" si="111"/>
        <v/>
      </c>
      <c r="P410" s="171" t="str">
        <f t="shared" ca="1" si="112"/>
        <v/>
      </c>
      <c r="Q410" s="170">
        <f t="shared" ca="1" si="113"/>
        <v>0</v>
      </c>
      <c r="R410" s="170">
        <f t="shared" ca="1" si="114"/>
        <v>0</v>
      </c>
      <c r="S410" s="171" t="b">
        <f t="shared" si="115"/>
        <v>0</v>
      </c>
      <c r="T410" s="171" t="b">
        <f t="shared" ca="1" si="116"/>
        <v>0</v>
      </c>
      <c r="U410" s="172"/>
    </row>
    <row r="411" spans="1:21" hidden="1">
      <c r="A411" s="143">
        <v>144</v>
      </c>
      <c r="B411" s="167">
        <f t="shared" ref="B411:H420" si="118">IF($A411&lt;=$A$8,INDEX(Import.PO,$A411,B$8),0)</f>
        <v>0</v>
      </c>
      <c r="C411" s="167">
        <f t="shared" si="118"/>
        <v>0</v>
      </c>
      <c r="D411" s="167">
        <f t="shared" si="118"/>
        <v>0</v>
      </c>
      <c r="E411" s="168">
        <f t="shared" si="118"/>
        <v>0</v>
      </c>
      <c r="F411" s="167">
        <f t="shared" si="118"/>
        <v>0</v>
      </c>
      <c r="G411" s="168">
        <f t="shared" si="118"/>
        <v>0</v>
      </c>
      <c r="H411" s="169">
        <f t="shared" si="118"/>
        <v>0</v>
      </c>
      <c r="I411" s="169" t="e">
        <f t="shared" ca="1" si="109"/>
        <v>#VALUE!</v>
      </c>
      <c r="J411" s="169">
        <f t="shared" ref="J411:M430" si="119">IF($A411&lt;=$A$8,INDEX(Import.PO,$A411,J$8),0)</f>
        <v>0</v>
      </c>
      <c r="K411" s="170">
        <f t="shared" si="119"/>
        <v>0</v>
      </c>
      <c r="L411" s="169">
        <f t="shared" si="119"/>
        <v>0</v>
      </c>
      <c r="M411" s="169">
        <f t="shared" si="119"/>
        <v>0</v>
      </c>
      <c r="N411" s="169" t="e">
        <f t="shared" ca="1" si="110"/>
        <v>#VALUE!</v>
      </c>
      <c r="O411" s="171" t="str">
        <f t="shared" si="111"/>
        <v/>
      </c>
      <c r="P411" s="171" t="str">
        <f t="shared" ca="1" si="112"/>
        <v/>
      </c>
      <c r="Q411" s="170">
        <f t="shared" ca="1" si="113"/>
        <v>0</v>
      </c>
      <c r="R411" s="170">
        <f t="shared" ca="1" si="114"/>
        <v>0</v>
      </c>
      <c r="S411" s="171" t="b">
        <f t="shared" si="115"/>
        <v>0</v>
      </c>
      <c r="T411" s="171" t="b">
        <f t="shared" ca="1" si="116"/>
        <v>0</v>
      </c>
      <c r="U411" s="172"/>
    </row>
    <row r="412" spans="1:21" hidden="1">
      <c r="A412" s="143">
        <v>156</v>
      </c>
      <c r="B412" s="167">
        <f t="shared" si="118"/>
        <v>0</v>
      </c>
      <c r="C412" s="167">
        <f t="shared" si="118"/>
        <v>0</v>
      </c>
      <c r="D412" s="167">
        <f t="shared" si="118"/>
        <v>0</v>
      </c>
      <c r="E412" s="168">
        <f t="shared" si="118"/>
        <v>0</v>
      </c>
      <c r="F412" s="167">
        <f t="shared" si="118"/>
        <v>0</v>
      </c>
      <c r="G412" s="168">
        <f t="shared" si="118"/>
        <v>0</v>
      </c>
      <c r="H412" s="169">
        <f t="shared" si="118"/>
        <v>0</v>
      </c>
      <c r="I412" s="169" t="e">
        <f t="shared" ca="1" si="109"/>
        <v>#VALUE!</v>
      </c>
      <c r="J412" s="169">
        <f t="shared" si="119"/>
        <v>0</v>
      </c>
      <c r="K412" s="170">
        <f t="shared" si="119"/>
        <v>0</v>
      </c>
      <c r="L412" s="169">
        <f t="shared" si="119"/>
        <v>0</v>
      </c>
      <c r="M412" s="169">
        <f t="shared" si="119"/>
        <v>0</v>
      </c>
      <c r="N412" s="169" t="e">
        <f t="shared" ca="1" si="110"/>
        <v>#VALUE!</v>
      </c>
      <c r="O412" s="171" t="str">
        <f t="shared" si="111"/>
        <v/>
      </c>
      <c r="P412" s="171" t="str">
        <f t="shared" ca="1" si="112"/>
        <v/>
      </c>
      <c r="Q412" s="170">
        <f t="shared" ca="1" si="113"/>
        <v>0</v>
      </c>
      <c r="R412" s="170">
        <f t="shared" ca="1" si="114"/>
        <v>0</v>
      </c>
      <c r="S412" s="171" t="b">
        <f t="shared" si="115"/>
        <v>0</v>
      </c>
      <c r="T412" s="171" t="b">
        <f t="shared" ca="1" si="116"/>
        <v>0</v>
      </c>
      <c r="U412" s="172"/>
    </row>
    <row r="413" spans="1:21" hidden="1">
      <c r="A413" s="143">
        <v>166</v>
      </c>
      <c r="B413" s="167">
        <f t="shared" si="118"/>
        <v>0</v>
      </c>
      <c r="C413" s="167">
        <f t="shared" si="118"/>
        <v>0</v>
      </c>
      <c r="D413" s="167">
        <f t="shared" si="118"/>
        <v>0</v>
      </c>
      <c r="E413" s="168">
        <f t="shared" si="118"/>
        <v>0</v>
      </c>
      <c r="F413" s="167">
        <f t="shared" si="118"/>
        <v>0</v>
      </c>
      <c r="G413" s="168">
        <f t="shared" si="118"/>
        <v>0</v>
      </c>
      <c r="H413" s="169">
        <f t="shared" si="118"/>
        <v>0</v>
      </c>
      <c r="I413" s="169" t="e">
        <f t="shared" ca="1" si="109"/>
        <v>#VALUE!</v>
      </c>
      <c r="J413" s="169">
        <f t="shared" si="119"/>
        <v>0</v>
      </c>
      <c r="K413" s="170">
        <f t="shared" si="119"/>
        <v>0</v>
      </c>
      <c r="L413" s="169">
        <f t="shared" si="119"/>
        <v>0</v>
      </c>
      <c r="M413" s="169">
        <f t="shared" si="119"/>
        <v>0</v>
      </c>
      <c r="N413" s="169" t="e">
        <f t="shared" ca="1" si="110"/>
        <v>#VALUE!</v>
      </c>
      <c r="O413" s="171" t="str">
        <f t="shared" si="111"/>
        <v/>
      </c>
      <c r="P413" s="171" t="str">
        <f t="shared" ca="1" si="112"/>
        <v/>
      </c>
      <c r="Q413" s="170">
        <f t="shared" ca="1" si="113"/>
        <v>0</v>
      </c>
      <c r="R413" s="170">
        <f t="shared" ca="1" si="114"/>
        <v>0</v>
      </c>
      <c r="S413" s="171" t="b">
        <f t="shared" si="115"/>
        <v>0</v>
      </c>
      <c r="T413" s="171" t="b">
        <f t="shared" ca="1" si="116"/>
        <v>0</v>
      </c>
      <c r="U413" s="172"/>
    </row>
    <row r="414" spans="1:21" hidden="1">
      <c r="A414" s="143">
        <v>175</v>
      </c>
      <c r="B414" s="167">
        <f t="shared" si="118"/>
        <v>0</v>
      </c>
      <c r="C414" s="167">
        <f t="shared" si="118"/>
        <v>0</v>
      </c>
      <c r="D414" s="167">
        <f t="shared" si="118"/>
        <v>0</v>
      </c>
      <c r="E414" s="168">
        <f t="shared" si="118"/>
        <v>0</v>
      </c>
      <c r="F414" s="167">
        <f t="shared" si="118"/>
        <v>0</v>
      </c>
      <c r="G414" s="168">
        <f t="shared" si="118"/>
        <v>0</v>
      </c>
      <c r="H414" s="169">
        <f t="shared" si="118"/>
        <v>0</v>
      </c>
      <c r="I414" s="169" t="e">
        <f t="shared" ca="1" si="109"/>
        <v>#VALUE!</v>
      </c>
      <c r="J414" s="169">
        <f t="shared" si="119"/>
        <v>0</v>
      </c>
      <c r="K414" s="170">
        <f t="shared" si="119"/>
        <v>0</v>
      </c>
      <c r="L414" s="169">
        <f t="shared" si="119"/>
        <v>0</v>
      </c>
      <c r="M414" s="169">
        <f t="shared" si="119"/>
        <v>0</v>
      </c>
      <c r="N414" s="169" t="e">
        <f t="shared" ca="1" si="110"/>
        <v>#VALUE!</v>
      </c>
      <c r="O414" s="171" t="str">
        <f t="shared" si="111"/>
        <v/>
      </c>
      <c r="P414" s="171" t="str">
        <f t="shared" ca="1" si="112"/>
        <v/>
      </c>
      <c r="Q414" s="170">
        <f t="shared" ca="1" si="113"/>
        <v>0</v>
      </c>
      <c r="R414" s="170">
        <f t="shared" ca="1" si="114"/>
        <v>0</v>
      </c>
      <c r="S414" s="171" t="b">
        <f t="shared" si="115"/>
        <v>0</v>
      </c>
      <c r="T414" s="171" t="b">
        <f t="shared" ca="1" si="116"/>
        <v>0</v>
      </c>
      <c r="U414" s="172"/>
    </row>
    <row r="415" spans="1:21" hidden="1">
      <c r="A415" s="143">
        <v>176</v>
      </c>
      <c r="B415" s="167">
        <f t="shared" si="118"/>
        <v>0</v>
      </c>
      <c r="C415" s="167">
        <f t="shared" si="118"/>
        <v>0</v>
      </c>
      <c r="D415" s="167">
        <f t="shared" si="118"/>
        <v>0</v>
      </c>
      <c r="E415" s="168">
        <f t="shared" si="118"/>
        <v>0</v>
      </c>
      <c r="F415" s="167">
        <f t="shared" si="118"/>
        <v>0</v>
      </c>
      <c r="G415" s="168">
        <f t="shared" si="118"/>
        <v>0</v>
      </c>
      <c r="H415" s="169">
        <f t="shared" si="118"/>
        <v>0</v>
      </c>
      <c r="I415" s="169" t="e">
        <f t="shared" ca="1" si="109"/>
        <v>#VALUE!</v>
      </c>
      <c r="J415" s="169">
        <f t="shared" si="119"/>
        <v>0</v>
      </c>
      <c r="K415" s="170">
        <f t="shared" si="119"/>
        <v>0</v>
      </c>
      <c r="L415" s="169">
        <f t="shared" si="119"/>
        <v>0</v>
      </c>
      <c r="M415" s="169">
        <f t="shared" si="119"/>
        <v>0</v>
      </c>
      <c r="N415" s="169" t="e">
        <f t="shared" ca="1" si="110"/>
        <v>#VALUE!</v>
      </c>
      <c r="O415" s="171" t="str">
        <f t="shared" si="111"/>
        <v/>
      </c>
      <c r="P415" s="171" t="str">
        <f t="shared" ca="1" si="112"/>
        <v/>
      </c>
      <c r="Q415" s="170">
        <f t="shared" ca="1" si="113"/>
        <v>0</v>
      </c>
      <c r="R415" s="170">
        <f t="shared" ca="1" si="114"/>
        <v>0</v>
      </c>
      <c r="S415" s="171" t="b">
        <f t="shared" si="115"/>
        <v>0</v>
      </c>
      <c r="T415" s="171" t="b">
        <f t="shared" ca="1" si="116"/>
        <v>0</v>
      </c>
      <c r="U415" s="172"/>
    </row>
    <row r="416" spans="1:21" hidden="1">
      <c r="A416" s="143">
        <v>179</v>
      </c>
      <c r="B416" s="167">
        <f t="shared" si="118"/>
        <v>0</v>
      </c>
      <c r="C416" s="167">
        <f t="shared" si="118"/>
        <v>0</v>
      </c>
      <c r="D416" s="167">
        <f t="shared" si="118"/>
        <v>0</v>
      </c>
      <c r="E416" s="168">
        <f t="shared" si="118"/>
        <v>0</v>
      </c>
      <c r="F416" s="167">
        <f t="shared" si="118"/>
        <v>0</v>
      </c>
      <c r="G416" s="168">
        <f t="shared" si="118"/>
        <v>0</v>
      </c>
      <c r="H416" s="169">
        <f t="shared" si="118"/>
        <v>0</v>
      </c>
      <c r="I416" s="169" t="e">
        <f t="shared" ca="1" si="109"/>
        <v>#VALUE!</v>
      </c>
      <c r="J416" s="169">
        <f t="shared" si="119"/>
        <v>0</v>
      </c>
      <c r="K416" s="170">
        <f t="shared" si="119"/>
        <v>0</v>
      </c>
      <c r="L416" s="169">
        <f t="shared" si="119"/>
        <v>0</v>
      </c>
      <c r="M416" s="169">
        <f t="shared" si="119"/>
        <v>0</v>
      </c>
      <c r="N416" s="169" t="e">
        <f t="shared" ca="1" si="110"/>
        <v>#VALUE!</v>
      </c>
      <c r="O416" s="171" t="str">
        <f t="shared" si="111"/>
        <v/>
      </c>
      <c r="P416" s="171" t="str">
        <f t="shared" ca="1" si="112"/>
        <v/>
      </c>
      <c r="Q416" s="170">
        <f t="shared" ca="1" si="113"/>
        <v>0</v>
      </c>
      <c r="R416" s="170">
        <f t="shared" ca="1" si="114"/>
        <v>0</v>
      </c>
      <c r="S416" s="171" t="b">
        <f t="shared" si="115"/>
        <v>0</v>
      </c>
      <c r="T416" s="171" t="b">
        <f t="shared" ca="1" si="116"/>
        <v>0</v>
      </c>
      <c r="U416" s="172"/>
    </row>
    <row r="417" spans="1:21" hidden="1">
      <c r="A417" s="143">
        <v>180</v>
      </c>
      <c r="B417" s="167">
        <f t="shared" si="118"/>
        <v>0</v>
      </c>
      <c r="C417" s="167">
        <f t="shared" si="118"/>
        <v>0</v>
      </c>
      <c r="D417" s="167">
        <f t="shared" si="118"/>
        <v>0</v>
      </c>
      <c r="E417" s="168">
        <f t="shared" si="118"/>
        <v>0</v>
      </c>
      <c r="F417" s="167">
        <f t="shared" si="118"/>
        <v>0</v>
      </c>
      <c r="G417" s="168">
        <f t="shared" si="118"/>
        <v>0</v>
      </c>
      <c r="H417" s="169">
        <f t="shared" si="118"/>
        <v>0</v>
      </c>
      <c r="I417" s="169" t="e">
        <f t="shared" ca="1" si="109"/>
        <v>#VALUE!</v>
      </c>
      <c r="J417" s="169">
        <f t="shared" si="119"/>
        <v>0</v>
      </c>
      <c r="K417" s="170">
        <f t="shared" si="119"/>
        <v>0</v>
      </c>
      <c r="L417" s="169">
        <f t="shared" si="119"/>
        <v>0</v>
      </c>
      <c r="M417" s="169">
        <f t="shared" si="119"/>
        <v>0</v>
      </c>
      <c r="N417" s="169" t="e">
        <f t="shared" ca="1" si="110"/>
        <v>#VALUE!</v>
      </c>
      <c r="O417" s="171" t="str">
        <f t="shared" si="111"/>
        <v/>
      </c>
      <c r="P417" s="171" t="str">
        <f t="shared" ca="1" si="112"/>
        <v/>
      </c>
      <c r="Q417" s="170">
        <f t="shared" ca="1" si="113"/>
        <v>0</v>
      </c>
      <c r="R417" s="170">
        <f t="shared" ca="1" si="114"/>
        <v>0</v>
      </c>
      <c r="S417" s="171" t="b">
        <f t="shared" si="115"/>
        <v>0</v>
      </c>
      <c r="T417" s="171" t="b">
        <f t="shared" ca="1" si="116"/>
        <v>0</v>
      </c>
      <c r="U417" s="172"/>
    </row>
    <row r="418" spans="1:21" hidden="1">
      <c r="A418" s="143">
        <v>191</v>
      </c>
      <c r="B418" s="167">
        <f t="shared" si="118"/>
        <v>0</v>
      </c>
      <c r="C418" s="167">
        <f t="shared" si="118"/>
        <v>0</v>
      </c>
      <c r="D418" s="167">
        <f t="shared" si="118"/>
        <v>0</v>
      </c>
      <c r="E418" s="168">
        <f t="shared" si="118"/>
        <v>0</v>
      </c>
      <c r="F418" s="167">
        <f t="shared" si="118"/>
        <v>0</v>
      </c>
      <c r="G418" s="168">
        <f t="shared" si="118"/>
        <v>0</v>
      </c>
      <c r="H418" s="169">
        <f t="shared" si="118"/>
        <v>0</v>
      </c>
      <c r="I418" s="169" t="e">
        <f t="shared" ca="1" si="109"/>
        <v>#VALUE!</v>
      </c>
      <c r="J418" s="169">
        <f t="shared" si="119"/>
        <v>0</v>
      </c>
      <c r="K418" s="170">
        <f t="shared" si="119"/>
        <v>0</v>
      </c>
      <c r="L418" s="169">
        <f t="shared" si="119"/>
        <v>0</v>
      </c>
      <c r="M418" s="169">
        <f t="shared" si="119"/>
        <v>0</v>
      </c>
      <c r="N418" s="169" t="e">
        <f t="shared" ca="1" si="110"/>
        <v>#VALUE!</v>
      </c>
      <c r="O418" s="171" t="str">
        <f t="shared" si="111"/>
        <v/>
      </c>
      <c r="P418" s="171" t="str">
        <f t="shared" ca="1" si="112"/>
        <v/>
      </c>
      <c r="Q418" s="170">
        <f t="shared" ca="1" si="113"/>
        <v>0</v>
      </c>
      <c r="R418" s="170">
        <f t="shared" ca="1" si="114"/>
        <v>0</v>
      </c>
      <c r="S418" s="171" t="b">
        <f t="shared" si="115"/>
        <v>0</v>
      </c>
      <c r="T418" s="171" t="b">
        <f t="shared" ca="1" si="116"/>
        <v>0</v>
      </c>
      <c r="U418" s="172"/>
    </row>
    <row r="419" spans="1:21" hidden="1">
      <c r="A419" s="143">
        <v>200</v>
      </c>
      <c r="B419" s="167">
        <f t="shared" si="118"/>
        <v>0</v>
      </c>
      <c r="C419" s="167">
        <f t="shared" si="118"/>
        <v>0</v>
      </c>
      <c r="D419" s="167">
        <f t="shared" si="118"/>
        <v>0</v>
      </c>
      <c r="E419" s="168">
        <f t="shared" si="118"/>
        <v>0</v>
      </c>
      <c r="F419" s="167">
        <f t="shared" si="118"/>
        <v>0</v>
      </c>
      <c r="G419" s="168">
        <f t="shared" si="118"/>
        <v>0</v>
      </c>
      <c r="H419" s="169">
        <f t="shared" si="118"/>
        <v>0</v>
      </c>
      <c r="I419" s="169" t="e">
        <f t="shared" ca="1" si="109"/>
        <v>#VALUE!</v>
      </c>
      <c r="J419" s="169">
        <f t="shared" si="119"/>
        <v>0</v>
      </c>
      <c r="K419" s="170">
        <f t="shared" si="119"/>
        <v>0</v>
      </c>
      <c r="L419" s="169">
        <f t="shared" si="119"/>
        <v>0</v>
      </c>
      <c r="M419" s="169">
        <f t="shared" si="119"/>
        <v>0</v>
      </c>
      <c r="N419" s="169" t="e">
        <f t="shared" ca="1" si="110"/>
        <v>#VALUE!</v>
      </c>
      <c r="O419" s="171" t="str">
        <f t="shared" si="111"/>
        <v/>
      </c>
      <c r="P419" s="171" t="str">
        <f t="shared" ca="1" si="112"/>
        <v/>
      </c>
      <c r="Q419" s="170">
        <f t="shared" ca="1" si="113"/>
        <v>0</v>
      </c>
      <c r="R419" s="170">
        <f t="shared" ca="1" si="114"/>
        <v>0</v>
      </c>
      <c r="S419" s="171" t="b">
        <f t="shared" si="115"/>
        <v>0</v>
      </c>
      <c r="T419" s="171" t="b">
        <f t="shared" ca="1" si="116"/>
        <v>0</v>
      </c>
      <c r="U419" s="172"/>
    </row>
    <row r="420" spans="1:21" hidden="1">
      <c r="A420" s="143">
        <v>201</v>
      </c>
      <c r="B420" s="167">
        <f t="shared" si="118"/>
        <v>0</v>
      </c>
      <c r="C420" s="167">
        <f t="shared" si="118"/>
        <v>0</v>
      </c>
      <c r="D420" s="167">
        <f t="shared" si="118"/>
        <v>0</v>
      </c>
      <c r="E420" s="168">
        <f t="shared" si="118"/>
        <v>0</v>
      </c>
      <c r="F420" s="167">
        <f t="shared" si="118"/>
        <v>0</v>
      </c>
      <c r="G420" s="168">
        <f t="shared" si="118"/>
        <v>0</v>
      </c>
      <c r="H420" s="169">
        <f t="shared" si="118"/>
        <v>0</v>
      </c>
      <c r="I420" s="169" t="e">
        <f t="shared" ca="1" si="109"/>
        <v>#VALUE!</v>
      </c>
      <c r="J420" s="169">
        <f t="shared" si="119"/>
        <v>0</v>
      </c>
      <c r="K420" s="170">
        <f t="shared" si="119"/>
        <v>0</v>
      </c>
      <c r="L420" s="169">
        <f t="shared" si="119"/>
        <v>0</v>
      </c>
      <c r="M420" s="169">
        <f t="shared" si="119"/>
        <v>0</v>
      </c>
      <c r="N420" s="169" t="e">
        <f t="shared" ca="1" si="110"/>
        <v>#VALUE!</v>
      </c>
      <c r="O420" s="171" t="str">
        <f t="shared" si="111"/>
        <v/>
      </c>
      <c r="P420" s="171" t="str">
        <f t="shared" ca="1" si="112"/>
        <v/>
      </c>
      <c r="Q420" s="170">
        <f t="shared" ca="1" si="113"/>
        <v>0</v>
      </c>
      <c r="R420" s="170">
        <f t="shared" ca="1" si="114"/>
        <v>0</v>
      </c>
      <c r="S420" s="171" t="b">
        <f t="shared" si="115"/>
        <v>0</v>
      </c>
      <c r="T420" s="171" t="b">
        <f t="shared" ca="1" si="116"/>
        <v>0</v>
      </c>
      <c r="U420" s="172"/>
    </row>
    <row r="421" spans="1:21" hidden="1">
      <c r="A421" s="143">
        <v>204</v>
      </c>
      <c r="B421" s="167">
        <f t="shared" ref="B421:H430" si="120">IF($A421&lt;=$A$8,INDEX(Import.PO,$A421,B$8),0)</f>
        <v>0</v>
      </c>
      <c r="C421" s="167">
        <f t="shared" si="120"/>
        <v>0</v>
      </c>
      <c r="D421" s="167">
        <f t="shared" si="120"/>
        <v>0</v>
      </c>
      <c r="E421" s="168">
        <f t="shared" si="120"/>
        <v>0</v>
      </c>
      <c r="F421" s="167">
        <f t="shared" si="120"/>
        <v>0</v>
      </c>
      <c r="G421" s="168">
        <f t="shared" si="120"/>
        <v>0</v>
      </c>
      <c r="H421" s="169">
        <f t="shared" si="120"/>
        <v>0</v>
      </c>
      <c r="I421" s="169" t="e">
        <f t="shared" ca="1" si="109"/>
        <v>#VALUE!</v>
      </c>
      <c r="J421" s="169">
        <f t="shared" si="119"/>
        <v>0</v>
      </c>
      <c r="K421" s="170">
        <f t="shared" si="119"/>
        <v>0</v>
      </c>
      <c r="L421" s="169">
        <f t="shared" si="119"/>
        <v>0</v>
      </c>
      <c r="M421" s="169">
        <f t="shared" si="119"/>
        <v>0</v>
      </c>
      <c r="N421" s="169" t="e">
        <f t="shared" ca="1" si="110"/>
        <v>#VALUE!</v>
      </c>
      <c r="O421" s="171" t="str">
        <f t="shared" si="111"/>
        <v/>
      </c>
      <c r="P421" s="171" t="str">
        <f t="shared" ca="1" si="112"/>
        <v/>
      </c>
      <c r="Q421" s="170">
        <f t="shared" ca="1" si="113"/>
        <v>0</v>
      </c>
      <c r="R421" s="170">
        <f t="shared" ca="1" si="114"/>
        <v>0</v>
      </c>
      <c r="S421" s="171" t="b">
        <f t="shared" si="115"/>
        <v>0</v>
      </c>
      <c r="T421" s="171" t="b">
        <f t="shared" ca="1" si="116"/>
        <v>0</v>
      </c>
      <c r="U421" s="172"/>
    </row>
    <row r="422" spans="1:21" hidden="1">
      <c r="A422" s="143">
        <v>205</v>
      </c>
      <c r="B422" s="167">
        <f t="shared" si="120"/>
        <v>0</v>
      </c>
      <c r="C422" s="167">
        <f t="shared" si="120"/>
        <v>0</v>
      </c>
      <c r="D422" s="167">
        <f t="shared" si="120"/>
        <v>0</v>
      </c>
      <c r="E422" s="168">
        <f t="shared" si="120"/>
        <v>0</v>
      </c>
      <c r="F422" s="167">
        <f t="shared" si="120"/>
        <v>0</v>
      </c>
      <c r="G422" s="168">
        <f t="shared" si="120"/>
        <v>0</v>
      </c>
      <c r="H422" s="169">
        <f t="shared" si="120"/>
        <v>0</v>
      </c>
      <c r="I422" s="169" t="e">
        <f t="shared" ca="1" si="109"/>
        <v>#VALUE!</v>
      </c>
      <c r="J422" s="169">
        <f t="shared" si="119"/>
        <v>0</v>
      </c>
      <c r="K422" s="170">
        <f t="shared" si="119"/>
        <v>0</v>
      </c>
      <c r="L422" s="169">
        <f t="shared" si="119"/>
        <v>0</v>
      </c>
      <c r="M422" s="169">
        <f t="shared" si="119"/>
        <v>0</v>
      </c>
      <c r="N422" s="169" t="e">
        <f t="shared" ca="1" si="110"/>
        <v>#VALUE!</v>
      </c>
      <c r="O422" s="171" t="str">
        <f t="shared" si="111"/>
        <v/>
      </c>
      <c r="P422" s="171" t="str">
        <f t="shared" ca="1" si="112"/>
        <v/>
      </c>
      <c r="Q422" s="170">
        <f t="shared" ca="1" si="113"/>
        <v>0</v>
      </c>
      <c r="R422" s="170">
        <f t="shared" ca="1" si="114"/>
        <v>0</v>
      </c>
      <c r="S422" s="171" t="b">
        <f t="shared" si="115"/>
        <v>0</v>
      </c>
      <c r="T422" s="171" t="b">
        <f t="shared" ca="1" si="116"/>
        <v>0</v>
      </c>
      <c r="U422" s="172"/>
    </row>
    <row r="423" spans="1:21" hidden="1">
      <c r="A423" s="143">
        <v>214</v>
      </c>
      <c r="B423" s="167">
        <f t="shared" si="120"/>
        <v>0</v>
      </c>
      <c r="C423" s="167">
        <f t="shared" si="120"/>
        <v>0</v>
      </c>
      <c r="D423" s="167">
        <f t="shared" si="120"/>
        <v>0</v>
      </c>
      <c r="E423" s="168">
        <f t="shared" si="120"/>
        <v>0</v>
      </c>
      <c r="F423" s="167">
        <f t="shared" si="120"/>
        <v>0</v>
      </c>
      <c r="G423" s="168">
        <f t="shared" si="120"/>
        <v>0</v>
      </c>
      <c r="H423" s="169">
        <f t="shared" si="120"/>
        <v>0</v>
      </c>
      <c r="I423" s="169" t="e">
        <f t="shared" ca="1" si="109"/>
        <v>#VALUE!</v>
      </c>
      <c r="J423" s="169">
        <f t="shared" si="119"/>
        <v>0</v>
      </c>
      <c r="K423" s="170">
        <f t="shared" si="119"/>
        <v>0</v>
      </c>
      <c r="L423" s="169">
        <f t="shared" si="119"/>
        <v>0</v>
      </c>
      <c r="M423" s="169">
        <f t="shared" si="119"/>
        <v>0</v>
      </c>
      <c r="N423" s="169" t="e">
        <f t="shared" ca="1" si="110"/>
        <v>#VALUE!</v>
      </c>
      <c r="O423" s="171" t="str">
        <f t="shared" si="111"/>
        <v/>
      </c>
      <c r="P423" s="171" t="str">
        <f t="shared" ca="1" si="112"/>
        <v/>
      </c>
      <c r="Q423" s="170">
        <f t="shared" ca="1" si="113"/>
        <v>0</v>
      </c>
      <c r="R423" s="170">
        <f t="shared" ca="1" si="114"/>
        <v>0</v>
      </c>
      <c r="S423" s="171" t="b">
        <f t="shared" si="115"/>
        <v>0</v>
      </c>
      <c r="T423" s="171" t="b">
        <f t="shared" ca="1" si="116"/>
        <v>0</v>
      </c>
      <c r="U423" s="172"/>
    </row>
    <row r="424" spans="1:21" hidden="1">
      <c r="A424" s="143">
        <v>226</v>
      </c>
      <c r="B424" s="167">
        <f t="shared" si="120"/>
        <v>0</v>
      </c>
      <c r="C424" s="167">
        <f t="shared" si="120"/>
        <v>0</v>
      </c>
      <c r="D424" s="167">
        <f t="shared" si="120"/>
        <v>0</v>
      </c>
      <c r="E424" s="168">
        <f t="shared" si="120"/>
        <v>0</v>
      </c>
      <c r="F424" s="167">
        <f t="shared" si="120"/>
        <v>0</v>
      </c>
      <c r="G424" s="168">
        <f t="shared" si="120"/>
        <v>0</v>
      </c>
      <c r="H424" s="169">
        <f t="shared" si="120"/>
        <v>0</v>
      </c>
      <c r="I424" s="169" t="e">
        <f t="shared" ca="1" si="109"/>
        <v>#VALUE!</v>
      </c>
      <c r="J424" s="169">
        <f t="shared" si="119"/>
        <v>0</v>
      </c>
      <c r="K424" s="170">
        <f t="shared" si="119"/>
        <v>0</v>
      </c>
      <c r="L424" s="169">
        <f t="shared" si="119"/>
        <v>0</v>
      </c>
      <c r="M424" s="169">
        <f t="shared" si="119"/>
        <v>0</v>
      </c>
      <c r="N424" s="169" t="e">
        <f t="shared" ca="1" si="110"/>
        <v>#VALUE!</v>
      </c>
      <c r="O424" s="171" t="str">
        <f t="shared" si="111"/>
        <v/>
      </c>
      <c r="P424" s="171" t="str">
        <f t="shared" ca="1" si="112"/>
        <v/>
      </c>
      <c r="Q424" s="170">
        <f t="shared" ca="1" si="113"/>
        <v>0</v>
      </c>
      <c r="R424" s="170">
        <f t="shared" ca="1" si="114"/>
        <v>0</v>
      </c>
      <c r="S424" s="171" t="b">
        <f t="shared" si="115"/>
        <v>0</v>
      </c>
      <c r="T424" s="171" t="b">
        <f t="shared" ca="1" si="116"/>
        <v>0</v>
      </c>
      <c r="U424" s="172"/>
    </row>
    <row r="425" spans="1:21" hidden="1">
      <c r="A425" s="143">
        <v>236</v>
      </c>
      <c r="B425" s="167">
        <f t="shared" si="120"/>
        <v>0</v>
      </c>
      <c r="C425" s="167">
        <f t="shared" si="120"/>
        <v>0</v>
      </c>
      <c r="D425" s="167">
        <f t="shared" si="120"/>
        <v>0</v>
      </c>
      <c r="E425" s="168">
        <f t="shared" si="120"/>
        <v>0</v>
      </c>
      <c r="F425" s="167">
        <f t="shared" si="120"/>
        <v>0</v>
      </c>
      <c r="G425" s="168">
        <f t="shared" si="120"/>
        <v>0</v>
      </c>
      <c r="H425" s="169">
        <f t="shared" si="120"/>
        <v>0</v>
      </c>
      <c r="I425" s="169" t="e">
        <f t="shared" ca="1" si="109"/>
        <v>#VALUE!</v>
      </c>
      <c r="J425" s="169">
        <f t="shared" si="119"/>
        <v>0</v>
      </c>
      <c r="K425" s="170">
        <f t="shared" si="119"/>
        <v>0</v>
      </c>
      <c r="L425" s="169">
        <f t="shared" si="119"/>
        <v>0</v>
      </c>
      <c r="M425" s="169">
        <f t="shared" si="119"/>
        <v>0</v>
      </c>
      <c r="N425" s="169" t="e">
        <f t="shared" ca="1" si="110"/>
        <v>#VALUE!</v>
      </c>
      <c r="O425" s="171" t="str">
        <f t="shared" si="111"/>
        <v/>
      </c>
      <c r="P425" s="171" t="str">
        <f t="shared" ca="1" si="112"/>
        <v/>
      </c>
      <c r="Q425" s="170">
        <f t="shared" ca="1" si="113"/>
        <v>0</v>
      </c>
      <c r="R425" s="170">
        <f t="shared" ca="1" si="114"/>
        <v>0</v>
      </c>
      <c r="S425" s="171" t="b">
        <f t="shared" si="115"/>
        <v>0</v>
      </c>
      <c r="T425" s="171" t="b">
        <f t="shared" ca="1" si="116"/>
        <v>0</v>
      </c>
      <c r="U425" s="172"/>
    </row>
    <row r="426" spans="1:21" hidden="1">
      <c r="A426" s="143">
        <v>237</v>
      </c>
      <c r="B426" s="167">
        <f t="shared" si="120"/>
        <v>0</v>
      </c>
      <c r="C426" s="167">
        <f t="shared" si="120"/>
        <v>0</v>
      </c>
      <c r="D426" s="167">
        <f t="shared" si="120"/>
        <v>0</v>
      </c>
      <c r="E426" s="168">
        <f t="shared" si="120"/>
        <v>0</v>
      </c>
      <c r="F426" s="167">
        <f t="shared" si="120"/>
        <v>0</v>
      </c>
      <c r="G426" s="168">
        <f t="shared" si="120"/>
        <v>0</v>
      </c>
      <c r="H426" s="169">
        <f t="shared" si="120"/>
        <v>0</v>
      </c>
      <c r="I426" s="169" t="e">
        <f t="shared" ca="1" si="109"/>
        <v>#VALUE!</v>
      </c>
      <c r="J426" s="169">
        <f t="shared" si="119"/>
        <v>0</v>
      </c>
      <c r="K426" s="170">
        <f t="shared" si="119"/>
        <v>0</v>
      </c>
      <c r="L426" s="169">
        <f t="shared" si="119"/>
        <v>0</v>
      </c>
      <c r="M426" s="169">
        <f t="shared" si="119"/>
        <v>0</v>
      </c>
      <c r="N426" s="169" t="e">
        <f t="shared" ca="1" si="110"/>
        <v>#VALUE!</v>
      </c>
      <c r="O426" s="171" t="str">
        <f t="shared" si="111"/>
        <v/>
      </c>
      <c r="P426" s="171" t="str">
        <f t="shared" ca="1" si="112"/>
        <v/>
      </c>
      <c r="Q426" s="170">
        <f t="shared" ca="1" si="113"/>
        <v>0</v>
      </c>
      <c r="R426" s="170">
        <f t="shared" ca="1" si="114"/>
        <v>0</v>
      </c>
      <c r="S426" s="171" t="b">
        <f t="shared" si="115"/>
        <v>0</v>
      </c>
      <c r="T426" s="171" t="b">
        <f t="shared" ca="1" si="116"/>
        <v>0</v>
      </c>
      <c r="U426" s="172"/>
    </row>
    <row r="427" spans="1:21" hidden="1">
      <c r="A427" s="143">
        <v>240</v>
      </c>
      <c r="B427" s="167">
        <f t="shared" si="120"/>
        <v>0</v>
      </c>
      <c r="C427" s="167">
        <f t="shared" si="120"/>
        <v>0</v>
      </c>
      <c r="D427" s="167">
        <f t="shared" si="120"/>
        <v>0</v>
      </c>
      <c r="E427" s="168">
        <f t="shared" si="120"/>
        <v>0</v>
      </c>
      <c r="F427" s="167">
        <f t="shared" si="120"/>
        <v>0</v>
      </c>
      <c r="G427" s="168">
        <f t="shared" si="120"/>
        <v>0</v>
      </c>
      <c r="H427" s="169">
        <f t="shared" si="120"/>
        <v>0</v>
      </c>
      <c r="I427" s="169" t="e">
        <f t="shared" ca="1" si="109"/>
        <v>#VALUE!</v>
      </c>
      <c r="J427" s="169">
        <f t="shared" si="119"/>
        <v>0</v>
      </c>
      <c r="K427" s="170">
        <f t="shared" si="119"/>
        <v>0</v>
      </c>
      <c r="L427" s="169">
        <f t="shared" si="119"/>
        <v>0</v>
      </c>
      <c r="M427" s="169">
        <f t="shared" si="119"/>
        <v>0</v>
      </c>
      <c r="N427" s="169" t="e">
        <f t="shared" ca="1" si="110"/>
        <v>#VALUE!</v>
      </c>
      <c r="O427" s="171" t="str">
        <f t="shared" si="111"/>
        <v/>
      </c>
      <c r="P427" s="171" t="str">
        <f t="shared" ca="1" si="112"/>
        <v/>
      </c>
      <c r="Q427" s="170">
        <f t="shared" ca="1" si="113"/>
        <v>0</v>
      </c>
      <c r="R427" s="170">
        <f t="shared" ca="1" si="114"/>
        <v>0</v>
      </c>
      <c r="S427" s="171" t="b">
        <f t="shared" si="115"/>
        <v>0</v>
      </c>
      <c r="T427" s="171" t="b">
        <f t="shared" ca="1" si="116"/>
        <v>0</v>
      </c>
      <c r="U427" s="172"/>
    </row>
    <row r="428" spans="1:21" hidden="1">
      <c r="A428" s="143">
        <v>242</v>
      </c>
      <c r="B428" s="167">
        <f t="shared" si="120"/>
        <v>0</v>
      </c>
      <c r="C428" s="167">
        <f t="shared" si="120"/>
        <v>0</v>
      </c>
      <c r="D428" s="167">
        <f t="shared" si="120"/>
        <v>0</v>
      </c>
      <c r="E428" s="168">
        <f t="shared" si="120"/>
        <v>0</v>
      </c>
      <c r="F428" s="167">
        <f t="shared" si="120"/>
        <v>0</v>
      </c>
      <c r="G428" s="168">
        <f t="shared" si="120"/>
        <v>0</v>
      </c>
      <c r="H428" s="169">
        <f t="shared" si="120"/>
        <v>0</v>
      </c>
      <c r="I428" s="169" t="e">
        <f t="shared" ca="1" si="109"/>
        <v>#VALUE!</v>
      </c>
      <c r="J428" s="169">
        <f t="shared" si="119"/>
        <v>0</v>
      </c>
      <c r="K428" s="170">
        <f t="shared" si="119"/>
        <v>0</v>
      </c>
      <c r="L428" s="169">
        <f t="shared" si="119"/>
        <v>0</v>
      </c>
      <c r="M428" s="169">
        <f t="shared" si="119"/>
        <v>0</v>
      </c>
      <c r="N428" s="169" t="e">
        <f t="shared" ca="1" si="110"/>
        <v>#VALUE!</v>
      </c>
      <c r="O428" s="171" t="str">
        <f t="shared" si="111"/>
        <v/>
      </c>
      <c r="P428" s="171" t="str">
        <f t="shared" ca="1" si="112"/>
        <v/>
      </c>
      <c r="Q428" s="170">
        <f t="shared" ca="1" si="113"/>
        <v>0</v>
      </c>
      <c r="R428" s="170">
        <f t="shared" ca="1" si="114"/>
        <v>0</v>
      </c>
      <c r="S428" s="171" t="b">
        <f t="shared" si="115"/>
        <v>0</v>
      </c>
      <c r="T428" s="171" t="b">
        <f t="shared" ca="1" si="116"/>
        <v>0</v>
      </c>
      <c r="U428" s="172"/>
    </row>
    <row r="429" spans="1:21" hidden="1">
      <c r="A429" s="143">
        <v>243</v>
      </c>
      <c r="B429" s="167">
        <f t="shared" si="120"/>
        <v>0</v>
      </c>
      <c r="C429" s="167">
        <f t="shared" si="120"/>
        <v>0</v>
      </c>
      <c r="D429" s="167">
        <f t="shared" si="120"/>
        <v>0</v>
      </c>
      <c r="E429" s="168">
        <f t="shared" si="120"/>
        <v>0</v>
      </c>
      <c r="F429" s="167">
        <f t="shared" si="120"/>
        <v>0</v>
      </c>
      <c r="G429" s="168">
        <f t="shared" si="120"/>
        <v>0</v>
      </c>
      <c r="H429" s="169">
        <f t="shared" si="120"/>
        <v>0</v>
      </c>
      <c r="I429" s="169" t="e">
        <f t="shared" ca="1" si="109"/>
        <v>#VALUE!</v>
      </c>
      <c r="J429" s="169">
        <f t="shared" si="119"/>
        <v>0</v>
      </c>
      <c r="K429" s="170">
        <f t="shared" si="119"/>
        <v>0</v>
      </c>
      <c r="L429" s="169">
        <f t="shared" si="119"/>
        <v>0</v>
      </c>
      <c r="M429" s="169">
        <f t="shared" si="119"/>
        <v>0</v>
      </c>
      <c r="N429" s="169" t="e">
        <f t="shared" ca="1" si="110"/>
        <v>#VALUE!</v>
      </c>
      <c r="O429" s="171" t="str">
        <f t="shared" si="111"/>
        <v/>
      </c>
      <c r="P429" s="171" t="str">
        <f t="shared" ca="1" si="112"/>
        <v/>
      </c>
      <c r="Q429" s="170">
        <f t="shared" ca="1" si="113"/>
        <v>0</v>
      </c>
      <c r="R429" s="170">
        <f t="shared" ca="1" si="114"/>
        <v>0</v>
      </c>
      <c r="S429" s="171" t="b">
        <f t="shared" si="115"/>
        <v>0</v>
      </c>
      <c r="T429" s="171" t="b">
        <f t="shared" ca="1" si="116"/>
        <v>0</v>
      </c>
      <c r="U429" s="172"/>
    </row>
    <row r="430" spans="1:21" hidden="1">
      <c r="A430" s="143">
        <v>254</v>
      </c>
      <c r="B430" s="167">
        <f t="shared" si="120"/>
        <v>0</v>
      </c>
      <c r="C430" s="167">
        <f t="shared" si="120"/>
        <v>0</v>
      </c>
      <c r="D430" s="167">
        <f t="shared" si="120"/>
        <v>0</v>
      </c>
      <c r="E430" s="168">
        <f t="shared" si="120"/>
        <v>0</v>
      </c>
      <c r="F430" s="167">
        <f t="shared" si="120"/>
        <v>0</v>
      </c>
      <c r="G430" s="168">
        <f t="shared" si="120"/>
        <v>0</v>
      </c>
      <c r="H430" s="169">
        <f t="shared" si="120"/>
        <v>0</v>
      </c>
      <c r="I430" s="169" t="e">
        <f t="shared" ca="1" si="109"/>
        <v>#VALUE!</v>
      </c>
      <c r="J430" s="169">
        <f t="shared" si="119"/>
        <v>0</v>
      </c>
      <c r="K430" s="170">
        <f t="shared" si="119"/>
        <v>0</v>
      </c>
      <c r="L430" s="169">
        <f t="shared" si="119"/>
        <v>0</v>
      </c>
      <c r="M430" s="169">
        <f t="shared" si="119"/>
        <v>0</v>
      </c>
      <c r="N430" s="169" t="e">
        <f t="shared" ca="1" si="110"/>
        <v>#VALUE!</v>
      </c>
      <c r="O430" s="171" t="str">
        <f t="shared" si="111"/>
        <v/>
      </c>
      <c r="P430" s="171" t="str">
        <f t="shared" ca="1" si="112"/>
        <v/>
      </c>
      <c r="Q430" s="170">
        <f t="shared" ca="1" si="113"/>
        <v>0</v>
      </c>
      <c r="R430" s="170">
        <f t="shared" ca="1" si="114"/>
        <v>0</v>
      </c>
      <c r="S430" s="171" t="b">
        <f t="shared" si="115"/>
        <v>0</v>
      </c>
      <c r="T430" s="171" t="b">
        <f t="shared" ca="1" si="116"/>
        <v>0</v>
      </c>
      <c r="U430" s="172"/>
    </row>
    <row r="431" spans="1:21" hidden="1">
      <c r="A431" s="143">
        <v>263</v>
      </c>
      <c r="B431" s="167">
        <f t="shared" ref="B431:H440" si="121">IF($A431&lt;=$A$8,INDEX(Import.PO,$A431,B$8),0)</f>
        <v>0</v>
      </c>
      <c r="C431" s="167">
        <f t="shared" si="121"/>
        <v>0</v>
      </c>
      <c r="D431" s="167">
        <f t="shared" si="121"/>
        <v>0</v>
      </c>
      <c r="E431" s="168">
        <f t="shared" si="121"/>
        <v>0</v>
      </c>
      <c r="F431" s="167">
        <f t="shared" si="121"/>
        <v>0</v>
      </c>
      <c r="G431" s="168">
        <f t="shared" si="121"/>
        <v>0</v>
      </c>
      <c r="H431" s="169">
        <f t="shared" si="121"/>
        <v>0</v>
      </c>
      <c r="I431" s="169" t="e">
        <f t="shared" ca="1" si="109"/>
        <v>#VALUE!</v>
      </c>
      <c r="J431" s="169">
        <f t="shared" ref="J431:M450" si="122">IF($A431&lt;=$A$8,INDEX(Import.PO,$A431,J$8),0)</f>
        <v>0</v>
      </c>
      <c r="K431" s="170">
        <f t="shared" si="122"/>
        <v>0</v>
      </c>
      <c r="L431" s="169">
        <f t="shared" si="122"/>
        <v>0</v>
      </c>
      <c r="M431" s="169">
        <f t="shared" si="122"/>
        <v>0</v>
      </c>
      <c r="N431" s="169" t="e">
        <f t="shared" ca="1" si="110"/>
        <v>#VALUE!</v>
      </c>
      <c r="O431" s="171" t="str">
        <f t="shared" si="111"/>
        <v/>
      </c>
      <c r="P431" s="171" t="str">
        <f t="shared" ca="1" si="112"/>
        <v/>
      </c>
      <c r="Q431" s="170">
        <f t="shared" ca="1" si="113"/>
        <v>0</v>
      </c>
      <c r="R431" s="170">
        <f t="shared" ca="1" si="114"/>
        <v>0</v>
      </c>
      <c r="S431" s="171" t="b">
        <f t="shared" si="115"/>
        <v>0</v>
      </c>
      <c r="T431" s="171" t="b">
        <f t="shared" ca="1" si="116"/>
        <v>0</v>
      </c>
      <c r="U431" s="172"/>
    </row>
    <row r="432" spans="1:21" hidden="1">
      <c r="A432" s="143">
        <v>264</v>
      </c>
      <c r="B432" s="167">
        <f t="shared" si="121"/>
        <v>0</v>
      </c>
      <c r="C432" s="167">
        <f t="shared" si="121"/>
        <v>0</v>
      </c>
      <c r="D432" s="167">
        <f t="shared" si="121"/>
        <v>0</v>
      </c>
      <c r="E432" s="168">
        <f t="shared" si="121"/>
        <v>0</v>
      </c>
      <c r="F432" s="167">
        <f t="shared" si="121"/>
        <v>0</v>
      </c>
      <c r="G432" s="168">
        <f t="shared" si="121"/>
        <v>0</v>
      </c>
      <c r="H432" s="169">
        <f t="shared" si="121"/>
        <v>0</v>
      </c>
      <c r="I432" s="169" t="e">
        <f t="shared" ca="1" si="109"/>
        <v>#VALUE!</v>
      </c>
      <c r="J432" s="169">
        <f t="shared" si="122"/>
        <v>0</v>
      </c>
      <c r="K432" s="170">
        <f t="shared" si="122"/>
        <v>0</v>
      </c>
      <c r="L432" s="169">
        <f t="shared" si="122"/>
        <v>0</v>
      </c>
      <c r="M432" s="169">
        <f t="shared" si="122"/>
        <v>0</v>
      </c>
      <c r="N432" s="169" t="e">
        <f t="shared" ca="1" si="110"/>
        <v>#VALUE!</v>
      </c>
      <c r="O432" s="171" t="str">
        <f t="shared" si="111"/>
        <v/>
      </c>
      <c r="P432" s="171" t="str">
        <f t="shared" ca="1" si="112"/>
        <v/>
      </c>
      <c r="Q432" s="170">
        <f t="shared" ca="1" si="113"/>
        <v>0</v>
      </c>
      <c r="R432" s="170">
        <f t="shared" ca="1" si="114"/>
        <v>0</v>
      </c>
      <c r="S432" s="171" t="b">
        <f t="shared" si="115"/>
        <v>0</v>
      </c>
      <c r="T432" s="171" t="b">
        <f t="shared" ca="1" si="116"/>
        <v>0</v>
      </c>
      <c r="U432" s="172"/>
    </row>
    <row r="433" spans="1:21" hidden="1">
      <c r="A433" s="143">
        <v>267</v>
      </c>
      <c r="B433" s="167">
        <f t="shared" si="121"/>
        <v>0</v>
      </c>
      <c r="C433" s="167">
        <f t="shared" si="121"/>
        <v>0</v>
      </c>
      <c r="D433" s="167">
        <f t="shared" si="121"/>
        <v>0</v>
      </c>
      <c r="E433" s="168">
        <f t="shared" si="121"/>
        <v>0</v>
      </c>
      <c r="F433" s="167">
        <f t="shared" si="121"/>
        <v>0</v>
      </c>
      <c r="G433" s="168">
        <f t="shared" si="121"/>
        <v>0</v>
      </c>
      <c r="H433" s="169">
        <f t="shared" si="121"/>
        <v>0</v>
      </c>
      <c r="I433" s="169" t="e">
        <f t="shared" ca="1" si="109"/>
        <v>#VALUE!</v>
      </c>
      <c r="J433" s="169">
        <f t="shared" si="122"/>
        <v>0</v>
      </c>
      <c r="K433" s="170">
        <f t="shared" si="122"/>
        <v>0</v>
      </c>
      <c r="L433" s="169">
        <f t="shared" si="122"/>
        <v>0</v>
      </c>
      <c r="M433" s="169">
        <f t="shared" si="122"/>
        <v>0</v>
      </c>
      <c r="N433" s="169" t="e">
        <f t="shared" ca="1" si="110"/>
        <v>#VALUE!</v>
      </c>
      <c r="O433" s="171" t="str">
        <f t="shared" si="111"/>
        <v/>
      </c>
      <c r="P433" s="171" t="str">
        <f t="shared" ca="1" si="112"/>
        <v/>
      </c>
      <c r="Q433" s="170">
        <f t="shared" ca="1" si="113"/>
        <v>0</v>
      </c>
      <c r="R433" s="170">
        <f t="shared" ca="1" si="114"/>
        <v>0</v>
      </c>
      <c r="S433" s="171" t="b">
        <f t="shared" si="115"/>
        <v>0</v>
      </c>
      <c r="T433" s="171" t="b">
        <f t="shared" ca="1" si="116"/>
        <v>0</v>
      </c>
      <c r="U433" s="172"/>
    </row>
    <row r="434" spans="1:21" hidden="1">
      <c r="A434" s="143">
        <v>268</v>
      </c>
      <c r="B434" s="167">
        <f t="shared" si="121"/>
        <v>0</v>
      </c>
      <c r="C434" s="167">
        <f t="shared" si="121"/>
        <v>0</v>
      </c>
      <c r="D434" s="167">
        <f t="shared" si="121"/>
        <v>0</v>
      </c>
      <c r="E434" s="168">
        <f t="shared" si="121"/>
        <v>0</v>
      </c>
      <c r="F434" s="167">
        <f t="shared" si="121"/>
        <v>0</v>
      </c>
      <c r="G434" s="168">
        <f t="shared" si="121"/>
        <v>0</v>
      </c>
      <c r="H434" s="169">
        <f t="shared" si="121"/>
        <v>0</v>
      </c>
      <c r="I434" s="169" t="e">
        <f t="shared" ca="1" si="109"/>
        <v>#VALUE!</v>
      </c>
      <c r="J434" s="169">
        <f t="shared" si="122"/>
        <v>0</v>
      </c>
      <c r="K434" s="170">
        <f t="shared" si="122"/>
        <v>0</v>
      </c>
      <c r="L434" s="169">
        <f t="shared" si="122"/>
        <v>0</v>
      </c>
      <c r="M434" s="169">
        <f t="shared" si="122"/>
        <v>0</v>
      </c>
      <c r="N434" s="169" t="e">
        <f t="shared" ca="1" si="110"/>
        <v>#VALUE!</v>
      </c>
      <c r="O434" s="171" t="str">
        <f t="shared" si="111"/>
        <v/>
      </c>
      <c r="P434" s="171" t="str">
        <f t="shared" ca="1" si="112"/>
        <v/>
      </c>
      <c r="Q434" s="170">
        <f t="shared" ca="1" si="113"/>
        <v>0</v>
      </c>
      <c r="R434" s="170">
        <f t="shared" ca="1" si="114"/>
        <v>0</v>
      </c>
      <c r="S434" s="171" t="b">
        <f t="shared" si="115"/>
        <v>0</v>
      </c>
      <c r="T434" s="171" t="b">
        <f t="shared" ca="1" si="116"/>
        <v>0</v>
      </c>
      <c r="U434" s="172"/>
    </row>
    <row r="435" spans="1:21" hidden="1">
      <c r="A435" s="143">
        <v>277</v>
      </c>
      <c r="B435" s="167">
        <f t="shared" si="121"/>
        <v>0</v>
      </c>
      <c r="C435" s="167">
        <f t="shared" si="121"/>
        <v>0</v>
      </c>
      <c r="D435" s="167">
        <f t="shared" si="121"/>
        <v>0</v>
      </c>
      <c r="E435" s="168">
        <f t="shared" si="121"/>
        <v>0</v>
      </c>
      <c r="F435" s="167">
        <f t="shared" si="121"/>
        <v>0</v>
      </c>
      <c r="G435" s="168">
        <f t="shared" si="121"/>
        <v>0</v>
      </c>
      <c r="H435" s="169">
        <f t="shared" si="121"/>
        <v>0</v>
      </c>
      <c r="I435" s="169" t="e">
        <f t="shared" ca="1" si="109"/>
        <v>#VALUE!</v>
      </c>
      <c r="J435" s="169">
        <f t="shared" si="122"/>
        <v>0</v>
      </c>
      <c r="K435" s="170">
        <f t="shared" si="122"/>
        <v>0</v>
      </c>
      <c r="L435" s="169">
        <f t="shared" si="122"/>
        <v>0</v>
      </c>
      <c r="M435" s="169">
        <f t="shared" si="122"/>
        <v>0</v>
      </c>
      <c r="N435" s="169" t="e">
        <f t="shared" ca="1" si="110"/>
        <v>#VALUE!</v>
      </c>
      <c r="O435" s="171" t="str">
        <f t="shared" si="111"/>
        <v/>
      </c>
      <c r="P435" s="171" t="str">
        <f t="shared" ca="1" si="112"/>
        <v/>
      </c>
      <c r="Q435" s="170">
        <f t="shared" ca="1" si="113"/>
        <v>0</v>
      </c>
      <c r="R435" s="170">
        <f t="shared" ca="1" si="114"/>
        <v>0</v>
      </c>
      <c r="S435" s="171" t="b">
        <f t="shared" si="115"/>
        <v>0</v>
      </c>
      <c r="T435" s="171" t="b">
        <f t="shared" ca="1" si="116"/>
        <v>0</v>
      </c>
      <c r="U435" s="172"/>
    </row>
    <row r="436" spans="1:21" hidden="1">
      <c r="A436" s="143">
        <v>278</v>
      </c>
      <c r="B436" s="167">
        <f t="shared" si="121"/>
        <v>0</v>
      </c>
      <c r="C436" s="167">
        <f t="shared" si="121"/>
        <v>0</v>
      </c>
      <c r="D436" s="167">
        <f t="shared" si="121"/>
        <v>0</v>
      </c>
      <c r="E436" s="168">
        <f t="shared" si="121"/>
        <v>0</v>
      </c>
      <c r="F436" s="167">
        <f t="shared" si="121"/>
        <v>0</v>
      </c>
      <c r="G436" s="168">
        <f t="shared" si="121"/>
        <v>0</v>
      </c>
      <c r="H436" s="169">
        <f t="shared" si="121"/>
        <v>0</v>
      </c>
      <c r="I436" s="169" t="e">
        <f t="shared" ca="1" si="109"/>
        <v>#VALUE!</v>
      </c>
      <c r="J436" s="169">
        <f t="shared" si="122"/>
        <v>0</v>
      </c>
      <c r="K436" s="170">
        <f t="shared" si="122"/>
        <v>0</v>
      </c>
      <c r="L436" s="169">
        <f t="shared" si="122"/>
        <v>0</v>
      </c>
      <c r="M436" s="169">
        <f t="shared" si="122"/>
        <v>0</v>
      </c>
      <c r="N436" s="169" t="e">
        <f t="shared" ca="1" si="110"/>
        <v>#VALUE!</v>
      </c>
      <c r="O436" s="171" t="str">
        <f t="shared" si="111"/>
        <v/>
      </c>
      <c r="P436" s="171" t="str">
        <f t="shared" ca="1" si="112"/>
        <v/>
      </c>
      <c r="Q436" s="170">
        <f t="shared" ca="1" si="113"/>
        <v>0</v>
      </c>
      <c r="R436" s="170">
        <f t="shared" ca="1" si="114"/>
        <v>0</v>
      </c>
      <c r="S436" s="171" t="b">
        <f t="shared" si="115"/>
        <v>0</v>
      </c>
      <c r="T436" s="171" t="b">
        <f t="shared" ca="1" si="116"/>
        <v>0</v>
      </c>
      <c r="U436" s="172"/>
    </row>
    <row r="437" spans="1:21" hidden="1">
      <c r="A437" s="143">
        <v>281</v>
      </c>
      <c r="B437" s="167">
        <f t="shared" si="121"/>
        <v>0</v>
      </c>
      <c r="C437" s="167">
        <f t="shared" si="121"/>
        <v>0</v>
      </c>
      <c r="D437" s="167">
        <f t="shared" si="121"/>
        <v>0</v>
      </c>
      <c r="E437" s="168">
        <f t="shared" si="121"/>
        <v>0</v>
      </c>
      <c r="F437" s="167">
        <f t="shared" si="121"/>
        <v>0</v>
      </c>
      <c r="G437" s="168">
        <f t="shared" si="121"/>
        <v>0</v>
      </c>
      <c r="H437" s="169">
        <f t="shared" si="121"/>
        <v>0</v>
      </c>
      <c r="I437" s="169" t="e">
        <f t="shared" ca="1" si="109"/>
        <v>#VALUE!</v>
      </c>
      <c r="J437" s="169">
        <f t="shared" si="122"/>
        <v>0</v>
      </c>
      <c r="K437" s="170">
        <f t="shared" si="122"/>
        <v>0</v>
      </c>
      <c r="L437" s="169">
        <f t="shared" si="122"/>
        <v>0</v>
      </c>
      <c r="M437" s="169">
        <f t="shared" si="122"/>
        <v>0</v>
      </c>
      <c r="N437" s="169" t="e">
        <f t="shared" ca="1" si="110"/>
        <v>#VALUE!</v>
      </c>
      <c r="O437" s="171" t="str">
        <f t="shared" si="111"/>
        <v/>
      </c>
      <c r="P437" s="171" t="str">
        <f t="shared" ca="1" si="112"/>
        <v/>
      </c>
      <c r="Q437" s="170">
        <f t="shared" ca="1" si="113"/>
        <v>0</v>
      </c>
      <c r="R437" s="170">
        <f t="shared" ca="1" si="114"/>
        <v>0</v>
      </c>
      <c r="S437" s="171" t="b">
        <f t="shared" si="115"/>
        <v>0</v>
      </c>
      <c r="T437" s="171" t="b">
        <f t="shared" ca="1" si="116"/>
        <v>0</v>
      </c>
      <c r="U437" s="172"/>
    </row>
    <row r="438" spans="1:21" hidden="1">
      <c r="A438" s="143">
        <v>291</v>
      </c>
      <c r="B438" s="167">
        <f t="shared" si="121"/>
        <v>0</v>
      </c>
      <c r="C438" s="167">
        <f t="shared" si="121"/>
        <v>0</v>
      </c>
      <c r="D438" s="167">
        <f t="shared" si="121"/>
        <v>0</v>
      </c>
      <c r="E438" s="168">
        <f t="shared" si="121"/>
        <v>0</v>
      </c>
      <c r="F438" s="167">
        <f t="shared" si="121"/>
        <v>0</v>
      </c>
      <c r="G438" s="168">
        <f t="shared" si="121"/>
        <v>0</v>
      </c>
      <c r="H438" s="169">
        <f t="shared" si="121"/>
        <v>0</v>
      </c>
      <c r="I438" s="169" t="e">
        <f t="shared" ca="1" si="109"/>
        <v>#VALUE!</v>
      </c>
      <c r="J438" s="169">
        <f t="shared" si="122"/>
        <v>0</v>
      </c>
      <c r="K438" s="170">
        <f t="shared" si="122"/>
        <v>0</v>
      </c>
      <c r="L438" s="169">
        <f t="shared" si="122"/>
        <v>0</v>
      </c>
      <c r="M438" s="169">
        <f t="shared" si="122"/>
        <v>0</v>
      </c>
      <c r="N438" s="169" t="e">
        <f t="shared" ca="1" si="110"/>
        <v>#VALUE!</v>
      </c>
      <c r="O438" s="171" t="str">
        <f t="shared" si="111"/>
        <v/>
      </c>
      <c r="P438" s="171" t="str">
        <f t="shared" ca="1" si="112"/>
        <v/>
      </c>
      <c r="Q438" s="170">
        <f t="shared" ca="1" si="113"/>
        <v>0</v>
      </c>
      <c r="R438" s="170">
        <f t="shared" ca="1" si="114"/>
        <v>0</v>
      </c>
      <c r="S438" s="171" t="b">
        <f t="shared" si="115"/>
        <v>0</v>
      </c>
      <c r="T438" s="171" t="b">
        <f t="shared" ca="1" si="116"/>
        <v>0</v>
      </c>
      <c r="U438" s="172"/>
    </row>
    <row r="439" spans="1:21" hidden="1">
      <c r="A439" s="143">
        <v>303</v>
      </c>
      <c r="B439" s="167">
        <f t="shared" si="121"/>
        <v>0</v>
      </c>
      <c r="C439" s="167">
        <f t="shared" si="121"/>
        <v>0</v>
      </c>
      <c r="D439" s="167">
        <f t="shared" si="121"/>
        <v>0</v>
      </c>
      <c r="E439" s="168">
        <f t="shared" si="121"/>
        <v>0</v>
      </c>
      <c r="F439" s="167">
        <f t="shared" si="121"/>
        <v>0</v>
      </c>
      <c r="G439" s="168">
        <f t="shared" si="121"/>
        <v>0</v>
      </c>
      <c r="H439" s="169">
        <f t="shared" si="121"/>
        <v>0</v>
      </c>
      <c r="I439" s="169" t="e">
        <f t="shared" ca="1" si="109"/>
        <v>#VALUE!</v>
      </c>
      <c r="J439" s="169">
        <f t="shared" si="122"/>
        <v>0</v>
      </c>
      <c r="K439" s="170">
        <f t="shared" si="122"/>
        <v>0</v>
      </c>
      <c r="L439" s="169">
        <f t="shared" si="122"/>
        <v>0</v>
      </c>
      <c r="M439" s="169">
        <f t="shared" si="122"/>
        <v>0</v>
      </c>
      <c r="N439" s="169" t="e">
        <f t="shared" ca="1" si="110"/>
        <v>#VALUE!</v>
      </c>
      <c r="O439" s="171" t="str">
        <f t="shared" si="111"/>
        <v/>
      </c>
      <c r="P439" s="171" t="str">
        <f t="shared" ca="1" si="112"/>
        <v/>
      </c>
      <c r="Q439" s="170">
        <f t="shared" ca="1" si="113"/>
        <v>0</v>
      </c>
      <c r="R439" s="170">
        <f t="shared" ca="1" si="114"/>
        <v>0</v>
      </c>
      <c r="S439" s="171" t="b">
        <f t="shared" si="115"/>
        <v>0</v>
      </c>
      <c r="T439" s="171" t="b">
        <f t="shared" ca="1" si="116"/>
        <v>0</v>
      </c>
      <c r="U439" s="172"/>
    </row>
    <row r="440" spans="1:21" hidden="1">
      <c r="A440" s="143">
        <v>304</v>
      </c>
      <c r="B440" s="167">
        <f t="shared" si="121"/>
        <v>0</v>
      </c>
      <c r="C440" s="167">
        <f t="shared" si="121"/>
        <v>0</v>
      </c>
      <c r="D440" s="167">
        <f t="shared" si="121"/>
        <v>0</v>
      </c>
      <c r="E440" s="168">
        <f t="shared" si="121"/>
        <v>0</v>
      </c>
      <c r="F440" s="167">
        <f t="shared" si="121"/>
        <v>0</v>
      </c>
      <c r="G440" s="168">
        <f t="shared" si="121"/>
        <v>0</v>
      </c>
      <c r="H440" s="169">
        <f t="shared" si="121"/>
        <v>0</v>
      </c>
      <c r="I440" s="169" t="e">
        <f t="shared" ca="1" si="109"/>
        <v>#VALUE!</v>
      </c>
      <c r="J440" s="169">
        <f t="shared" si="122"/>
        <v>0</v>
      </c>
      <c r="K440" s="170">
        <f t="shared" si="122"/>
        <v>0</v>
      </c>
      <c r="L440" s="169">
        <f t="shared" si="122"/>
        <v>0</v>
      </c>
      <c r="M440" s="169">
        <f t="shared" si="122"/>
        <v>0</v>
      </c>
      <c r="N440" s="169" t="e">
        <f t="shared" ca="1" si="110"/>
        <v>#VALUE!</v>
      </c>
      <c r="O440" s="171" t="str">
        <f t="shared" si="111"/>
        <v/>
      </c>
      <c r="P440" s="171" t="str">
        <f t="shared" ca="1" si="112"/>
        <v/>
      </c>
      <c r="Q440" s="170">
        <f t="shared" ca="1" si="113"/>
        <v>0</v>
      </c>
      <c r="R440" s="170">
        <f t="shared" ca="1" si="114"/>
        <v>0</v>
      </c>
      <c r="S440" s="171" t="b">
        <f t="shared" si="115"/>
        <v>0</v>
      </c>
      <c r="T440" s="171" t="b">
        <f t="shared" ca="1" si="116"/>
        <v>0</v>
      </c>
      <c r="U440" s="172"/>
    </row>
    <row r="441" spans="1:21" hidden="1">
      <c r="A441" s="143">
        <v>313</v>
      </c>
      <c r="B441" s="167">
        <f t="shared" ref="B441:H450" si="123">IF($A441&lt;=$A$8,INDEX(Import.PO,$A441,B$8),0)</f>
        <v>0</v>
      </c>
      <c r="C441" s="167">
        <f t="shared" si="123"/>
        <v>0</v>
      </c>
      <c r="D441" s="167">
        <f t="shared" si="123"/>
        <v>0</v>
      </c>
      <c r="E441" s="168">
        <f t="shared" si="123"/>
        <v>0</v>
      </c>
      <c r="F441" s="167">
        <f t="shared" si="123"/>
        <v>0</v>
      </c>
      <c r="G441" s="168">
        <f t="shared" si="123"/>
        <v>0</v>
      </c>
      <c r="H441" s="169">
        <f t="shared" si="123"/>
        <v>0</v>
      </c>
      <c r="I441" s="169" t="e">
        <f t="shared" ca="1" si="109"/>
        <v>#VALUE!</v>
      </c>
      <c r="J441" s="169">
        <f t="shared" si="122"/>
        <v>0</v>
      </c>
      <c r="K441" s="170">
        <f t="shared" si="122"/>
        <v>0</v>
      </c>
      <c r="L441" s="169">
        <f t="shared" si="122"/>
        <v>0</v>
      </c>
      <c r="M441" s="169">
        <f t="shared" si="122"/>
        <v>0</v>
      </c>
      <c r="N441" s="169" t="e">
        <f t="shared" ca="1" si="110"/>
        <v>#VALUE!</v>
      </c>
      <c r="O441" s="171" t="str">
        <f t="shared" si="111"/>
        <v/>
      </c>
      <c r="P441" s="171" t="str">
        <f t="shared" ca="1" si="112"/>
        <v/>
      </c>
      <c r="Q441" s="170">
        <f t="shared" ca="1" si="113"/>
        <v>0</v>
      </c>
      <c r="R441" s="170">
        <f t="shared" ca="1" si="114"/>
        <v>0</v>
      </c>
      <c r="S441" s="171" t="b">
        <f t="shared" si="115"/>
        <v>0</v>
      </c>
      <c r="T441" s="171" t="b">
        <f t="shared" ca="1" si="116"/>
        <v>0</v>
      </c>
      <c r="U441" s="172"/>
    </row>
    <row r="442" spans="1:21" hidden="1">
      <c r="A442" s="143">
        <v>314</v>
      </c>
      <c r="B442" s="167">
        <f t="shared" si="123"/>
        <v>0</v>
      </c>
      <c r="C442" s="167">
        <f t="shared" si="123"/>
        <v>0</v>
      </c>
      <c r="D442" s="167">
        <f t="shared" si="123"/>
        <v>0</v>
      </c>
      <c r="E442" s="168">
        <f t="shared" si="123"/>
        <v>0</v>
      </c>
      <c r="F442" s="167">
        <f t="shared" si="123"/>
        <v>0</v>
      </c>
      <c r="G442" s="168">
        <f t="shared" si="123"/>
        <v>0</v>
      </c>
      <c r="H442" s="169">
        <f t="shared" si="123"/>
        <v>0</v>
      </c>
      <c r="I442" s="169" t="e">
        <f t="shared" ca="1" si="109"/>
        <v>#VALUE!</v>
      </c>
      <c r="J442" s="169">
        <f t="shared" si="122"/>
        <v>0</v>
      </c>
      <c r="K442" s="170">
        <f t="shared" si="122"/>
        <v>0</v>
      </c>
      <c r="L442" s="169">
        <f t="shared" si="122"/>
        <v>0</v>
      </c>
      <c r="M442" s="169">
        <f t="shared" si="122"/>
        <v>0</v>
      </c>
      <c r="N442" s="169" t="e">
        <f t="shared" ca="1" si="110"/>
        <v>#VALUE!</v>
      </c>
      <c r="O442" s="171" t="str">
        <f t="shared" si="111"/>
        <v/>
      </c>
      <c r="P442" s="171" t="str">
        <f t="shared" ca="1" si="112"/>
        <v/>
      </c>
      <c r="Q442" s="170">
        <f t="shared" ca="1" si="113"/>
        <v>0</v>
      </c>
      <c r="R442" s="170">
        <f t="shared" ca="1" si="114"/>
        <v>0</v>
      </c>
      <c r="S442" s="171" t="b">
        <f t="shared" si="115"/>
        <v>0</v>
      </c>
      <c r="T442" s="171" t="b">
        <f t="shared" ca="1" si="116"/>
        <v>0</v>
      </c>
      <c r="U442" s="172"/>
    </row>
    <row r="443" spans="1:21" hidden="1">
      <c r="A443" s="143">
        <v>317</v>
      </c>
      <c r="B443" s="167">
        <f t="shared" si="123"/>
        <v>0</v>
      </c>
      <c r="C443" s="167">
        <f t="shared" si="123"/>
        <v>0</v>
      </c>
      <c r="D443" s="167">
        <f t="shared" si="123"/>
        <v>0</v>
      </c>
      <c r="E443" s="168">
        <f t="shared" si="123"/>
        <v>0</v>
      </c>
      <c r="F443" s="167">
        <f t="shared" si="123"/>
        <v>0</v>
      </c>
      <c r="G443" s="168">
        <f t="shared" si="123"/>
        <v>0</v>
      </c>
      <c r="H443" s="169">
        <f t="shared" si="123"/>
        <v>0</v>
      </c>
      <c r="I443" s="169" t="e">
        <f t="shared" ca="1" si="109"/>
        <v>#VALUE!</v>
      </c>
      <c r="J443" s="169">
        <f t="shared" si="122"/>
        <v>0</v>
      </c>
      <c r="K443" s="170">
        <f t="shared" si="122"/>
        <v>0</v>
      </c>
      <c r="L443" s="169">
        <f t="shared" si="122"/>
        <v>0</v>
      </c>
      <c r="M443" s="169">
        <f t="shared" si="122"/>
        <v>0</v>
      </c>
      <c r="N443" s="169" t="e">
        <f t="shared" ca="1" si="110"/>
        <v>#VALUE!</v>
      </c>
      <c r="O443" s="171" t="str">
        <f t="shared" si="111"/>
        <v/>
      </c>
      <c r="P443" s="171" t="str">
        <f t="shared" ca="1" si="112"/>
        <v/>
      </c>
      <c r="Q443" s="170">
        <f t="shared" ca="1" si="113"/>
        <v>0</v>
      </c>
      <c r="R443" s="170">
        <f t="shared" ca="1" si="114"/>
        <v>0</v>
      </c>
      <c r="S443" s="171" t="b">
        <f t="shared" si="115"/>
        <v>0</v>
      </c>
      <c r="T443" s="171" t="b">
        <f t="shared" ca="1" si="116"/>
        <v>0</v>
      </c>
      <c r="U443" s="172"/>
    </row>
    <row r="444" spans="1:21" hidden="1">
      <c r="A444" s="143">
        <v>318</v>
      </c>
      <c r="B444" s="167">
        <f t="shared" si="123"/>
        <v>0</v>
      </c>
      <c r="C444" s="167">
        <f t="shared" si="123"/>
        <v>0</v>
      </c>
      <c r="D444" s="167">
        <f t="shared" si="123"/>
        <v>0</v>
      </c>
      <c r="E444" s="168">
        <f t="shared" si="123"/>
        <v>0</v>
      </c>
      <c r="F444" s="167">
        <f t="shared" si="123"/>
        <v>0</v>
      </c>
      <c r="G444" s="168">
        <f t="shared" si="123"/>
        <v>0</v>
      </c>
      <c r="H444" s="169">
        <f t="shared" si="123"/>
        <v>0</v>
      </c>
      <c r="I444" s="169" t="e">
        <f t="shared" ca="1" si="109"/>
        <v>#VALUE!</v>
      </c>
      <c r="J444" s="169">
        <f t="shared" si="122"/>
        <v>0</v>
      </c>
      <c r="K444" s="170">
        <f t="shared" si="122"/>
        <v>0</v>
      </c>
      <c r="L444" s="169">
        <f t="shared" si="122"/>
        <v>0</v>
      </c>
      <c r="M444" s="169">
        <f t="shared" si="122"/>
        <v>0</v>
      </c>
      <c r="N444" s="169" t="e">
        <f t="shared" ca="1" si="110"/>
        <v>#VALUE!</v>
      </c>
      <c r="O444" s="171" t="str">
        <f t="shared" si="111"/>
        <v/>
      </c>
      <c r="P444" s="171" t="str">
        <f t="shared" ca="1" si="112"/>
        <v/>
      </c>
      <c r="Q444" s="170">
        <f t="shared" ca="1" si="113"/>
        <v>0</v>
      </c>
      <c r="R444" s="170">
        <f t="shared" ca="1" si="114"/>
        <v>0</v>
      </c>
      <c r="S444" s="171" t="b">
        <f t="shared" si="115"/>
        <v>0</v>
      </c>
      <c r="T444" s="171" t="b">
        <f t="shared" ca="1" si="116"/>
        <v>0</v>
      </c>
      <c r="U444" s="172"/>
    </row>
    <row r="445" spans="1:21" hidden="1">
      <c r="A445" s="143">
        <v>327</v>
      </c>
      <c r="B445" s="167">
        <f t="shared" si="123"/>
        <v>0</v>
      </c>
      <c r="C445" s="167">
        <f t="shared" si="123"/>
        <v>0</v>
      </c>
      <c r="D445" s="167">
        <f t="shared" si="123"/>
        <v>0</v>
      </c>
      <c r="E445" s="168">
        <f t="shared" si="123"/>
        <v>0</v>
      </c>
      <c r="F445" s="167">
        <f t="shared" si="123"/>
        <v>0</v>
      </c>
      <c r="G445" s="168">
        <f t="shared" si="123"/>
        <v>0</v>
      </c>
      <c r="H445" s="169">
        <f t="shared" si="123"/>
        <v>0</v>
      </c>
      <c r="I445" s="169" t="e">
        <f t="shared" ca="1" si="109"/>
        <v>#VALUE!</v>
      </c>
      <c r="J445" s="169">
        <f t="shared" si="122"/>
        <v>0</v>
      </c>
      <c r="K445" s="170">
        <f t="shared" si="122"/>
        <v>0</v>
      </c>
      <c r="L445" s="169">
        <f t="shared" si="122"/>
        <v>0</v>
      </c>
      <c r="M445" s="169">
        <f t="shared" si="122"/>
        <v>0</v>
      </c>
      <c r="N445" s="169" t="e">
        <f t="shared" ca="1" si="110"/>
        <v>#VALUE!</v>
      </c>
      <c r="O445" s="171" t="str">
        <f t="shared" si="111"/>
        <v/>
      </c>
      <c r="P445" s="171" t="str">
        <f t="shared" ca="1" si="112"/>
        <v/>
      </c>
      <c r="Q445" s="170">
        <f t="shared" ca="1" si="113"/>
        <v>0</v>
      </c>
      <c r="R445" s="170">
        <f t="shared" ca="1" si="114"/>
        <v>0</v>
      </c>
      <c r="S445" s="171" t="b">
        <f t="shared" si="115"/>
        <v>0</v>
      </c>
      <c r="T445" s="171" t="b">
        <f t="shared" ca="1" si="116"/>
        <v>0</v>
      </c>
      <c r="U445" s="172"/>
    </row>
    <row r="446" spans="1:21" hidden="1">
      <c r="A446" s="143">
        <v>328</v>
      </c>
      <c r="B446" s="167">
        <f t="shared" si="123"/>
        <v>0</v>
      </c>
      <c r="C446" s="167">
        <f t="shared" si="123"/>
        <v>0</v>
      </c>
      <c r="D446" s="167">
        <f t="shared" si="123"/>
        <v>0</v>
      </c>
      <c r="E446" s="168">
        <f t="shared" si="123"/>
        <v>0</v>
      </c>
      <c r="F446" s="167">
        <f t="shared" si="123"/>
        <v>0</v>
      </c>
      <c r="G446" s="168">
        <f t="shared" si="123"/>
        <v>0</v>
      </c>
      <c r="H446" s="169">
        <f t="shared" si="123"/>
        <v>0</v>
      </c>
      <c r="I446" s="169" t="e">
        <f t="shared" ca="1" si="109"/>
        <v>#VALUE!</v>
      </c>
      <c r="J446" s="169">
        <f t="shared" si="122"/>
        <v>0</v>
      </c>
      <c r="K446" s="170">
        <f t="shared" si="122"/>
        <v>0</v>
      </c>
      <c r="L446" s="169">
        <f t="shared" si="122"/>
        <v>0</v>
      </c>
      <c r="M446" s="169">
        <f t="shared" si="122"/>
        <v>0</v>
      </c>
      <c r="N446" s="169" t="e">
        <f t="shared" ca="1" si="110"/>
        <v>#VALUE!</v>
      </c>
      <c r="O446" s="171" t="str">
        <f t="shared" si="111"/>
        <v/>
      </c>
      <c r="P446" s="171" t="str">
        <f t="shared" ca="1" si="112"/>
        <v/>
      </c>
      <c r="Q446" s="170">
        <f t="shared" ca="1" si="113"/>
        <v>0</v>
      </c>
      <c r="R446" s="170">
        <f t="shared" ca="1" si="114"/>
        <v>0</v>
      </c>
      <c r="S446" s="171" t="b">
        <f t="shared" si="115"/>
        <v>0</v>
      </c>
      <c r="T446" s="171" t="b">
        <f t="shared" ca="1" si="116"/>
        <v>0</v>
      </c>
      <c r="U446" s="172"/>
    </row>
    <row r="447" spans="1:21" hidden="1">
      <c r="A447" s="143">
        <v>331</v>
      </c>
      <c r="B447" s="167">
        <f t="shared" si="123"/>
        <v>0</v>
      </c>
      <c r="C447" s="167">
        <f t="shared" si="123"/>
        <v>0</v>
      </c>
      <c r="D447" s="167">
        <f t="shared" si="123"/>
        <v>0</v>
      </c>
      <c r="E447" s="168">
        <f t="shared" si="123"/>
        <v>0</v>
      </c>
      <c r="F447" s="167">
        <f t="shared" si="123"/>
        <v>0</v>
      </c>
      <c r="G447" s="168">
        <f t="shared" si="123"/>
        <v>0</v>
      </c>
      <c r="H447" s="169">
        <f t="shared" si="123"/>
        <v>0</v>
      </c>
      <c r="I447" s="169" t="e">
        <f t="shared" ca="1" si="109"/>
        <v>#VALUE!</v>
      </c>
      <c r="J447" s="169">
        <f t="shared" si="122"/>
        <v>0</v>
      </c>
      <c r="K447" s="170">
        <f t="shared" si="122"/>
        <v>0</v>
      </c>
      <c r="L447" s="169">
        <f t="shared" si="122"/>
        <v>0</v>
      </c>
      <c r="M447" s="169">
        <f t="shared" si="122"/>
        <v>0</v>
      </c>
      <c r="N447" s="169" t="e">
        <f t="shared" ca="1" si="110"/>
        <v>#VALUE!</v>
      </c>
      <c r="O447" s="171" t="str">
        <f t="shared" si="111"/>
        <v/>
      </c>
      <c r="P447" s="171" t="str">
        <f t="shared" ca="1" si="112"/>
        <v/>
      </c>
      <c r="Q447" s="170">
        <f t="shared" ca="1" si="113"/>
        <v>0</v>
      </c>
      <c r="R447" s="170">
        <f t="shared" ca="1" si="114"/>
        <v>0</v>
      </c>
      <c r="S447" s="171" t="b">
        <f t="shared" si="115"/>
        <v>0</v>
      </c>
      <c r="T447" s="171" t="b">
        <f t="shared" ca="1" si="116"/>
        <v>0</v>
      </c>
      <c r="U447" s="172"/>
    </row>
    <row r="448" spans="1:21" hidden="1">
      <c r="A448" s="143">
        <v>341</v>
      </c>
      <c r="B448" s="167">
        <f t="shared" si="123"/>
        <v>0</v>
      </c>
      <c r="C448" s="167">
        <f t="shared" si="123"/>
        <v>0</v>
      </c>
      <c r="D448" s="167">
        <f t="shared" si="123"/>
        <v>0</v>
      </c>
      <c r="E448" s="168">
        <f t="shared" si="123"/>
        <v>0</v>
      </c>
      <c r="F448" s="167">
        <f t="shared" si="123"/>
        <v>0</v>
      </c>
      <c r="G448" s="168">
        <f t="shared" si="123"/>
        <v>0</v>
      </c>
      <c r="H448" s="169">
        <f t="shared" si="123"/>
        <v>0</v>
      </c>
      <c r="I448" s="169" t="e">
        <f t="shared" ca="1" si="109"/>
        <v>#VALUE!</v>
      </c>
      <c r="J448" s="169">
        <f t="shared" si="122"/>
        <v>0</v>
      </c>
      <c r="K448" s="170">
        <f t="shared" si="122"/>
        <v>0</v>
      </c>
      <c r="L448" s="169">
        <f t="shared" si="122"/>
        <v>0</v>
      </c>
      <c r="M448" s="169">
        <f t="shared" si="122"/>
        <v>0</v>
      </c>
      <c r="N448" s="169" t="e">
        <f t="shared" ca="1" si="110"/>
        <v>#VALUE!</v>
      </c>
      <c r="O448" s="171" t="str">
        <f t="shared" si="111"/>
        <v/>
      </c>
      <c r="P448" s="171" t="str">
        <f t="shared" ca="1" si="112"/>
        <v/>
      </c>
      <c r="Q448" s="170">
        <f t="shared" ca="1" si="113"/>
        <v>0</v>
      </c>
      <c r="R448" s="170">
        <f t="shared" ca="1" si="114"/>
        <v>0</v>
      </c>
      <c r="S448" s="171" t="b">
        <f t="shared" si="115"/>
        <v>0</v>
      </c>
      <c r="T448" s="171" t="b">
        <f t="shared" ca="1" si="116"/>
        <v>0</v>
      </c>
      <c r="U448" s="172"/>
    </row>
    <row r="449" spans="1:21" hidden="1">
      <c r="A449" s="143">
        <v>342</v>
      </c>
      <c r="B449" s="167">
        <f t="shared" si="123"/>
        <v>0</v>
      </c>
      <c r="C449" s="167">
        <f t="shared" si="123"/>
        <v>0</v>
      </c>
      <c r="D449" s="167">
        <f t="shared" si="123"/>
        <v>0</v>
      </c>
      <c r="E449" s="168">
        <f t="shared" si="123"/>
        <v>0</v>
      </c>
      <c r="F449" s="167">
        <f t="shared" si="123"/>
        <v>0</v>
      </c>
      <c r="G449" s="168">
        <f t="shared" si="123"/>
        <v>0</v>
      </c>
      <c r="H449" s="169">
        <f t="shared" si="123"/>
        <v>0</v>
      </c>
      <c r="I449" s="169" t="e">
        <f t="shared" ca="1" si="109"/>
        <v>#VALUE!</v>
      </c>
      <c r="J449" s="169">
        <f t="shared" si="122"/>
        <v>0</v>
      </c>
      <c r="K449" s="170">
        <f t="shared" si="122"/>
        <v>0</v>
      </c>
      <c r="L449" s="169">
        <f t="shared" si="122"/>
        <v>0</v>
      </c>
      <c r="M449" s="169">
        <f t="shared" si="122"/>
        <v>0</v>
      </c>
      <c r="N449" s="169" t="e">
        <f t="shared" ca="1" si="110"/>
        <v>#VALUE!</v>
      </c>
      <c r="O449" s="171" t="str">
        <f t="shared" si="111"/>
        <v/>
      </c>
      <c r="P449" s="171" t="str">
        <f t="shared" ca="1" si="112"/>
        <v/>
      </c>
      <c r="Q449" s="170">
        <f t="shared" ca="1" si="113"/>
        <v>0</v>
      </c>
      <c r="R449" s="170">
        <f t="shared" ca="1" si="114"/>
        <v>0</v>
      </c>
      <c r="S449" s="171" t="b">
        <f t="shared" si="115"/>
        <v>0</v>
      </c>
      <c r="T449" s="171" t="b">
        <f t="shared" ca="1" si="116"/>
        <v>0</v>
      </c>
      <c r="U449" s="172"/>
    </row>
    <row r="450" spans="1:21" hidden="1">
      <c r="A450" s="143">
        <v>351</v>
      </c>
      <c r="B450" s="167">
        <f t="shared" si="123"/>
        <v>0</v>
      </c>
      <c r="C450" s="167">
        <f t="shared" si="123"/>
        <v>0</v>
      </c>
      <c r="D450" s="167">
        <f t="shared" si="123"/>
        <v>0</v>
      </c>
      <c r="E450" s="168">
        <f t="shared" si="123"/>
        <v>0</v>
      </c>
      <c r="F450" s="167">
        <f t="shared" si="123"/>
        <v>0</v>
      </c>
      <c r="G450" s="168">
        <f t="shared" si="123"/>
        <v>0</v>
      </c>
      <c r="H450" s="169">
        <f t="shared" si="123"/>
        <v>0</v>
      </c>
      <c r="I450" s="169" t="e">
        <f t="shared" ca="1" si="109"/>
        <v>#VALUE!</v>
      </c>
      <c r="J450" s="169">
        <f t="shared" si="122"/>
        <v>0</v>
      </c>
      <c r="K450" s="170">
        <f t="shared" si="122"/>
        <v>0</v>
      </c>
      <c r="L450" s="169">
        <f t="shared" si="122"/>
        <v>0</v>
      </c>
      <c r="M450" s="169">
        <f t="shared" si="122"/>
        <v>0</v>
      </c>
      <c r="N450" s="169" t="e">
        <f t="shared" ca="1" si="110"/>
        <v>#VALUE!</v>
      </c>
      <c r="O450" s="171" t="str">
        <f t="shared" si="111"/>
        <v/>
      </c>
      <c r="P450" s="171" t="str">
        <f t="shared" ca="1" si="112"/>
        <v/>
      </c>
      <c r="Q450" s="170">
        <f t="shared" ca="1" si="113"/>
        <v>0</v>
      </c>
      <c r="R450" s="170">
        <f t="shared" ca="1" si="114"/>
        <v>0</v>
      </c>
      <c r="S450" s="171" t="b">
        <f t="shared" si="115"/>
        <v>0</v>
      </c>
      <c r="T450" s="171" t="b">
        <f t="shared" ca="1" si="116"/>
        <v>0</v>
      </c>
      <c r="U450" s="172"/>
    </row>
    <row r="451" spans="1:21" hidden="1">
      <c r="A451" s="143">
        <v>352</v>
      </c>
      <c r="B451" s="167">
        <f t="shared" ref="B451:H460" si="124">IF($A451&lt;=$A$8,INDEX(Import.PO,$A451,B$8),0)</f>
        <v>0</v>
      </c>
      <c r="C451" s="167">
        <f t="shared" si="124"/>
        <v>0</v>
      </c>
      <c r="D451" s="167">
        <f t="shared" si="124"/>
        <v>0</v>
      </c>
      <c r="E451" s="168">
        <f t="shared" si="124"/>
        <v>0</v>
      </c>
      <c r="F451" s="167">
        <f t="shared" si="124"/>
        <v>0</v>
      </c>
      <c r="G451" s="168">
        <f t="shared" si="124"/>
        <v>0</v>
      </c>
      <c r="H451" s="169">
        <f t="shared" si="124"/>
        <v>0</v>
      </c>
      <c r="I451" s="169" t="e">
        <f t="shared" ca="1" si="109"/>
        <v>#VALUE!</v>
      </c>
      <c r="J451" s="169">
        <f t="shared" ref="J451:M470" si="125">IF($A451&lt;=$A$8,INDEX(Import.PO,$A451,J$8),0)</f>
        <v>0</v>
      </c>
      <c r="K451" s="170">
        <f t="shared" si="125"/>
        <v>0</v>
      </c>
      <c r="L451" s="169">
        <f t="shared" si="125"/>
        <v>0</v>
      </c>
      <c r="M451" s="169">
        <f t="shared" si="125"/>
        <v>0</v>
      </c>
      <c r="N451" s="169" t="e">
        <f t="shared" ca="1" si="110"/>
        <v>#VALUE!</v>
      </c>
      <c r="O451" s="171" t="str">
        <f t="shared" si="111"/>
        <v/>
      </c>
      <c r="P451" s="171" t="str">
        <f t="shared" ca="1" si="112"/>
        <v/>
      </c>
      <c r="Q451" s="170">
        <f t="shared" ca="1" si="113"/>
        <v>0</v>
      </c>
      <c r="R451" s="170">
        <f t="shared" ca="1" si="114"/>
        <v>0</v>
      </c>
      <c r="S451" s="171" t="b">
        <f t="shared" si="115"/>
        <v>0</v>
      </c>
      <c r="T451" s="171" t="b">
        <f t="shared" ca="1" si="116"/>
        <v>0</v>
      </c>
      <c r="U451" s="172"/>
    </row>
    <row r="452" spans="1:21" hidden="1">
      <c r="A452" s="143">
        <v>355</v>
      </c>
      <c r="B452" s="167">
        <f t="shared" si="124"/>
        <v>0</v>
      </c>
      <c r="C452" s="167">
        <f t="shared" si="124"/>
        <v>0</v>
      </c>
      <c r="D452" s="167">
        <f t="shared" si="124"/>
        <v>0</v>
      </c>
      <c r="E452" s="168">
        <f t="shared" si="124"/>
        <v>0</v>
      </c>
      <c r="F452" s="167">
        <f t="shared" si="124"/>
        <v>0</v>
      </c>
      <c r="G452" s="168">
        <f t="shared" si="124"/>
        <v>0</v>
      </c>
      <c r="H452" s="169">
        <f t="shared" si="124"/>
        <v>0</v>
      </c>
      <c r="I452" s="169" t="e">
        <f t="shared" ca="1" si="109"/>
        <v>#VALUE!</v>
      </c>
      <c r="J452" s="169">
        <f t="shared" si="125"/>
        <v>0</v>
      </c>
      <c r="K452" s="170">
        <f t="shared" si="125"/>
        <v>0</v>
      </c>
      <c r="L452" s="169">
        <f t="shared" si="125"/>
        <v>0</v>
      </c>
      <c r="M452" s="169">
        <f t="shared" si="125"/>
        <v>0</v>
      </c>
      <c r="N452" s="169" t="e">
        <f t="shared" ca="1" si="110"/>
        <v>#VALUE!</v>
      </c>
      <c r="O452" s="171" t="str">
        <f t="shared" si="111"/>
        <v/>
      </c>
      <c r="P452" s="171" t="str">
        <f t="shared" ca="1" si="112"/>
        <v/>
      </c>
      <c r="Q452" s="170">
        <f t="shared" ca="1" si="113"/>
        <v>0</v>
      </c>
      <c r="R452" s="170">
        <f t="shared" ca="1" si="114"/>
        <v>0</v>
      </c>
      <c r="S452" s="171" t="b">
        <f t="shared" si="115"/>
        <v>0</v>
      </c>
      <c r="T452" s="171" t="b">
        <f t="shared" ca="1" si="116"/>
        <v>0</v>
      </c>
      <c r="U452" s="172"/>
    </row>
    <row r="453" spans="1:21" hidden="1">
      <c r="A453" s="143">
        <v>356</v>
      </c>
      <c r="B453" s="167">
        <f t="shared" si="124"/>
        <v>0</v>
      </c>
      <c r="C453" s="167">
        <f t="shared" si="124"/>
        <v>0</v>
      </c>
      <c r="D453" s="167">
        <f t="shared" si="124"/>
        <v>0</v>
      </c>
      <c r="E453" s="168">
        <f t="shared" si="124"/>
        <v>0</v>
      </c>
      <c r="F453" s="167">
        <f t="shared" si="124"/>
        <v>0</v>
      </c>
      <c r="G453" s="168">
        <f t="shared" si="124"/>
        <v>0</v>
      </c>
      <c r="H453" s="169">
        <f t="shared" si="124"/>
        <v>0</v>
      </c>
      <c r="I453" s="169" t="e">
        <f t="shared" ca="1" si="109"/>
        <v>#VALUE!</v>
      </c>
      <c r="J453" s="169">
        <f t="shared" si="125"/>
        <v>0</v>
      </c>
      <c r="K453" s="170">
        <f t="shared" si="125"/>
        <v>0</v>
      </c>
      <c r="L453" s="169">
        <f t="shared" si="125"/>
        <v>0</v>
      </c>
      <c r="M453" s="169">
        <f t="shared" si="125"/>
        <v>0</v>
      </c>
      <c r="N453" s="169" t="e">
        <f t="shared" ca="1" si="110"/>
        <v>#VALUE!</v>
      </c>
      <c r="O453" s="171" t="str">
        <f t="shared" si="111"/>
        <v/>
      </c>
      <c r="P453" s="171" t="str">
        <f t="shared" ca="1" si="112"/>
        <v/>
      </c>
      <c r="Q453" s="170">
        <f t="shared" ca="1" si="113"/>
        <v>0</v>
      </c>
      <c r="R453" s="170">
        <f t="shared" ca="1" si="114"/>
        <v>0</v>
      </c>
      <c r="S453" s="171" t="b">
        <f t="shared" si="115"/>
        <v>0</v>
      </c>
      <c r="T453" s="171" t="b">
        <f t="shared" ca="1" si="116"/>
        <v>0</v>
      </c>
      <c r="U453" s="172"/>
    </row>
    <row r="454" spans="1:21" hidden="1">
      <c r="A454" s="143">
        <v>365</v>
      </c>
      <c r="B454" s="167">
        <f t="shared" si="124"/>
        <v>0</v>
      </c>
      <c r="C454" s="167">
        <f t="shared" si="124"/>
        <v>0</v>
      </c>
      <c r="D454" s="167">
        <f t="shared" si="124"/>
        <v>0</v>
      </c>
      <c r="E454" s="168">
        <f t="shared" si="124"/>
        <v>0</v>
      </c>
      <c r="F454" s="167">
        <f t="shared" si="124"/>
        <v>0</v>
      </c>
      <c r="G454" s="168">
        <f t="shared" si="124"/>
        <v>0</v>
      </c>
      <c r="H454" s="169">
        <f t="shared" si="124"/>
        <v>0</v>
      </c>
      <c r="I454" s="169" t="e">
        <f t="shared" ca="1" si="109"/>
        <v>#VALUE!</v>
      </c>
      <c r="J454" s="169">
        <f t="shared" si="125"/>
        <v>0</v>
      </c>
      <c r="K454" s="170">
        <f t="shared" si="125"/>
        <v>0</v>
      </c>
      <c r="L454" s="169">
        <f t="shared" si="125"/>
        <v>0</v>
      </c>
      <c r="M454" s="169">
        <f t="shared" si="125"/>
        <v>0</v>
      </c>
      <c r="N454" s="169" t="e">
        <f t="shared" ca="1" si="110"/>
        <v>#VALUE!</v>
      </c>
      <c r="O454" s="171" t="str">
        <f t="shared" si="111"/>
        <v/>
      </c>
      <c r="P454" s="171" t="str">
        <f t="shared" ca="1" si="112"/>
        <v/>
      </c>
      <c r="Q454" s="170">
        <f t="shared" ca="1" si="113"/>
        <v>0</v>
      </c>
      <c r="R454" s="170">
        <f t="shared" ca="1" si="114"/>
        <v>0</v>
      </c>
      <c r="S454" s="171" t="b">
        <f t="shared" si="115"/>
        <v>0</v>
      </c>
      <c r="T454" s="171" t="b">
        <f t="shared" ca="1" si="116"/>
        <v>0</v>
      </c>
      <c r="U454" s="172"/>
    </row>
    <row r="455" spans="1:21" hidden="1">
      <c r="A455" s="143">
        <v>366</v>
      </c>
      <c r="B455" s="167">
        <f t="shared" si="124"/>
        <v>0</v>
      </c>
      <c r="C455" s="167">
        <f t="shared" si="124"/>
        <v>0</v>
      </c>
      <c r="D455" s="167">
        <f t="shared" si="124"/>
        <v>0</v>
      </c>
      <c r="E455" s="168">
        <f t="shared" si="124"/>
        <v>0</v>
      </c>
      <c r="F455" s="167">
        <f t="shared" si="124"/>
        <v>0</v>
      </c>
      <c r="G455" s="168">
        <f t="shared" si="124"/>
        <v>0</v>
      </c>
      <c r="H455" s="169">
        <f t="shared" si="124"/>
        <v>0</v>
      </c>
      <c r="I455" s="169" t="e">
        <f t="shared" ca="1" si="109"/>
        <v>#VALUE!</v>
      </c>
      <c r="J455" s="169">
        <f t="shared" si="125"/>
        <v>0</v>
      </c>
      <c r="K455" s="170">
        <f t="shared" si="125"/>
        <v>0</v>
      </c>
      <c r="L455" s="169">
        <f t="shared" si="125"/>
        <v>0</v>
      </c>
      <c r="M455" s="169">
        <f t="shared" si="125"/>
        <v>0</v>
      </c>
      <c r="N455" s="169" t="e">
        <f t="shared" ca="1" si="110"/>
        <v>#VALUE!</v>
      </c>
      <c r="O455" s="171" t="str">
        <f t="shared" si="111"/>
        <v/>
      </c>
      <c r="P455" s="171" t="str">
        <f t="shared" ca="1" si="112"/>
        <v/>
      </c>
      <c r="Q455" s="170">
        <f t="shared" ca="1" si="113"/>
        <v>0</v>
      </c>
      <c r="R455" s="170">
        <f t="shared" ca="1" si="114"/>
        <v>0</v>
      </c>
      <c r="S455" s="171" t="b">
        <f t="shared" si="115"/>
        <v>0</v>
      </c>
      <c r="T455" s="171" t="b">
        <f t="shared" ca="1" si="116"/>
        <v>0</v>
      </c>
      <c r="U455" s="172"/>
    </row>
    <row r="456" spans="1:21" hidden="1">
      <c r="A456" s="143">
        <v>369</v>
      </c>
      <c r="B456" s="167">
        <f t="shared" si="124"/>
        <v>0</v>
      </c>
      <c r="C456" s="167">
        <f t="shared" si="124"/>
        <v>0</v>
      </c>
      <c r="D456" s="167">
        <f t="shared" si="124"/>
        <v>0</v>
      </c>
      <c r="E456" s="168">
        <f t="shared" si="124"/>
        <v>0</v>
      </c>
      <c r="F456" s="167">
        <f t="shared" si="124"/>
        <v>0</v>
      </c>
      <c r="G456" s="168">
        <f t="shared" si="124"/>
        <v>0</v>
      </c>
      <c r="H456" s="169">
        <f t="shared" si="124"/>
        <v>0</v>
      </c>
      <c r="I456" s="169" t="e">
        <f t="shared" ca="1" si="109"/>
        <v>#VALUE!</v>
      </c>
      <c r="J456" s="169">
        <f t="shared" si="125"/>
        <v>0</v>
      </c>
      <c r="K456" s="170">
        <f t="shared" si="125"/>
        <v>0</v>
      </c>
      <c r="L456" s="169">
        <f t="shared" si="125"/>
        <v>0</v>
      </c>
      <c r="M456" s="169">
        <f t="shared" si="125"/>
        <v>0</v>
      </c>
      <c r="N456" s="169" t="e">
        <f t="shared" ca="1" si="110"/>
        <v>#VALUE!</v>
      </c>
      <c r="O456" s="171" t="str">
        <f t="shared" si="111"/>
        <v/>
      </c>
      <c r="P456" s="171" t="str">
        <f t="shared" ca="1" si="112"/>
        <v/>
      </c>
      <c r="Q456" s="170">
        <f t="shared" ca="1" si="113"/>
        <v>0</v>
      </c>
      <c r="R456" s="170">
        <f t="shared" ca="1" si="114"/>
        <v>0</v>
      </c>
      <c r="S456" s="171" t="b">
        <f t="shared" si="115"/>
        <v>0</v>
      </c>
      <c r="T456" s="171" t="b">
        <f t="shared" ca="1" si="116"/>
        <v>0</v>
      </c>
      <c r="U456" s="172"/>
    </row>
    <row r="457" spans="1:21" hidden="1">
      <c r="A457" s="143">
        <v>370</v>
      </c>
      <c r="B457" s="167">
        <f t="shared" si="124"/>
        <v>0</v>
      </c>
      <c r="C457" s="167">
        <f t="shared" si="124"/>
        <v>0</v>
      </c>
      <c r="D457" s="167">
        <f t="shared" si="124"/>
        <v>0</v>
      </c>
      <c r="E457" s="168">
        <f t="shared" si="124"/>
        <v>0</v>
      </c>
      <c r="F457" s="167">
        <f t="shared" si="124"/>
        <v>0</v>
      </c>
      <c r="G457" s="168">
        <f t="shared" si="124"/>
        <v>0</v>
      </c>
      <c r="H457" s="169">
        <f t="shared" si="124"/>
        <v>0</v>
      </c>
      <c r="I457" s="169" t="e">
        <f t="shared" ca="1" si="109"/>
        <v>#VALUE!</v>
      </c>
      <c r="J457" s="169">
        <f t="shared" si="125"/>
        <v>0</v>
      </c>
      <c r="K457" s="170">
        <f t="shared" si="125"/>
        <v>0</v>
      </c>
      <c r="L457" s="169">
        <f t="shared" si="125"/>
        <v>0</v>
      </c>
      <c r="M457" s="169">
        <f t="shared" si="125"/>
        <v>0</v>
      </c>
      <c r="N457" s="169" t="e">
        <f t="shared" ca="1" si="110"/>
        <v>#VALUE!</v>
      </c>
      <c r="O457" s="171" t="str">
        <f t="shared" si="111"/>
        <v/>
      </c>
      <c r="P457" s="171" t="str">
        <f t="shared" ca="1" si="112"/>
        <v/>
      </c>
      <c r="Q457" s="170">
        <f t="shared" ca="1" si="113"/>
        <v>0</v>
      </c>
      <c r="R457" s="170">
        <f t="shared" ca="1" si="114"/>
        <v>0</v>
      </c>
      <c r="S457" s="171" t="b">
        <f t="shared" si="115"/>
        <v>0</v>
      </c>
      <c r="T457" s="171" t="b">
        <f t="shared" ca="1" si="116"/>
        <v>0</v>
      </c>
      <c r="U457" s="172"/>
    </row>
    <row r="458" spans="1:21" hidden="1">
      <c r="A458" s="143">
        <v>379</v>
      </c>
      <c r="B458" s="167">
        <f t="shared" si="124"/>
        <v>0</v>
      </c>
      <c r="C458" s="167">
        <f t="shared" si="124"/>
        <v>0</v>
      </c>
      <c r="D458" s="167">
        <f t="shared" si="124"/>
        <v>0</v>
      </c>
      <c r="E458" s="168">
        <f t="shared" si="124"/>
        <v>0</v>
      </c>
      <c r="F458" s="167">
        <f t="shared" si="124"/>
        <v>0</v>
      </c>
      <c r="G458" s="168">
        <f t="shared" si="124"/>
        <v>0</v>
      </c>
      <c r="H458" s="169">
        <f t="shared" si="124"/>
        <v>0</v>
      </c>
      <c r="I458" s="169" t="e">
        <f t="shared" ca="1" si="109"/>
        <v>#VALUE!</v>
      </c>
      <c r="J458" s="169">
        <f t="shared" si="125"/>
        <v>0</v>
      </c>
      <c r="K458" s="170">
        <f t="shared" si="125"/>
        <v>0</v>
      </c>
      <c r="L458" s="169">
        <f t="shared" si="125"/>
        <v>0</v>
      </c>
      <c r="M458" s="169">
        <f t="shared" si="125"/>
        <v>0</v>
      </c>
      <c r="N458" s="169" t="e">
        <f t="shared" ca="1" si="110"/>
        <v>#VALUE!</v>
      </c>
      <c r="O458" s="171" t="str">
        <f t="shared" si="111"/>
        <v/>
      </c>
      <c r="P458" s="171" t="str">
        <f t="shared" ca="1" si="112"/>
        <v/>
      </c>
      <c r="Q458" s="170">
        <f t="shared" ca="1" si="113"/>
        <v>0</v>
      </c>
      <c r="R458" s="170">
        <f t="shared" ca="1" si="114"/>
        <v>0</v>
      </c>
      <c r="S458" s="171" t="b">
        <f t="shared" si="115"/>
        <v>0</v>
      </c>
      <c r="T458" s="171" t="b">
        <f t="shared" ca="1" si="116"/>
        <v>0</v>
      </c>
      <c r="U458" s="172"/>
    </row>
    <row r="459" spans="1:21" hidden="1">
      <c r="A459" s="143">
        <v>380</v>
      </c>
      <c r="B459" s="167">
        <f t="shared" si="124"/>
        <v>0</v>
      </c>
      <c r="C459" s="167">
        <f t="shared" si="124"/>
        <v>0</v>
      </c>
      <c r="D459" s="167">
        <f t="shared" si="124"/>
        <v>0</v>
      </c>
      <c r="E459" s="168">
        <f t="shared" si="124"/>
        <v>0</v>
      </c>
      <c r="F459" s="167">
        <f t="shared" si="124"/>
        <v>0</v>
      </c>
      <c r="G459" s="168">
        <f t="shared" si="124"/>
        <v>0</v>
      </c>
      <c r="H459" s="169">
        <f t="shared" si="124"/>
        <v>0</v>
      </c>
      <c r="I459" s="169" t="e">
        <f t="shared" ref="I459:I481" ca="1" si="126">IF($P459=ROW($P459)-ROW($P$10),SUMIF(OFFSET($P$10,1,0,$A$7),$P459,OFFSET($H$10,1,0,$A$7)),OFFSET($I$10,$P459,0))</f>
        <v>#VALUE!</v>
      </c>
      <c r="J459" s="169">
        <f t="shared" si="125"/>
        <v>0</v>
      </c>
      <c r="K459" s="170">
        <f t="shared" si="125"/>
        <v>0</v>
      </c>
      <c r="L459" s="169">
        <f t="shared" si="125"/>
        <v>0</v>
      </c>
      <c r="M459" s="169">
        <f t="shared" si="125"/>
        <v>0</v>
      </c>
      <c r="N459" s="169" t="e">
        <f t="shared" ref="N459:N481" ca="1" si="127">IF($P459=ROW($P459)-ROW($P$10),SUMIF(OFFSET($P$10,1,0,$A$7),$P459,OFFSET($M$10,1,0,$A$7)),OFFSET($N$10,$P459,0))</f>
        <v>#VALUE!</v>
      </c>
      <c r="O459" s="171" t="str">
        <f t="shared" ref="O459:O481" si="128">IF($S459,D459&amp;"-"&amp;E459,"")</f>
        <v/>
      </c>
      <c r="P459" s="171" t="str">
        <f t="shared" ref="P459:P481" ca="1" si="129">IF($S459,MATCH(O459,OFFSET($O$10,1,0,$A$7),0),"")</f>
        <v/>
      </c>
      <c r="Q459" s="170">
        <f t="shared" ref="Q459:Q481" ca="1" si="130">IF($P459=ROW($P459)-ROW($P$10),$N459/$M$7,IF(ISNUMBER($P459),TEXT(OFFSET($Q$10,$P459,0)," 0,00% "),0))</f>
        <v>0</v>
      </c>
      <c r="R459" s="170">
        <f t="shared" ref="R459:R481" ca="1" si="131">SUMIF(OFFSET($Q$10,1,0,$A$7),"&gt;="&amp;$N459/$M$7,OFFSET($Q$10,1,0,$A$7))</f>
        <v>0</v>
      </c>
      <c r="S459" s="171" t="b">
        <f t="shared" ref="S459:S481" si="132">E459&lt;&gt;0</f>
        <v>0</v>
      </c>
      <c r="T459" s="171" t="b">
        <f t="shared" ref="T459:T481" ca="1" si="133">IF($P459=ROW($P459)-ROW($P$10),R459&lt;=$Q$8,IF(ISNUMBER($P459),OFFSET($T$10,VALUE($P459),0),FALSE))</f>
        <v>0</v>
      </c>
      <c r="U459" s="172"/>
    </row>
    <row r="460" spans="1:21" hidden="1">
      <c r="A460" s="143">
        <v>383</v>
      </c>
      <c r="B460" s="167">
        <f t="shared" si="124"/>
        <v>0</v>
      </c>
      <c r="C460" s="167">
        <f t="shared" si="124"/>
        <v>0</v>
      </c>
      <c r="D460" s="167">
        <f t="shared" si="124"/>
        <v>0</v>
      </c>
      <c r="E460" s="168">
        <f t="shared" si="124"/>
        <v>0</v>
      </c>
      <c r="F460" s="167">
        <f t="shared" si="124"/>
        <v>0</v>
      </c>
      <c r="G460" s="168">
        <f t="shared" si="124"/>
        <v>0</v>
      </c>
      <c r="H460" s="169">
        <f t="shared" si="124"/>
        <v>0</v>
      </c>
      <c r="I460" s="169" t="e">
        <f t="shared" ca="1" si="126"/>
        <v>#VALUE!</v>
      </c>
      <c r="J460" s="169">
        <f t="shared" si="125"/>
        <v>0</v>
      </c>
      <c r="K460" s="170">
        <f t="shared" si="125"/>
        <v>0</v>
      </c>
      <c r="L460" s="169">
        <f t="shared" si="125"/>
        <v>0</v>
      </c>
      <c r="M460" s="169">
        <f t="shared" si="125"/>
        <v>0</v>
      </c>
      <c r="N460" s="169" t="e">
        <f t="shared" ca="1" si="127"/>
        <v>#VALUE!</v>
      </c>
      <c r="O460" s="171" t="str">
        <f t="shared" si="128"/>
        <v/>
      </c>
      <c r="P460" s="171" t="str">
        <f t="shared" ca="1" si="129"/>
        <v/>
      </c>
      <c r="Q460" s="170">
        <f t="shared" ca="1" si="130"/>
        <v>0</v>
      </c>
      <c r="R460" s="170">
        <f t="shared" ca="1" si="131"/>
        <v>0</v>
      </c>
      <c r="S460" s="171" t="b">
        <f t="shared" si="132"/>
        <v>0</v>
      </c>
      <c r="T460" s="171" t="b">
        <f t="shared" ca="1" si="133"/>
        <v>0</v>
      </c>
      <c r="U460" s="172"/>
    </row>
    <row r="461" spans="1:21" hidden="1">
      <c r="A461" s="143">
        <v>384</v>
      </c>
      <c r="B461" s="167">
        <f t="shared" ref="B461:H470" si="134">IF($A461&lt;=$A$8,INDEX(Import.PO,$A461,B$8),0)</f>
        <v>0</v>
      </c>
      <c r="C461" s="167">
        <f t="shared" si="134"/>
        <v>0</v>
      </c>
      <c r="D461" s="167">
        <f t="shared" si="134"/>
        <v>0</v>
      </c>
      <c r="E461" s="168">
        <f t="shared" si="134"/>
        <v>0</v>
      </c>
      <c r="F461" s="167">
        <f t="shared" si="134"/>
        <v>0</v>
      </c>
      <c r="G461" s="168">
        <f t="shared" si="134"/>
        <v>0</v>
      </c>
      <c r="H461" s="169">
        <f t="shared" si="134"/>
        <v>0</v>
      </c>
      <c r="I461" s="169" t="e">
        <f t="shared" ca="1" si="126"/>
        <v>#VALUE!</v>
      </c>
      <c r="J461" s="169">
        <f t="shared" si="125"/>
        <v>0</v>
      </c>
      <c r="K461" s="170">
        <f t="shared" si="125"/>
        <v>0</v>
      </c>
      <c r="L461" s="169">
        <f t="shared" si="125"/>
        <v>0</v>
      </c>
      <c r="M461" s="169">
        <f t="shared" si="125"/>
        <v>0</v>
      </c>
      <c r="N461" s="169" t="e">
        <f t="shared" ca="1" si="127"/>
        <v>#VALUE!</v>
      </c>
      <c r="O461" s="171" t="str">
        <f t="shared" si="128"/>
        <v/>
      </c>
      <c r="P461" s="171" t="str">
        <f t="shared" ca="1" si="129"/>
        <v/>
      </c>
      <c r="Q461" s="170">
        <f t="shared" ca="1" si="130"/>
        <v>0</v>
      </c>
      <c r="R461" s="170">
        <f t="shared" ca="1" si="131"/>
        <v>0</v>
      </c>
      <c r="S461" s="171" t="b">
        <f t="shared" si="132"/>
        <v>0</v>
      </c>
      <c r="T461" s="171" t="b">
        <f t="shared" ca="1" si="133"/>
        <v>0</v>
      </c>
      <c r="U461" s="172"/>
    </row>
    <row r="462" spans="1:21" hidden="1">
      <c r="A462" s="143">
        <v>393</v>
      </c>
      <c r="B462" s="167">
        <f t="shared" si="134"/>
        <v>0</v>
      </c>
      <c r="C462" s="167">
        <f t="shared" si="134"/>
        <v>0</v>
      </c>
      <c r="D462" s="167">
        <f t="shared" si="134"/>
        <v>0</v>
      </c>
      <c r="E462" s="168">
        <f t="shared" si="134"/>
        <v>0</v>
      </c>
      <c r="F462" s="167">
        <f t="shared" si="134"/>
        <v>0</v>
      </c>
      <c r="G462" s="168">
        <f t="shared" si="134"/>
        <v>0</v>
      </c>
      <c r="H462" s="169">
        <f t="shared" si="134"/>
        <v>0</v>
      </c>
      <c r="I462" s="169" t="e">
        <f t="shared" ca="1" si="126"/>
        <v>#VALUE!</v>
      </c>
      <c r="J462" s="169">
        <f t="shared" si="125"/>
        <v>0</v>
      </c>
      <c r="K462" s="170">
        <f t="shared" si="125"/>
        <v>0</v>
      </c>
      <c r="L462" s="169">
        <f t="shared" si="125"/>
        <v>0</v>
      </c>
      <c r="M462" s="169">
        <f t="shared" si="125"/>
        <v>0</v>
      </c>
      <c r="N462" s="169" t="e">
        <f t="shared" ca="1" si="127"/>
        <v>#VALUE!</v>
      </c>
      <c r="O462" s="171" t="str">
        <f t="shared" si="128"/>
        <v/>
      </c>
      <c r="P462" s="171" t="str">
        <f t="shared" ca="1" si="129"/>
        <v/>
      </c>
      <c r="Q462" s="170">
        <f t="shared" ca="1" si="130"/>
        <v>0</v>
      </c>
      <c r="R462" s="170">
        <f t="shared" ca="1" si="131"/>
        <v>0</v>
      </c>
      <c r="S462" s="171" t="b">
        <f t="shared" si="132"/>
        <v>0</v>
      </c>
      <c r="T462" s="171" t="b">
        <f t="shared" ca="1" si="133"/>
        <v>0</v>
      </c>
      <c r="U462" s="172"/>
    </row>
    <row r="463" spans="1:21" hidden="1">
      <c r="A463" s="143">
        <v>394</v>
      </c>
      <c r="B463" s="167">
        <f t="shared" si="134"/>
        <v>0</v>
      </c>
      <c r="C463" s="167">
        <f t="shared" si="134"/>
        <v>0</v>
      </c>
      <c r="D463" s="167">
        <f t="shared" si="134"/>
        <v>0</v>
      </c>
      <c r="E463" s="168">
        <f t="shared" si="134"/>
        <v>0</v>
      </c>
      <c r="F463" s="167">
        <f t="shared" si="134"/>
        <v>0</v>
      </c>
      <c r="G463" s="168">
        <f t="shared" si="134"/>
        <v>0</v>
      </c>
      <c r="H463" s="169">
        <f t="shared" si="134"/>
        <v>0</v>
      </c>
      <c r="I463" s="169" t="e">
        <f t="shared" ca="1" si="126"/>
        <v>#VALUE!</v>
      </c>
      <c r="J463" s="169">
        <f t="shared" si="125"/>
        <v>0</v>
      </c>
      <c r="K463" s="170">
        <f t="shared" si="125"/>
        <v>0</v>
      </c>
      <c r="L463" s="169">
        <f t="shared" si="125"/>
        <v>0</v>
      </c>
      <c r="M463" s="169">
        <f t="shared" si="125"/>
        <v>0</v>
      </c>
      <c r="N463" s="169" t="e">
        <f t="shared" ca="1" si="127"/>
        <v>#VALUE!</v>
      </c>
      <c r="O463" s="171" t="str">
        <f t="shared" si="128"/>
        <v/>
      </c>
      <c r="P463" s="171" t="str">
        <f t="shared" ca="1" si="129"/>
        <v/>
      </c>
      <c r="Q463" s="170">
        <f t="shared" ca="1" si="130"/>
        <v>0</v>
      </c>
      <c r="R463" s="170">
        <f t="shared" ca="1" si="131"/>
        <v>0</v>
      </c>
      <c r="S463" s="171" t="b">
        <f t="shared" si="132"/>
        <v>0</v>
      </c>
      <c r="T463" s="171" t="b">
        <f t="shared" ca="1" si="133"/>
        <v>0</v>
      </c>
      <c r="U463" s="172"/>
    </row>
    <row r="464" spans="1:21" hidden="1">
      <c r="A464" s="143">
        <v>397</v>
      </c>
      <c r="B464" s="167">
        <f t="shared" si="134"/>
        <v>0</v>
      </c>
      <c r="C464" s="167">
        <f t="shared" si="134"/>
        <v>0</v>
      </c>
      <c r="D464" s="167">
        <f t="shared" si="134"/>
        <v>0</v>
      </c>
      <c r="E464" s="168">
        <f t="shared" si="134"/>
        <v>0</v>
      </c>
      <c r="F464" s="167">
        <f t="shared" si="134"/>
        <v>0</v>
      </c>
      <c r="G464" s="168">
        <f t="shared" si="134"/>
        <v>0</v>
      </c>
      <c r="H464" s="169">
        <f t="shared" si="134"/>
        <v>0</v>
      </c>
      <c r="I464" s="169" t="e">
        <f t="shared" ca="1" si="126"/>
        <v>#VALUE!</v>
      </c>
      <c r="J464" s="169">
        <f t="shared" si="125"/>
        <v>0</v>
      </c>
      <c r="K464" s="170">
        <f t="shared" si="125"/>
        <v>0</v>
      </c>
      <c r="L464" s="169">
        <f t="shared" si="125"/>
        <v>0</v>
      </c>
      <c r="M464" s="169">
        <f t="shared" si="125"/>
        <v>0</v>
      </c>
      <c r="N464" s="169" t="e">
        <f t="shared" ca="1" si="127"/>
        <v>#VALUE!</v>
      </c>
      <c r="O464" s="171" t="str">
        <f t="shared" si="128"/>
        <v/>
      </c>
      <c r="P464" s="171" t="str">
        <f t="shared" ca="1" si="129"/>
        <v/>
      </c>
      <c r="Q464" s="170">
        <f t="shared" ca="1" si="130"/>
        <v>0</v>
      </c>
      <c r="R464" s="170">
        <f t="shared" ca="1" si="131"/>
        <v>0</v>
      </c>
      <c r="S464" s="171" t="b">
        <f t="shared" si="132"/>
        <v>0</v>
      </c>
      <c r="T464" s="171" t="b">
        <f t="shared" ca="1" si="133"/>
        <v>0</v>
      </c>
      <c r="U464" s="172"/>
    </row>
    <row r="465" spans="1:21" hidden="1">
      <c r="A465" s="143">
        <v>398</v>
      </c>
      <c r="B465" s="167">
        <f t="shared" si="134"/>
        <v>0</v>
      </c>
      <c r="C465" s="167">
        <f t="shared" si="134"/>
        <v>0</v>
      </c>
      <c r="D465" s="167">
        <f t="shared" si="134"/>
        <v>0</v>
      </c>
      <c r="E465" s="168">
        <f t="shared" si="134"/>
        <v>0</v>
      </c>
      <c r="F465" s="167">
        <f t="shared" si="134"/>
        <v>0</v>
      </c>
      <c r="G465" s="168">
        <f t="shared" si="134"/>
        <v>0</v>
      </c>
      <c r="H465" s="169">
        <f t="shared" si="134"/>
        <v>0</v>
      </c>
      <c r="I465" s="169" t="e">
        <f t="shared" ca="1" si="126"/>
        <v>#VALUE!</v>
      </c>
      <c r="J465" s="169">
        <f t="shared" si="125"/>
        <v>0</v>
      </c>
      <c r="K465" s="170">
        <f t="shared" si="125"/>
        <v>0</v>
      </c>
      <c r="L465" s="169">
        <f t="shared" si="125"/>
        <v>0</v>
      </c>
      <c r="M465" s="169">
        <f t="shared" si="125"/>
        <v>0</v>
      </c>
      <c r="N465" s="169" t="e">
        <f t="shared" ca="1" si="127"/>
        <v>#VALUE!</v>
      </c>
      <c r="O465" s="171" t="str">
        <f t="shared" si="128"/>
        <v/>
      </c>
      <c r="P465" s="171" t="str">
        <f t="shared" ca="1" si="129"/>
        <v/>
      </c>
      <c r="Q465" s="170">
        <f t="shared" ca="1" si="130"/>
        <v>0</v>
      </c>
      <c r="R465" s="170">
        <f t="shared" ca="1" si="131"/>
        <v>0</v>
      </c>
      <c r="S465" s="171" t="b">
        <f t="shared" si="132"/>
        <v>0</v>
      </c>
      <c r="T465" s="171" t="b">
        <f t="shared" ca="1" si="133"/>
        <v>0</v>
      </c>
      <c r="U465" s="172"/>
    </row>
    <row r="466" spans="1:21" hidden="1">
      <c r="A466" s="143">
        <v>407</v>
      </c>
      <c r="B466" s="167">
        <f t="shared" si="134"/>
        <v>0</v>
      </c>
      <c r="C466" s="167">
        <f t="shared" si="134"/>
        <v>0</v>
      </c>
      <c r="D466" s="167">
        <f t="shared" si="134"/>
        <v>0</v>
      </c>
      <c r="E466" s="168">
        <f t="shared" si="134"/>
        <v>0</v>
      </c>
      <c r="F466" s="167">
        <f t="shared" si="134"/>
        <v>0</v>
      </c>
      <c r="G466" s="168">
        <f t="shared" si="134"/>
        <v>0</v>
      </c>
      <c r="H466" s="169">
        <f t="shared" si="134"/>
        <v>0</v>
      </c>
      <c r="I466" s="169" t="e">
        <f t="shared" ca="1" si="126"/>
        <v>#VALUE!</v>
      </c>
      <c r="J466" s="169">
        <f t="shared" si="125"/>
        <v>0</v>
      </c>
      <c r="K466" s="170">
        <f t="shared" si="125"/>
        <v>0</v>
      </c>
      <c r="L466" s="169">
        <f t="shared" si="125"/>
        <v>0</v>
      </c>
      <c r="M466" s="169">
        <f t="shared" si="125"/>
        <v>0</v>
      </c>
      <c r="N466" s="169" t="e">
        <f t="shared" ca="1" si="127"/>
        <v>#VALUE!</v>
      </c>
      <c r="O466" s="171" t="str">
        <f t="shared" si="128"/>
        <v/>
      </c>
      <c r="P466" s="171" t="str">
        <f t="shared" ca="1" si="129"/>
        <v/>
      </c>
      <c r="Q466" s="170">
        <f t="shared" ca="1" si="130"/>
        <v>0</v>
      </c>
      <c r="R466" s="170">
        <f t="shared" ca="1" si="131"/>
        <v>0</v>
      </c>
      <c r="S466" s="171" t="b">
        <f t="shared" si="132"/>
        <v>0</v>
      </c>
      <c r="T466" s="171" t="b">
        <f t="shared" ca="1" si="133"/>
        <v>0</v>
      </c>
      <c r="U466" s="172"/>
    </row>
    <row r="467" spans="1:21" hidden="1">
      <c r="A467" s="143">
        <v>408</v>
      </c>
      <c r="B467" s="167">
        <f t="shared" si="134"/>
        <v>0</v>
      </c>
      <c r="C467" s="167">
        <f t="shared" si="134"/>
        <v>0</v>
      </c>
      <c r="D467" s="167">
        <f t="shared" si="134"/>
        <v>0</v>
      </c>
      <c r="E467" s="168">
        <f t="shared" si="134"/>
        <v>0</v>
      </c>
      <c r="F467" s="167">
        <f t="shared" si="134"/>
        <v>0</v>
      </c>
      <c r="G467" s="168">
        <f t="shared" si="134"/>
        <v>0</v>
      </c>
      <c r="H467" s="169">
        <f t="shared" si="134"/>
        <v>0</v>
      </c>
      <c r="I467" s="169" t="e">
        <f t="shared" ca="1" si="126"/>
        <v>#VALUE!</v>
      </c>
      <c r="J467" s="169">
        <f t="shared" si="125"/>
        <v>0</v>
      </c>
      <c r="K467" s="170">
        <f t="shared" si="125"/>
        <v>0</v>
      </c>
      <c r="L467" s="169">
        <f t="shared" si="125"/>
        <v>0</v>
      </c>
      <c r="M467" s="169">
        <f t="shared" si="125"/>
        <v>0</v>
      </c>
      <c r="N467" s="169" t="e">
        <f t="shared" ca="1" si="127"/>
        <v>#VALUE!</v>
      </c>
      <c r="O467" s="171" t="str">
        <f t="shared" si="128"/>
        <v/>
      </c>
      <c r="P467" s="171" t="str">
        <f t="shared" ca="1" si="129"/>
        <v/>
      </c>
      <c r="Q467" s="170">
        <f t="shared" ca="1" si="130"/>
        <v>0</v>
      </c>
      <c r="R467" s="170">
        <f t="shared" ca="1" si="131"/>
        <v>0</v>
      </c>
      <c r="S467" s="171" t="b">
        <f t="shared" si="132"/>
        <v>0</v>
      </c>
      <c r="T467" s="171" t="b">
        <f t="shared" ca="1" si="133"/>
        <v>0</v>
      </c>
      <c r="U467" s="172"/>
    </row>
    <row r="468" spans="1:21" hidden="1">
      <c r="A468" s="143">
        <v>411</v>
      </c>
      <c r="B468" s="167">
        <f t="shared" si="134"/>
        <v>0</v>
      </c>
      <c r="C468" s="167">
        <f t="shared" si="134"/>
        <v>0</v>
      </c>
      <c r="D468" s="167">
        <f t="shared" si="134"/>
        <v>0</v>
      </c>
      <c r="E468" s="168">
        <f t="shared" si="134"/>
        <v>0</v>
      </c>
      <c r="F468" s="167">
        <f t="shared" si="134"/>
        <v>0</v>
      </c>
      <c r="G468" s="168">
        <f t="shared" si="134"/>
        <v>0</v>
      </c>
      <c r="H468" s="169">
        <f t="shared" si="134"/>
        <v>0</v>
      </c>
      <c r="I468" s="169" t="e">
        <f t="shared" ca="1" si="126"/>
        <v>#VALUE!</v>
      </c>
      <c r="J468" s="169">
        <f t="shared" si="125"/>
        <v>0</v>
      </c>
      <c r="K468" s="170">
        <f t="shared" si="125"/>
        <v>0</v>
      </c>
      <c r="L468" s="169">
        <f t="shared" si="125"/>
        <v>0</v>
      </c>
      <c r="M468" s="169">
        <f t="shared" si="125"/>
        <v>0</v>
      </c>
      <c r="N468" s="169" t="e">
        <f t="shared" ca="1" si="127"/>
        <v>#VALUE!</v>
      </c>
      <c r="O468" s="171" t="str">
        <f t="shared" si="128"/>
        <v/>
      </c>
      <c r="P468" s="171" t="str">
        <f t="shared" ca="1" si="129"/>
        <v/>
      </c>
      <c r="Q468" s="170">
        <f t="shared" ca="1" si="130"/>
        <v>0</v>
      </c>
      <c r="R468" s="170">
        <f t="shared" ca="1" si="131"/>
        <v>0</v>
      </c>
      <c r="S468" s="171" t="b">
        <f t="shared" si="132"/>
        <v>0</v>
      </c>
      <c r="T468" s="171" t="b">
        <f t="shared" ca="1" si="133"/>
        <v>0</v>
      </c>
      <c r="U468" s="172"/>
    </row>
    <row r="469" spans="1:21" hidden="1">
      <c r="A469" s="143">
        <v>412</v>
      </c>
      <c r="B469" s="167">
        <f t="shared" si="134"/>
        <v>0</v>
      </c>
      <c r="C469" s="167">
        <f t="shared" si="134"/>
        <v>0</v>
      </c>
      <c r="D469" s="167">
        <f t="shared" si="134"/>
        <v>0</v>
      </c>
      <c r="E469" s="168">
        <f t="shared" si="134"/>
        <v>0</v>
      </c>
      <c r="F469" s="167">
        <f t="shared" si="134"/>
        <v>0</v>
      </c>
      <c r="G469" s="168">
        <f t="shared" si="134"/>
        <v>0</v>
      </c>
      <c r="H469" s="169">
        <f t="shared" si="134"/>
        <v>0</v>
      </c>
      <c r="I469" s="169" t="e">
        <f t="shared" ca="1" si="126"/>
        <v>#VALUE!</v>
      </c>
      <c r="J469" s="169">
        <f t="shared" si="125"/>
        <v>0</v>
      </c>
      <c r="K469" s="170">
        <f t="shared" si="125"/>
        <v>0</v>
      </c>
      <c r="L469" s="169">
        <f t="shared" si="125"/>
        <v>0</v>
      </c>
      <c r="M469" s="169">
        <f t="shared" si="125"/>
        <v>0</v>
      </c>
      <c r="N469" s="169" t="e">
        <f t="shared" ca="1" si="127"/>
        <v>#VALUE!</v>
      </c>
      <c r="O469" s="171" t="str">
        <f t="shared" si="128"/>
        <v/>
      </c>
      <c r="P469" s="171" t="str">
        <f t="shared" ca="1" si="129"/>
        <v/>
      </c>
      <c r="Q469" s="170">
        <f t="shared" ca="1" si="130"/>
        <v>0</v>
      </c>
      <c r="R469" s="170">
        <f t="shared" ca="1" si="131"/>
        <v>0</v>
      </c>
      <c r="S469" s="171" t="b">
        <f t="shared" si="132"/>
        <v>0</v>
      </c>
      <c r="T469" s="171" t="b">
        <f t="shared" ca="1" si="133"/>
        <v>0</v>
      </c>
      <c r="U469" s="172"/>
    </row>
    <row r="470" spans="1:21" hidden="1">
      <c r="A470" s="143">
        <v>421</v>
      </c>
      <c r="B470" s="167">
        <f t="shared" si="134"/>
        <v>0</v>
      </c>
      <c r="C470" s="167">
        <f t="shared" si="134"/>
        <v>0</v>
      </c>
      <c r="D470" s="167">
        <f t="shared" si="134"/>
        <v>0</v>
      </c>
      <c r="E470" s="168">
        <f t="shared" si="134"/>
        <v>0</v>
      </c>
      <c r="F470" s="167">
        <f t="shared" si="134"/>
        <v>0</v>
      </c>
      <c r="G470" s="168">
        <f t="shared" si="134"/>
        <v>0</v>
      </c>
      <c r="H470" s="169">
        <f t="shared" si="134"/>
        <v>0</v>
      </c>
      <c r="I470" s="169" t="e">
        <f t="shared" ca="1" si="126"/>
        <v>#VALUE!</v>
      </c>
      <c r="J470" s="169">
        <f t="shared" si="125"/>
        <v>0</v>
      </c>
      <c r="K470" s="170">
        <f t="shared" si="125"/>
        <v>0</v>
      </c>
      <c r="L470" s="169">
        <f t="shared" si="125"/>
        <v>0</v>
      </c>
      <c r="M470" s="169">
        <f t="shared" si="125"/>
        <v>0</v>
      </c>
      <c r="N470" s="169" t="e">
        <f t="shared" ca="1" si="127"/>
        <v>#VALUE!</v>
      </c>
      <c r="O470" s="171" t="str">
        <f t="shared" si="128"/>
        <v/>
      </c>
      <c r="P470" s="171" t="str">
        <f t="shared" ca="1" si="129"/>
        <v/>
      </c>
      <c r="Q470" s="170">
        <f t="shared" ca="1" si="130"/>
        <v>0</v>
      </c>
      <c r="R470" s="170">
        <f t="shared" ca="1" si="131"/>
        <v>0</v>
      </c>
      <c r="S470" s="171" t="b">
        <f t="shared" si="132"/>
        <v>0</v>
      </c>
      <c r="T470" s="171" t="b">
        <f t="shared" ca="1" si="133"/>
        <v>0</v>
      </c>
      <c r="U470" s="172"/>
    </row>
    <row r="471" spans="1:21" hidden="1">
      <c r="A471" s="143">
        <v>422</v>
      </c>
      <c r="B471" s="167">
        <f t="shared" ref="B471:H481" si="135">IF($A471&lt;=$A$8,INDEX(Import.PO,$A471,B$8),0)</f>
        <v>0</v>
      </c>
      <c r="C471" s="167">
        <f t="shared" si="135"/>
        <v>0</v>
      </c>
      <c r="D471" s="167">
        <f t="shared" si="135"/>
        <v>0</v>
      </c>
      <c r="E471" s="168">
        <f t="shared" si="135"/>
        <v>0</v>
      </c>
      <c r="F471" s="167">
        <f t="shared" si="135"/>
        <v>0</v>
      </c>
      <c r="G471" s="168">
        <f t="shared" si="135"/>
        <v>0</v>
      </c>
      <c r="H471" s="169">
        <f t="shared" si="135"/>
        <v>0</v>
      </c>
      <c r="I471" s="169" t="e">
        <f t="shared" ca="1" si="126"/>
        <v>#VALUE!</v>
      </c>
      <c r="J471" s="169">
        <f t="shared" ref="J471:M481" si="136">IF($A471&lt;=$A$8,INDEX(Import.PO,$A471,J$8),0)</f>
        <v>0</v>
      </c>
      <c r="K471" s="170">
        <f t="shared" si="136"/>
        <v>0</v>
      </c>
      <c r="L471" s="169">
        <f t="shared" si="136"/>
        <v>0</v>
      </c>
      <c r="M471" s="169">
        <f t="shared" si="136"/>
        <v>0</v>
      </c>
      <c r="N471" s="169" t="e">
        <f t="shared" ca="1" si="127"/>
        <v>#VALUE!</v>
      </c>
      <c r="O471" s="171" t="str">
        <f t="shared" si="128"/>
        <v/>
      </c>
      <c r="P471" s="171" t="str">
        <f t="shared" ca="1" si="129"/>
        <v/>
      </c>
      <c r="Q471" s="170">
        <f t="shared" ca="1" si="130"/>
        <v>0</v>
      </c>
      <c r="R471" s="170">
        <f t="shared" ca="1" si="131"/>
        <v>0</v>
      </c>
      <c r="S471" s="171" t="b">
        <f t="shared" si="132"/>
        <v>0</v>
      </c>
      <c r="T471" s="171" t="b">
        <f t="shared" ca="1" si="133"/>
        <v>0</v>
      </c>
      <c r="U471" s="172"/>
    </row>
    <row r="472" spans="1:21" hidden="1">
      <c r="A472" s="143">
        <v>425</v>
      </c>
      <c r="B472" s="167">
        <f t="shared" si="135"/>
        <v>0</v>
      </c>
      <c r="C472" s="167">
        <f t="shared" si="135"/>
        <v>0</v>
      </c>
      <c r="D472" s="167">
        <f t="shared" si="135"/>
        <v>0</v>
      </c>
      <c r="E472" s="168">
        <f t="shared" si="135"/>
        <v>0</v>
      </c>
      <c r="F472" s="167">
        <f t="shared" si="135"/>
        <v>0</v>
      </c>
      <c r="G472" s="168">
        <f t="shared" si="135"/>
        <v>0</v>
      </c>
      <c r="H472" s="169">
        <f t="shared" si="135"/>
        <v>0</v>
      </c>
      <c r="I472" s="169" t="e">
        <f t="shared" ca="1" si="126"/>
        <v>#VALUE!</v>
      </c>
      <c r="J472" s="169">
        <f t="shared" si="136"/>
        <v>0</v>
      </c>
      <c r="K472" s="170">
        <f t="shared" si="136"/>
        <v>0</v>
      </c>
      <c r="L472" s="169">
        <f t="shared" si="136"/>
        <v>0</v>
      </c>
      <c r="M472" s="169">
        <f t="shared" si="136"/>
        <v>0</v>
      </c>
      <c r="N472" s="169" t="e">
        <f t="shared" ca="1" si="127"/>
        <v>#VALUE!</v>
      </c>
      <c r="O472" s="171" t="str">
        <f t="shared" si="128"/>
        <v/>
      </c>
      <c r="P472" s="171" t="str">
        <f t="shared" ca="1" si="129"/>
        <v/>
      </c>
      <c r="Q472" s="170">
        <f t="shared" ca="1" si="130"/>
        <v>0</v>
      </c>
      <c r="R472" s="170">
        <f t="shared" ca="1" si="131"/>
        <v>0</v>
      </c>
      <c r="S472" s="171" t="b">
        <f t="shared" si="132"/>
        <v>0</v>
      </c>
      <c r="T472" s="171" t="b">
        <f t="shared" ca="1" si="133"/>
        <v>0</v>
      </c>
      <c r="U472" s="172"/>
    </row>
    <row r="473" spans="1:21" hidden="1">
      <c r="A473" s="143">
        <v>426</v>
      </c>
      <c r="B473" s="167">
        <f t="shared" si="135"/>
        <v>0</v>
      </c>
      <c r="C473" s="167">
        <f t="shared" si="135"/>
        <v>0</v>
      </c>
      <c r="D473" s="167">
        <f t="shared" si="135"/>
        <v>0</v>
      </c>
      <c r="E473" s="168">
        <f t="shared" si="135"/>
        <v>0</v>
      </c>
      <c r="F473" s="167">
        <f t="shared" si="135"/>
        <v>0</v>
      </c>
      <c r="G473" s="168">
        <f t="shared" si="135"/>
        <v>0</v>
      </c>
      <c r="H473" s="169">
        <f t="shared" si="135"/>
        <v>0</v>
      </c>
      <c r="I473" s="169" t="e">
        <f t="shared" ca="1" si="126"/>
        <v>#VALUE!</v>
      </c>
      <c r="J473" s="169">
        <f t="shared" si="136"/>
        <v>0</v>
      </c>
      <c r="K473" s="170">
        <f t="shared" si="136"/>
        <v>0</v>
      </c>
      <c r="L473" s="169">
        <f t="shared" si="136"/>
        <v>0</v>
      </c>
      <c r="M473" s="169">
        <f t="shared" si="136"/>
        <v>0</v>
      </c>
      <c r="N473" s="169" t="e">
        <f t="shared" ca="1" si="127"/>
        <v>#VALUE!</v>
      </c>
      <c r="O473" s="171" t="str">
        <f t="shared" si="128"/>
        <v/>
      </c>
      <c r="P473" s="171" t="str">
        <f t="shared" ca="1" si="129"/>
        <v/>
      </c>
      <c r="Q473" s="170">
        <f t="shared" ca="1" si="130"/>
        <v>0</v>
      </c>
      <c r="R473" s="170">
        <f t="shared" ca="1" si="131"/>
        <v>0</v>
      </c>
      <c r="S473" s="171" t="b">
        <f t="shared" si="132"/>
        <v>0</v>
      </c>
      <c r="T473" s="171" t="b">
        <f t="shared" ca="1" si="133"/>
        <v>0</v>
      </c>
      <c r="U473" s="172"/>
    </row>
    <row r="474" spans="1:21" hidden="1">
      <c r="A474" s="143">
        <v>427</v>
      </c>
      <c r="B474" s="167">
        <f t="shared" si="135"/>
        <v>0</v>
      </c>
      <c r="C474" s="167">
        <f t="shared" si="135"/>
        <v>0</v>
      </c>
      <c r="D474" s="167">
        <f t="shared" si="135"/>
        <v>0</v>
      </c>
      <c r="E474" s="168">
        <f t="shared" si="135"/>
        <v>0</v>
      </c>
      <c r="F474" s="167">
        <f t="shared" si="135"/>
        <v>0</v>
      </c>
      <c r="G474" s="168">
        <f t="shared" si="135"/>
        <v>0</v>
      </c>
      <c r="H474" s="169">
        <f t="shared" si="135"/>
        <v>0</v>
      </c>
      <c r="I474" s="169" t="e">
        <f t="shared" ca="1" si="126"/>
        <v>#VALUE!</v>
      </c>
      <c r="J474" s="169">
        <f t="shared" si="136"/>
        <v>0</v>
      </c>
      <c r="K474" s="170">
        <f t="shared" si="136"/>
        <v>0</v>
      </c>
      <c r="L474" s="169">
        <f t="shared" si="136"/>
        <v>0</v>
      </c>
      <c r="M474" s="169">
        <f t="shared" si="136"/>
        <v>0</v>
      </c>
      <c r="N474" s="169" t="e">
        <f t="shared" ca="1" si="127"/>
        <v>#VALUE!</v>
      </c>
      <c r="O474" s="171" t="str">
        <f t="shared" si="128"/>
        <v/>
      </c>
      <c r="P474" s="171" t="str">
        <f t="shared" ca="1" si="129"/>
        <v/>
      </c>
      <c r="Q474" s="170">
        <f t="shared" ca="1" si="130"/>
        <v>0</v>
      </c>
      <c r="R474" s="170">
        <f t="shared" ca="1" si="131"/>
        <v>0</v>
      </c>
      <c r="S474" s="171" t="b">
        <f t="shared" si="132"/>
        <v>0</v>
      </c>
      <c r="T474" s="171" t="b">
        <f t="shared" ca="1" si="133"/>
        <v>0</v>
      </c>
      <c r="U474" s="172"/>
    </row>
    <row r="475" spans="1:21" hidden="1">
      <c r="A475" s="143">
        <v>430</v>
      </c>
      <c r="B475" s="167">
        <f t="shared" si="135"/>
        <v>0</v>
      </c>
      <c r="C475" s="167">
        <f t="shared" si="135"/>
        <v>0</v>
      </c>
      <c r="D475" s="167">
        <f t="shared" si="135"/>
        <v>0</v>
      </c>
      <c r="E475" s="168">
        <f t="shared" si="135"/>
        <v>0</v>
      </c>
      <c r="F475" s="167">
        <f t="shared" si="135"/>
        <v>0</v>
      </c>
      <c r="G475" s="168">
        <f t="shared" si="135"/>
        <v>0</v>
      </c>
      <c r="H475" s="169">
        <f t="shared" si="135"/>
        <v>0</v>
      </c>
      <c r="I475" s="169" t="e">
        <f t="shared" ca="1" si="126"/>
        <v>#VALUE!</v>
      </c>
      <c r="J475" s="169">
        <f t="shared" si="136"/>
        <v>0</v>
      </c>
      <c r="K475" s="170">
        <f t="shared" si="136"/>
        <v>0</v>
      </c>
      <c r="L475" s="169">
        <f t="shared" si="136"/>
        <v>0</v>
      </c>
      <c r="M475" s="169">
        <f t="shared" si="136"/>
        <v>0</v>
      </c>
      <c r="N475" s="169" t="e">
        <f t="shared" ca="1" si="127"/>
        <v>#VALUE!</v>
      </c>
      <c r="O475" s="171" t="str">
        <f t="shared" si="128"/>
        <v/>
      </c>
      <c r="P475" s="171" t="str">
        <f t="shared" ca="1" si="129"/>
        <v/>
      </c>
      <c r="Q475" s="170">
        <f t="shared" ca="1" si="130"/>
        <v>0</v>
      </c>
      <c r="R475" s="170">
        <f t="shared" ca="1" si="131"/>
        <v>0</v>
      </c>
      <c r="S475" s="171" t="b">
        <f t="shared" si="132"/>
        <v>0</v>
      </c>
      <c r="T475" s="171" t="b">
        <f t="shared" ca="1" si="133"/>
        <v>0</v>
      </c>
      <c r="U475" s="172"/>
    </row>
    <row r="476" spans="1:21" hidden="1">
      <c r="A476" s="143">
        <v>439</v>
      </c>
      <c r="B476" s="167">
        <f t="shared" si="135"/>
        <v>0</v>
      </c>
      <c r="C476" s="167">
        <f t="shared" si="135"/>
        <v>0</v>
      </c>
      <c r="D476" s="167">
        <f t="shared" si="135"/>
        <v>0</v>
      </c>
      <c r="E476" s="168">
        <f t="shared" si="135"/>
        <v>0</v>
      </c>
      <c r="F476" s="167">
        <f t="shared" si="135"/>
        <v>0</v>
      </c>
      <c r="G476" s="168">
        <f t="shared" si="135"/>
        <v>0</v>
      </c>
      <c r="H476" s="169">
        <f t="shared" si="135"/>
        <v>0</v>
      </c>
      <c r="I476" s="169" t="e">
        <f t="shared" ca="1" si="126"/>
        <v>#VALUE!</v>
      </c>
      <c r="J476" s="169">
        <f t="shared" si="136"/>
        <v>0</v>
      </c>
      <c r="K476" s="170">
        <f t="shared" si="136"/>
        <v>0</v>
      </c>
      <c r="L476" s="169">
        <f t="shared" si="136"/>
        <v>0</v>
      </c>
      <c r="M476" s="169">
        <f t="shared" si="136"/>
        <v>0</v>
      </c>
      <c r="N476" s="169" t="e">
        <f t="shared" ca="1" si="127"/>
        <v>#VALUE!</v>
      </c>
      <c r="O476" s="171" t="str">
        <f t="shared" si="128"/>
        <v/>
      </c>
      <c r="P476" s="171" t="str">
        <f t="shared" ca="1" si="129"/>
        <v/>
      </c>
      <c r="Q476" s="170">
        <f t="shared" ca="1" si="130"/>
        <v>0</v>
      </c>
      <c r="R476" s="170">
        <f t="shared" ca="1" si="131"/>
        <v>0</v>
      </c>
      <c r="S476" s="171" t="b">
        <f t="shared" si="132"/>
        <v>0</v>
      </c>
      <c r="T476" s="171" t="b">
        <f t="shared" ca="1" si="133"/>
        <v>0</v>
      </c>
      <c r="U476" s="172"/>
    </row>
    <row r="477" spans="1:21" hidden="1">
      <c r="A477" s="143">
        <v>440</v>
      </c>
      <c r="B477" s="167">
        <f t="shared" si="135"/>
        <v>0</v>
      </c>
      <c r="C477" s="167">
        <f t="shared" si="135"/>
        <v>0</v>
      </c>
      <c r="D477" s="167">
        <f t="shared" si="135"/>
        <v>0</v>
      </c>
      <c r="E477" s="168">
        <f t="shared" si="135"/>
        <v>0</v>
      </c>
      <c r="F477" s="167">
        <f t="shared" si="135"/>
        <v>0</v>
      </c>
      <c r="G477" s="168">
        <f t="shared" si="135"/>
        <v>0</v>
      </c>
      <c r="H477" s="169">
        <f t="shared" si="135"/>
        <v>0</v>
      </c>
      <c r="I477" s="169" t="e">
        <f t="shared" ca="1" si="126"/>
        <v>#VALUE!</v>
      </c>
      <c r="J477" s="169">
        <f t="shared" si="136"/>
        <v>0</v>
      </c>
      <c r="K477" s="170">
        <f t="shared" si="136"/>
        <v>0</v>
      </c>
      <c r="L477" s="169">
        <f t="shared" si="136"/>
        <v>0</v>
      </c>
      <c r="M477" s="169">
        <f t="shared" si="136"/>
        <v>0</v>
      </c>
      <c r="N477" s="169" t="e">
        <f t="shared" ca="1" si="127"/>
        <v>#VALUE!</v>
      </c>
      <c r="O477" s="171" t="str">
        <f t="shared" si="128"/>
        <v/>
      </c>
      <c r="P477" s="171" t="str">
        <f t="shared" ca="1" si="129"/>
        <v/>
      </c>
      <c r="Q477" s="170">
        <f t="shared" ca="1" si="130"/>
        <v>0</v>
      </c>
      <c r="R477" s="170">
        <f t="shared" ca="1" si="131"/>
        <v>0</v>
      </c>
      <c r="S477" s="171" t="b">
        <f t="shared" si="132"/>
        <v>0</v>
      </c>
      <c r="T477" s="171" t="b">
        <f t="shared" ca="1" si="133"/>
        <v>0</v>
      </c>
      <c r="U477" s="172"/>
    </row>
    <row r="478" spans="1:21" hidden="1">
      <c r="A478" s="143">
        <v>458</v>
      </c>
      <c r="B478" s="167">
        <f t="shared" si="135"/>
        <v>0</v>
      </c>
      <c r="C478" s="167">
        <f t="shared" si="135"/>
        <v>0</v>
      </c>
      <c r="D478" s="167">
        <f t="shared" si="135"/>
        <v>0</v>
      </c>
      <c r="E478" s="168">
        <f t="shared" si="135"/>
        <v>0</v>
      </c>
      <c r="F478" s="167">
        <f t="shared" si="135"/>
        <v>0</v>
      </c>
      <c r="G478" s="168">
        <f t="shared" si="135"/>
        <v>0</v>
      </c>
      <c r="H478" s="169">
        <f t="shared" si="135"/>
        <v>0</v>
      </c>
      <c r="I478" s="169" t="e">
        <f t="shared" ca="1" si="126"/>
        <v>#VALUE!</v>
      </c>
      <c r="J478" s="169">
        <f t="shared" si="136"/>
        <v>0</v>
      </c>
      <c r="K478" s="170">
        <f t="shared" si="136"/>
        <v>0</v>
      </c>
      <c r="L478" s="169">
        <f t="shared" si="136"/>
        <v>0</v>
      </c>
      <c r="M478" s="169">
        <f t="shared" si="136"/>
        <v>0</v>
      </c>
      <c r="N478" s="169" t="e">
        <f t="shared" ca="1" si="127"/>
        <v>#VALUE!</v>
      </c>
      <c r="O478" s="171" t="str">
        <f t="shared" si="128"/>
        <v/>
      </c>
      <c r="P478" s="171" t="str">
        <f t="shared" ca="1" si="129"/>
        <v/>
      </c>
      <c r="Q478" s="170">
        <f t="shared" ca="1" si="130"/>
        <v>0</v>
      </c>
      <c r="R478" s="170">
        <f t="shared" ca="1" si="131"/>
        <v>0</v>
      </c>
      <c r="S478" s="171" t="b">
        <f t="shared" si="132"/>
        <v>0</v>
      </c>
      <c r="T478" s="171" t="b">
        <f t="shared" ca="1" si="133"/>
        <v>0</v>
      </c>
      <c r="U478" s="172"/>
    </row>
    <row r="479" spans="1:21" hidden="1">
      <c r="A479" s="143">
        <v>461</v>
      </c>
      <c r="B479" s="167">
        <f t="shared" si="135"/>
        <v>0</v>
      </c>
      <c r="C479" s="167">
        <f t="shared" si="135"/>
        <v>0</v>
      </c>
      <c r="D479" s="167">
        <f t="shared" si="135"/>
        <v>0</v>
      </c>
      <c r="E479" s="168">
        <f t="shared" si="135"/>
        <v>0</v>
      </c>
      <c r="F479" s="167">
        <f t="shared" si="135"/>
        <v>0</v>
      </c>
      <c r="G479" s="168">
        <f t="shared" si="135"/>
        <v>0</v>
      </c>
      <c r="H479" s="169">
        <f t="shared" si="135"/>
        <v>0</v>
      </c>
      <c r="I479" s="169" t="e">
        <f t="shared" ca="1" si="126"/>
        <v>#VALUE!</v>
      </c>
      <c r="J479" s="169">
        <f t="shared" si="136"/>
        <v>0</v>
      </c>
      <c r="K479" s="170">
        <f t="shared" si="136"/>
        <v>0</v>
      </c>
      <c r="L479" s="169">
        <f t="shared" si="136"/>
        <v>0</v>
      </c>
      <c r="M479" s="169">
        <f t="shared" si="136"/>
        <v>0</v>
      </c>
      <c r="N479" s="169" t="e">
        <f t="shared" ca="1" si="127"/>
        <v>#VALUE!</v>
      </c>
      <c r="O479" s="171" t="str">
        <f t="shared" si="128"/>
        <v/>
      </c>
      <c r="P479" s="171" t="str">
        <f t="shared" ca="1" si="129"/>
        <v/>
      </c>
      <c r="Q479" s="170">
        <f t="shared" ca="1" si="130"/>
        <v>0</v>
      </c>
      <c r="R479" s="170">
        <f t="shared" ca="1" si="131"/>
        <v>0</v>
      </c>
      <c r="S479" s="171" t="b">
        <f t="shared" si="132"/>
        <v>0</v>
      </c>
      <c r="T479" s="171" t="b">
        <f t="shared" ca="1" si="133"/>
        <v>0</v>
      </c>
      <c r="U479" s="172"/>
    </row>
    <row r="480" spans="1:21" hidden="1">
      <c r="A480" s="143">
        <v>462</v>
      </c>
      <c r="B480" s="167">
        <f t="shared" si="135"/>
        <v>0</v>
      </c>
      <c r="C480" s="167">
        <f t="shared" si="135"/>
        <v>0</v>
      </c>
      <c r="D480" s="167">
        <f t="shared" si="135"/>
        <v>0</v>
      </c>
      <c r="E480" s="168">
        <f t="shared" si="135"/>
        <v>0</v>
      </c>
      <c r="F480" s="167">
        <f t="shared" si="135"/>
        <v>0</v>
      </c>
      <c r="G480" s="168">
        <f t="shared" si="135"/>
        <v>0</v>
      </c>
      <c r="H480" s="169">
        <f t="shared" si="135"/>
        <v>0</v>
      </c>
      <c r="I480" s="169" t="e">
        <f t="shared" ca="1" si="126"/>
        <v>#VALUE!</v>
      </c>
      <c r="J480" s="169">
        <f t="shared" si="136"/>
        <v>0</v>
      </c>
      <c r="K480" s="170">
        <f t="shared" si="136"/>
        <v>0</v>
      </c>
      <c r="L480" s="169">
        <f t="shared" si="136"/>
        <v>0</v>
      </c>
      <c r="M480" s="169">
        <f t="shared" si="136"/>
        <v>0</v>
      </c>
      <c r="N480" s="169" t="e">
        <f t="shared" ca="1" si="127"/>
        <v>#VALUE!</v>
      </c>
      <c r="O480" s="171" t="str">
        <f t="shared" si="128"/>
        <v/>
      </c>
      <c r="P480" s="171" t="str">
        <f t="shared" ca="1" si="129"/>
        <v/>
      </c>
      <c r="Q480" s="170">
        <f t="shared" ca="1" si="130"/>
        <v>0</v>
      </c>
      <c r="R480" s="170">
        <f t="shared" ca="1" si="131"/>
        <v>0</v>
      </c>
      <c r="S480" s="171" t="b">
        <f t="shared" si="132"/>
        <v>0</v>
      </c>
      <c r="T480" s="171" t="b">
        <f t="shared" ca="1" si="133"/>
        <v>0</v>
      </c>
      <c r="U480" s="172"/>
    </row>
    <row r="481" spans="1:21" hidden="1">
      <c r="A481" s="143">
        <v>469</v>
      </c>
      <c r="B481" s="167">
        <f t="shared" si="135"/>
        <v>0</v>
      </c>
      <c r="C481" s="167">
        <f t="shared" si="135"/>
        <v>0</v>
      </c>
      <c r="D481" s="167">
        <f t="shared" si="135"/>
        <v>0</v>
      </c>
      <c r="E481" s="168">
        <f t="shared" si="135"/>
        <v>0</v>
      </c>
      <c r="F481" s="167">
        <f t="shared" si="135"/>
        <v>0</v>
      </c>
      <c r="G481" s="168">
        <f t="shared" si="135"/>
        <v>0</v>
      </c>
      <c r="H481" s="169">
        <f t="shared" si="135"/>
        <v>0</v>
      </c>
      <c r="I481" s="169" t="e">
        <f t="shared" ca="1" si="126"/>
        <v>#VALUE!</v>
      </c>
      <c r="J481" s="169">
        <f t="shared" si="136"/>
        <v>0</v>
      </c>
      <c r="K481" s="170">
        <f t="shared" si="136"/>
        <v>0</v>
      </c>
      <c r="L481" s="169">
        <f t="shared" si="136"/>
        <v>0</v>
      </c>
      <c r="M481" s="169">
        <f t="shared" si="136"/>
        <v>0</v>
      </c>
      <c r="N481" s="169" t="e">
        <f t="shared" ca="1" si="127"/>
        <v>#VALUE!</v>
      </c>
      <c r="O481" s="171" t="str">
        <f t="shared" si="128"/>
        <v/>
      </c>
      <c r="P481" s="171" t="str">
        <f t="shared" ca="1" si="129"/>
        <v/>
      </c>
      <c r="Q481" s="170">
        <f t="shared" ca="1" si="130"/>
        <v>0</v>
      </c>
      <c r="R481" s="170">
        <f t="shared" ca="1" si="131"/>
        <v>0</v>
      </c>
      <c r="S481" s="171" t="b">
        <f t="shared" si="132"/>
        <v>0</v>
      </c>
      <c r="T481" s="171" t="b">
        <f t="shared" ca="1" si="133"/>
        <v>0</v>
      </c>
      <c r="U481" s="172"/>
    </row>
    <row r="482" spans="1:21" ht="12.75" customHeight="1">
      <c r="A482" s="165"/>
      <c r="B482" s="165"/>
      <c r="C482" s="165"/>
      <c r="D482" s="165"/>
      <c r="E482" s="166"/>
      <c r="F482" s="165"/>
      <c r="G482" s="166"/>
      <c r="H482" s="165"/>
      <c r="I482" s="165"/>
      <c r="J482" s="165"/>
      <c r="K482" s="166"/>
      <c r="L482" s="165"/>
      <c r="M482" s="165"/>
      <c r="N482" s="165"/>
      <c r="O482" s="165"/>
      <c r="P482" s="165"/>
      <c r="Q482" s="166"/>
      <c r="R482" s="166"/>
      <c r="S482" s="165"/>
      <c r="T482" s="165"/>
      <c r="U482" s="166"/>
    </row>
    <row r="483" spans="1:21" ht="12.75" customHeight="1">
      <c r="A483" s="52"/>
      <c r="B483" s="290" t="s">
        <v>8</v>
      </c>
      <c r="C483" s="291"/>
      <c r="D483" s="291"/>
      <c r="E483" s="291"/>
      <c r="F483" s="291"/>
      <c r="G483" s="291"/>
      <c r="H483" s="291"/>
      <c r="I483" s="291"/>
      <c r="J483" s="291"/>
      <c r="K483" s="291"/>
      <c r="L483" s="291"/>
      <c r="M483" s="291"/>
      <c r="N483" s="291"/>
      <c r="O483" s="291"/>
      <c r="P483" s="291"/>
      <c r="Q483" s="291"/>
      <c r="R483" s="291"/>
      <c r="S483" s="291"/>
      <c r="T483" s="291"/>
      <c r="U483" s="292"/>
    </row>
    <row r="484" spans="1:21" ht="12.75" customHeight="1">
      <c r="A484" s="52"/>
      <c r="B484" s="261"/>
      <c r="C484" s="262"/>
      <c r="D484" s="262"/>
      <c r="E484" s="262"/>
      <c r="F484" s="262"/>
      <c r="G484" s="262"/>
      <c r="H484" s="262"/>
      <c r="I484" s="262"/>
      <c r="J484" s="262"/>
      <c r="K484" s="262"/>
      <c r="L484" s="262"/>
      <c r="M484" s="262"/>
      <c r="N484" s="262"/>
      <c r="O484" s="262"/>
      <c r="P484" s="262"/>
      <c r="Q484" s="262"/>
      <c r="R484" s="262"/>
      <c r="S484" s="262"/>
      <c r="T484" s="262"/>
      <c r="U484" s="263"/>
    </row>
    <row r="485" spans="1:21" ht="12.75" customHeight="1">
      <c r="A485" s="52"/>
      <c r="B485" s="261"/>
      <c r="C485" s="262"/>
      <c r="D485" s="262"/>
      <c r="E485" s="262"/>
      <c r="F485" s="262"/>
      <c r="G485" s="262"/>
      <c r="H485" s="262"/>
      <c r="I485" s="262"/>
      <c r="J485" s="262"/>
      <c r="K485" s="262"/>
      <c r="L485" s="262"/>
      <c r="M485" s="262"/>
      <c r="N485" s="262"/>
      <c r="O485" s="262"/>
      <c r="P485" s="262"/>
      <c r="Q485" s="262"/>
      <c r="R485" s="262"/>
      <c r="S485" s="262"/>
      <c r="T485" s="262"/>
      <c r="U485" s="263"/>
    </row>
    <row r="486" spans="1:21" ht="12.75" customHeight="1">
      <c r="A486" s="52"/>
      <c r="B486" s="264"/>
      <c r="C486" s="265"/>
      <c r="D486" s="265"/>
      <c r="E486" s="265"/>
      <c r="F486" s="265"/>
      <c r="G486" s="265"/>
      <c r="H486" s="265"/>
      <c r="I486" s="265"/>
      <c r="J486" s="265"/>
      <c r="K486" s="265"/>
      <c r="L486" s="265"/>
      <c r="M486" s="265"/>
      <c r="N486" s="265"/>
      <c r="O486" s="265"/>
      <c r="P486" s="265"/>
      <c r="Q486" s="265"/>
      <c r="R486" s="265"/>
      <c r="S486" s="265"/>
      <c r="T486" s="265"/>
      <c r="U486" s="266"/>
    </row>
    <row r="487" spans="1:21" ht="33.75" customHeight="1">
      <c r="A487" s="52"/>
      <c r="B487" s="52"/>
      <c r="C487" s="52"/>
      <c r="D487" s="52"/>
      <c r="E487" s="192"/>
      <c r="F487" s="52"/>
      <c r="G487" s="192"/>
      <c r="H487" s="52"/>
      <c r="I487" s="52"/>
      <c r="J487" s="52"/>
      <c r="K487" s="192"/>
      <c r="L487" s="52"/>
      <c r="M487" s="52"/>
      <c r="N487" s="52"/>
      <c r="O487" s="52"/>
      <c r="P487" s="52"/>
      <c r="Q487" s="192"/>
      <c r="R487" s="192"/>
      <c r="S487" s="52"/>
      <c r="T487" s="52"/>
      <c r="U487" s="192"/>
    </row>
    <row r="488" spans="1:21" ht="12.75" customHeight="1">
      <c r="B488" s="293"/>
      <c r="C488" s="293"/>
      <c r="D488" s="293"/>
      <c r="E488" s="293"/>
      <c r="Q488" s="177"/>
      <c r="R488" s="177"/>
      <c r="S488" s="180"/>
      <c r="T488" s="180"/>
      <c r="U488" s="177"/>
    </row>
    <row r="489" spans="1:21">
      <c r="B489" s="296" t="s">
        <v>121</v>
      </c>
      <c r="C489" s="296"/>
      <c r="D489" s="296"/>
      <c r="E489" s="296"/>
      <c r="Q489" s="294" t="s">
        <v>118</v>
      </c>
      <c r="R489" s="294"/>
      <c r="S489" s="294"/>
      <c r="T489" s="294"/>
      <c r="U489" s="294"/>
    </row>
    <row r="490" spans="1:21">
      <c r="Q490" s="178" t="s">
        <v>31</v>
      </c>
      <c r="R490" s="295"/>
      <c r="S490" s="295"/>
      <c r="T490" s="295"/>
      <c r="U490" s="295"/>
    </row>
    <row r="491" spans="1:21">
      <c r="Q491" s="179" t="str">
        <f>IF(Q489="Assistente de Projetos Sociais - Técnico Social / Caixa","Matrícula:","Empresa:")</f>
        <v>Matrícula:</v>
      </c>
      <c r="R491" s="295"/>
      <c r="S491" s="295"/>
      <c r="T491" s="295"/>
      <c r="U491" s="295"/>
    </row>
  </sheetData>
  <sheetProtection algorithmName="SHA-512" hashValue="NiFwaJVHZ2OkiXiKwPSySv3vk5AhZp7SwmQ7zIlmnVqg9KAF7BRISE+cUMGiAmcdZenNAxhoVeRm7HOnKB7/kg==" saltValue="LHimdHCdPhUWPnbF/8o58g==" spinCount="100000" sheet="1" objects="1" scenarios="1" formatRows="0"/>
  <autoFilter ref="A10:U481">
    <filterColumn colId="0" hiddenButton="1"/>
    <filterColumn colId="1" hiddenButton="1">
      <customFilters and="1">
        <customFilter operator="notEqual" val="0"/>
      </customFilters>
    </filterColumn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>
      <customFilters and="1">
        <customFilter operator="greaterThan" val="0"/>
      </customFilters>
    </filterColumn>
    <filterColumn colId="17" hiddenButton="1"/>
    <filterColumn colId="18" hiddenButton="1"/>
    <filterColumn colId="19" hiddenButton="1"/>
    <filterColumn colId="20" hiddenButton="1"/>
  </autoFilter>
  <mergeCells count="7">
    <mergeCell ref="B483:U483"/>
    <mergeCell ref="B488:E488"/>
    <mergeCell ref="Q489:U489"/>
    <mergeCell ref="R490:U490"/>
    <mergeCell ref="R491:U491"/>
    <mergeCell ref="B489:E489"/>
    <mergeCell ref="B484:U486"/>
  </mergeCells>
  <phoneticPr fontId="43" type="noConversion"/>
  <dataValidations count="3">
    <dataValidation type="list" allowBlank="1" showInputMessage="1" showErrorMessage="1" error="Escolha entre &quot;Aceito&quot; e &quot;Não Aceito&quot;._x000a_Para insumos não aceitos, detalhar motivo no campo observações." sqref="U9 U11:U481">
      <formula1>"Aceito,Não Aceito"</formula1>
    </dataValidation>
    <dataValidation type="list" allowBlank="1" showInputMessage="1" showErrorMessage="1" promptTitle="Entrada:" prompt="Escolha aqui se APS ou Terceirizado" sqref="Q489:U489">
      <formula1>"Assistente de Projetos Sociais - Técnico Social / Caixa,Responsável Legal pela Empresa Credenciada"</formula1>
    </dataValidation>
    <dataValidation allowBlank="1" showInputMessage="1" showErrorMessage="1" prompt="Escolha entre &quot;Aceito&quot; e &quot;Não Aceito&quot;._x000a_Para insumos não aceitos, detalhar motivo no campo observações." sqref="U10"/>
  </dataValidations>
  <pageMargins left="0.511811024" right="0.511811024" top="0.78740157499999996" bottom="0.78740157499999996" header="0.31496062000000002" footer="0.31496062000000002"/>
  <pageSetup paperSize="9" scale="67" fitToHeight="0" orientation="landscape" horizontalDpi="300" verticalDpi="300" r:id="rId1"/>
  <headerFooter>
    <oddFooter>&amp;LXX.XXX v001  micro</oddFooter>
  </headerFooter>
  <drawing r:id="rId2"/>
  <legacyDrawing r:id="rId3"/>
  <oleObjects>
    <oleObject shapeId="203048" r:id="rId4"/>
  </oleObjects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33</vt:i4>
      </vt:variant>
    </vt:vector>
  </HeadingPairs>
  <TitlesOfParts>
    <vt:vector size="39" baseType="lpstr">
      <vt:lpstr>DADOS</vt:lpstr>
      <vt:lpstr>INSUMOS</vt:lpstr>
      <vt:lpstr>PO</vt:lpstr>
      <vt:lpstr>CFF</vt:lpstr>
      <vt:lpstr>Planilha1</vt:lpstr>
      <vt:lpstr>Plan1</vt:lpstr>
      <vt:lpstr>ABC.LinhaPadrão</vt:lpstr>
      <vt:lpstr>ABC.LinhasExistentes</vt:lpstr>
      <vt:lpstr>ABC.LinhasNecessárias</vt:lpstr>
      <vt:lpstr>ABC.Ordem</vt:lpstr>
      <vt:lpstr>ABC.Serviços</vt:lpstr>
      <vt:lpstr>ABC!Area_de_impressao</vt:lpstr>
      <vt:lpstr>CFF!Area_de_impressao</vt:lpstr>
      <vt:lpstr>DADOS!Area_de_impressao</vt:lpstr>
      <vt:lpstr>PO!Area_de_impressao</vt:lpstr>
      <vt:lpstr>Banco.LP</vt:lpstr>
      <vt:lpstr>Banco.Opção</vt:lpstr>
      <vt:lpstr>Banco.UL</vt:lpstr>
      <vt:lpstr>CFF.Colunas</vt:lpstr>
      <vt:lpstr>CFF.LinhaPadrão</vt:lpstr>
      <vt:lpstr>Dados.Assinatura1</vt:lpstr>
      <vt:lpstr>Dados.Assinatura2</vt:lpstr>
      <vt:lpstr>Dados.Lista.BDI</vt:lpstr>
      <vt:lpstr>Import.Ação</vt:lpstr>
      <vt:lpstr>Import.CR</vt:lpstr>
      <vt:lpstr>Import.DataBase</vt:lpstr>
      <vt:lpstr>Import.DataBaseLicit</vt:lpstr>
      <vt:lpstr>Import.DataInícioObra</vt:lpstr>
      <vt:lpstr>Import.Empresa</vt:lpstr>
      <vt:lpstr>Import.Município</vt:lpstr>
      <vt:lpstr>Import.ObjetoCR</vt:lpstr>
      <vt:lpstr>Import.ObjetoCTEF</vt:lpstr>
      <vt:lpstr>Import.Programa</vt:lpstr>
      <vt:lpstr>Import.Proponente</vt:lpstr>
      <vt:lpstr>NMaxCrono</vt:lpstr>
      <vt:lpstr>PARETO</vt:lpstr>
      <vt:lpstr>PO.LinhaPadrão</vt:lpstr>
      <vt:lpstr>CFF!Titulos_de_impressao</vt:lpstr>
      <vt:lpstr>PO!Titulos_de_impressao</vt:lpstr>
    </vt:vector>
  </TitlesOfParts>
  <Company>caixa econômica federal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Lenz Leite</dc:creator>
  <cp:lastModifiedBy>andrelina.silva</cp:lastModifiedBy>
  <cp:lastPrinted>2019-03-22T13:17:49Z</cp:lastPrinted>
  <dcterms:created xsi:type="dcterms:W3CDTF">1998-03-27T18:43:07Z</dcterms:created>
  <dcterms:modified xsi:type="dcterms:W3CDTF">2019-06-07T19:40:58Z</dcterms:modified>
</cp:coreProperties>
</file>