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lua\SMVO_LICITACAO\LICITAÇÃO\LICITAÇÃO - 2022\EDITAIS\PREGÃO PRESENCIAL\PP xx-2022 - PONTOS DE INTEGRAÇÃO DE ÔNIBUS\MIDIA DIGITAL\"/>
    </mc:Choice>
  </mc:AlternateContent>
  <xr:revisionPtr revIDLastSave="0" documentId="13_ncr:1_{06989E63-EF38-4126-8EA1-21B579B7A1AC}" xr6:coauthVersionLast="47" xr6:coauthVersionMax="47" xr10:uidLastSave="{00000000-0000-0000-0000-000000000000}"/>
  <bookViews>
    <workbookView xWindow="-120" yWindow="-120" windowWidth="29040" windowHeight="15840" tabRatio="897" activeTab="1" xr2:uid="{00000000-000D-0000-FFFF-FFFF00000000}"/>
  </bookViews>
  <sheets>
    <sheet name="RESUMO" sheetId="1" r:id="rId1"/>
    <sheet name="ORÇAMENTO COMPLETO" sheetId="2" r:id="rId2"/>
    <sheet name="ORÇAMENTO MOD.1" sheetId="11" r:id="rId3"/>
    <sheet name="ORÇAMENTO MOD.2" sheetId="12" r:id="rId4"/>
    <sheet name="ORÇAMENTO MOD.4" sheetId="13" r:id="rId5"/>
    <sheet name="ORÇAMENTO MOD.5" sheetId="14" r:id="rId6"/>
    <sheet name="ORÇAMENTO MOD.6" sheetId="15" r:id="rId7"/>
    <sheet name="ORÇAMENTO COBERTURA" sheetId="10" r:id="rId8"/>
    <sheet name="COMPOSIÇÃO" sheetId="3" r:id="rId9"/>
    <sheet name="BDI" sheetId="4" r:id="rId10"/>
  </sheets>
  <externalReferences>
    <externalReference r:id="rId11"/>
  </externalReferences>
  <definedNames>
    <definedName name="_xlnm.Print_Area" localSheetId="8">COMPOSIÇÃO!$A$2:$H$480</definedName>
    <definedName name="_xlnm.Print_Area" localSheetId="7">'ORÇAMENTO COBERTURA'!$A$1:$K$54</definedName>
    <definedName name="_xlnm.Print_Area" localSheetId="1">'ORÇAMENTO COMPLETO'!$B$1:$K$166</definedName>
    <definedName name="_xlnm.Print_Area" localSheetId="2">'ORÇAMENTO MOD.1'!$A$1:$J$53</definedName>
    <definedName name="_xlnm.Print_Area" localSheetId="3">'ORÇAMENTO MOD.2'!$A$1:$K$53</definedName>
    <definedName name="_xlnm.Print_Area" localSheetId="4">'ORÇAMENTO MOD.4'!$A$1:$K$60</definedName>
    <definedName name="_xlnm.Print_Area" localSheetId="5">'ORÇAMENTO MOD.5'!$A$1:$K$59</definedName>
    <definedName name="_xlnm.Print_Area" localSheetId="6">'ORÇAMENTO MOD.6'!$A$1:$K$58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10" l="1"/>
  <c r="I55" i="14"/>
  <c r="I56" i="13"/>
  <c r="I49" i="12"/>
  <c r="I49" i="11"/>
  <c r="F16" i="11"/>
  <c r="F14" i="11"/>
  <c r="F13" i="11"/>
  <c r="I46" i="15" l="1"/>
  <c r="J46" i="15"/>
  <c r="I45" i="15"/>
  <c r="J45" i="15"/>
  <c r="I44" i="15"/>
  <c r="J44" i="15"/>
  <c r="J43" i="15"/>
  <c r="I43" i="15"/>
  <c r="J42" i="15"/>
  <c r="I42" i="15"/>
  <c r="J47" i="14"/>
  <c r="I47" i="14"/>
  <c r="I46" i="14"/>
  <c r="J46" i="14"/>
  <c r="I45" i="14"/>
  <c r="J45" i="14"/>
  <c r="J44" i="14"/>
  <c r="I44" i="14"/>
  <c r="J43" i="14"/>
  <c r="I43" i="14"/>
  <c r="I48" i="13"/>
  <c r="J48" i="13"/>
  <c r="I47" i="13"/>
  <c r="J47" i="13"/>
  <c r="J46" i="13"/>
  <c r="I46" i="13"/>
  <c r="I45" i="13"/>
  <c r="J45" i="13"/>
  <c r="I44" i="13"/>
  <c r="J44" i="13"/>
  <c r="J34" i="10"/>
  <c r="J33" i="10"/>
  <c r="I33" i="10"/>
  <c r="I32" i="10"/>
  <c r="J32" i="10"/>
  <c r="I31" i="10"/>
  <c r="J31" i="10"/>
  <c r="I36" i="15"/>
  <c r="J36" i="15"/>
  <c r="F35" i="15"/>
  <c r="I35" i="15" s="1"/>
  <c r="I34" i="15"/>
  <c r="J34" i="15"/>
  <c r="J33" i="15"/>
  <c r="I33" i="15"/>
  <c r="J32" i="15"/>
  <c r="I32" i="15"/>
  <c r="I31" i="15"/>
  <c r="J31" i="15"/>
  <c r="I37" i="14"/>
  <c r="J37" i="14"/>
  <c r="J36" i="14"/>
  <c r="I36" i="14"/>
  <c r="J35" i="14"/>
  <c r="J34" i="14"/>
  <c r="J33" i="14"/>
  <c r="J32" i="14"/>
  <c r="I38" i="13"/>
  <c r="J38" i="13"/>
  <c r="J37" i="13"/>
  <c r="F37" i="13"/>
  <c r="I37" i="13" s="1"/>
  <c r="J36" i="13"/>
  <c r="F35" i="13"/>
  <c r="J35" i="13" s="1"/>
  <c r="J34" i="13"/>
  <c r="J33" i="13"/>
  <c r="J32" i="13"/>
  <c r="J31" i="13"/>
  <c r="I26" i="10"/>
  <c r="J26" i="10"/>
  <c r="I24" i="10"/>
  <c r="J24" i="10"/>
  <c r="I23" i="10"/>
  <c r="J23" i="10"/>
  <c r="J22" i="10"/>
  <c r="I22" i="10"/>
  <c r="J21" i="10"/>
  <c r="I21" i="10"/>
  <c r="I25" i="15"/>
  <c r="J25" i="15"/>
  <c r="G24" i="15"/>
  <c r="I24" i="15" s="1"/>
  <c r="J23" i="15"/>
  <c r="I23" i="15"/>
  <c r="I22" i="15"/>
  <c r="J22" i="15"/>
  <c r="I21" i="15"/>
  <c r="J21" i="15"/>
  <c r="J20" i="15"/>
  <c r="I20" i="15"/>
  <c r="I26" i="14"/>
  <c r="J26" i="14"/>
  <c r="G25" i="14"/>
  <c r="I25" i="14" s="1"/>
  <c r="J24" i="14"/>
  <c r="I24" i="14"/>
  <c r="J23" i="14"/>
  <c r="I23" i="14"/>
  <c r="I22" i="14"/>
  <c r="J22" i="14"/>
  <c r="I21" i="14"/>
  <c r="J21" i="14"/>
  <c r="I26" i="13"/>
  <c r="J26" i="13"/>
  <c r="G25" i="13"/>
  <c r="I25" i="13" s="1"/>
  <c r="J24" i="13"/>
  <c r="I24" i="13"/>
  <c r="J23" i="13"/>
  <c r="I23" i="13"/>
  <c r="I22" i="13"/>
  <c r="J22" i="13"/>
  <c r="I21" i="13"/>
  <c r="J21" i="13"/>
  <c r="I26" i="12"/>
  <c r="J26" i="12"/>
  <c r="G25" i="12"/>
  <c r="I25" i="12" s="1"/>
  <c r="I24" i="12"/>
  <c r="J24" i="12"/>
  <c r="I23" i="12"/>
  <c r="J23" i="12"/>
  <c r="I22" i="12"/>
  <c r="J22" i="12"/>
  <c r="I21" i="12"/>
  <c r="J21" i="12"/>
  <c r="J26" i="11"/>
  <c r="I26" i="11"/>
  <c r="J24" i="11"/>
  <c r="I24" i="11"/>
  <c r="I23" i="11"/>
  <c r="J23" i="11"/>
  <c r="I22" i="11"/>
  <c r="J22" i="11"/>
  <c r="J21" i="11"/>
  <c r="I21" i="11"/>
  <c r="H103" i="3"/>
  <c r="H98" i="3"/>
  <c r="H97" i="3"/>
  <c r="H96" i="3"/>
  <c r="H86" i="3"/>
  <c r="H76" i="3"/>
  <c r="H72" i="3"/>
  <c r="H71" i="3"/>
  <c r="H70" i="3"/>
  <c r="H69" i="3"/>
  <c r="H68" i="3"/>
  <c r="H67" i="3"/>
  <c r="H66" i="3"/>
  <c r="H63" i="3"/>
  <c r="H62" i="3"/>
  <c r="H61" i="3"/>
  <c r="H60" i="3"/>
  <c r="H59" i="3"/>
  <c r="H56" i="3"/>
  <c r="H53" i="3"/>
  <c r="H52" i="3"/>
  <c r="H51" i="3"/>
  <c r="H50" i="3"/>
  <c r="H49" i="3"/>
  <c r="H46" i="3"/>
  <c r="H43" i="3"/>
  <c r="H42" i="3"/>
  <c r="H41" i="3"/>
  <c r="H38" i="3"/>
  <c r="H37" i="3"/>
  <c r="H36" i="3"/>
  <c r="H35" i="3"/>
  <c r="H32" i="3"/>
  <c r="H31" i="3"/>
  <c r="H30" i="3"/>
  <c r="H28" i="3"/>
  <c r="H26" i="3"/>
  <c r="H25" i="3"/>
  <c r="H24" i="3"/>
  <c r="H22" i="3"/>
  <c r="H20" i="3"/>
  <c r="H19" i="3"/>
  <c r="H18" i="3"/>
  <c r="H17" i="3"/>
  <c r="H16" i="3"/>
  <c r="H12" i="3"/>
  <c r="H13" i="3"/>
  <c r="H11" i="3"/>
  <c r="J46" i="10"/>
  <c r="J41" i="10"/>
  <c r="J40" i="10"/>
  <c r="J39" i="10"/>
  <c r="J14" i="10"/>
  <c r="J15" i="10"/>
  <c r="J16" i="10"/>
  <c r="J13" i="10"/>
  <c r="J52" i="15"/>
  <c r="J51" i="15"/>
  <c r="J13" i="15"/>
  <c r="J14" i="15"/>
  <c r="J15" i="15"/>
  <c r="J12" i="15"/>
  <c r="J52" i="14"/>
  <c r="J14" i="14"/>
  <c r="J15" i="14"/>
  <c r="J16" i="14"/>
  <c r="J13" i="14"/>
  <c r="J53" i="13"/>
  <c r="J14" i="13"/>
  <c r="J15" i="13"/>
  <c r="J16" i="13"/>
  <c r="J13" i="13"/>
  <c r="J45" i="12"/>
  <c r="J40" i="12"/>
  <c r="J39" i="12"/>
  <c r="J34" i="12"/>
  <c r="J32" i="12"/>
  <c r="J31" i="12"/>
  <c r="J14" i="12"/>
  <c r="J15" i="12"/>
  <c r="J16" i="12"/>
  <c r="J13" i="12"/>
  <c r="J45" i="11"/>
  <c r="J40" i="11"/>
  <c r="J39" i="11"/>
  <c r="J34" i="11"/>
  <c r="J32" i="11"/>
  <c r="J31" i="11"/>
  <c r="J14" i="11"/>
  <c r="J15" i="11"/>
  <c r="J13" i="11"/>
  <c r="J41" i="15" l="1"/>
  <c r="J40" i="15" s="1"/>
  <c r="J35" i="15"/>
  <c r="J42" i="14"/>
  <c r="J41" i="14" s="1"/>
  <c r="J43" i="13"/>
  <c r="J42" i="13" s="1"/>
  <c r="J30" i="10"/>
  <c r="J29" i="10" s="1"/>
  <c r="J37" i="15"/>
  <c r="J29" i="15" s="1"/>
  <c r="J28" i="15" s="1"/>
  <c r="J38" i="14"/>
  <c r="J30" i="14" s="1"/>
  <c r="J29" i="14" s="1"/>
  <c r="J39" i="13"/>
  <c r="J30" i="13" s="1"/>
  <c r="J29" i="13" s="1"/>
  <c r="J20" i="10"/>
  <c r="J19" i="10" s="1"/>
  <c r="J24" i="15"/>
  <c r="J19" i="15" s="1"/>
  <c r="J18" i="15" s="1"/>
  <c r="J25" i="14"/>
  <c r="J20" i="14" s="1"/>
  <c r="J19" i="14" s="1"/>
  <c r="J25" i="13"/>
  <c r="J20" i="13" s="1"/>
  <c r="J19" i="13" s="1"/>
  <c r="J25" i="12"/>
  <c r="J20" i="12" s="1"/>
  <c r="J19" i="12" s="1"/>
  <c r="J20" i="11"/>
  <c r="J19" i="11" s="1"/>
  <c r="F47" i="10"/>
  <c r="J47" i="10" s="1"/>
  <c r="F53" i="14"/>
  <c r="J53" i="14" s="1"/>
  <c r="F54" i="13"/>
  <c r="J54" i="13" s="1"/>
  <c r="F46" i="12"/>
  <c r="J46" i="12" s="1"/>
  <c r="F46" i="11"/>
  <c r="J46" i="11" s="1"/>
  <c r="G158" i="2"/>
  <c r="G159" i="2"/>
  <c r="G14" i="2"/>
  <c r="J12" i="10" l="1"/>
  <c r="J11" i="10" s="1"/>
  <c r="J38" i="10"/>
  <c r="J11" i="15"/>
  <c r="J10" i="15" s="1"/>
  <c r="J12" i="14"/>
  <c r="J11" i="14" s="1"/>
  <c r="J12" i="12"/>
  <c r="J11" i="12" s="1"/>
  <c r="J30" i="12"/>
  <c r="J29" i="12" s="1"/>
  <c r="J38" i="12"/>
  <c r="J45" i="10"/>
  <c r="I47" i="10"/>
  <c r="I46" i="10"/>
  <c r="I41" i="10"/>
  <c r="I40" i="10"/>
  <c r="I39" i="10"/>
  <c r="I16" i="10"/>
  <c r="I15" i="10"/>
  <c r="I14" i="10"/>
  <c r="I13" i="10"/>
  <c r="I52" i="15"/>
  <c r="I51" i="15"/>
  <c r="I15" i="15"/>
  <c r="I14" i="15"/>
  <c r="I13" i="15"/>
  <c r="I12" i="15"/>
  <c r="J51" i="14"/>
  <c r="I53" i="14"/>
  <c r="I52" i="14"/>
  <c r="I16" i="14"/>
  <c r="I15" i="14"/>
  <c r="I14" i="14"/>
  <c r="I13" i="14"/>
  <c r="I54" i="13"/>
  <c r="I53" i="13"/>
  <c r="I15" i="13"/>
  <c r="I14" i="13"/>
  <c r="I13" i="13"/>
  <c r="J44" i="12"/>
  <c r="J43" i="12" s="1"/>
  <c r="I45" i="12"/>
  <c r="I40" i="12"/>
  <c r="I39" i="12"/>
  <c r="I34" i="12"/>
  <c r="F33" i="12"/>
  <c r="J33" i="12" s="1"/>
  <c r="I16" i="12"/>
  <c r="I15" i="12"/>
  <c r="I14" i="12"/>
  <c r="I13" i="12"/>
  <c r="J16" i="11"/>
  <c r="I45" i="11"/>
  <c r="I40" i="11"/>
  <c r="I39" i="11"/>
  <c r="I34" i="11"/>
  <c r="F33" i="11"/>
  <c r="I15" i="11"/>
  <c r="I14" i="11"/>
  <c r="I13" i="11"/>
  <c r="I33" i="11" l="1"/>
  <c r="J33" i="11"/>
  <c r="J12" i="11"/>
  <c r="J11" i="11" s="1"/>
  <c r="J50" i="14"/>
  <c r="J37" i="12"/>
  <c r="I48" i="12"/>
  <c r="J37" i="10"/>
  <c r="J44" i="10"/>
  <c r="J50" i="15"/>
  <c r="J12" i="13"/>
  <c r="J11" i="13" s="1"/>
  <c r="J52" i="13"/>
  <c r="I16" i="13"/>
  <c r="I46" i="12"/>
  <c r="I33" i="12"/>
  <c r="J38" i="11"/>
  <c r="J37" i="11" s="1"/>
  <c r="J44" i="11"/>
  <c r="I46" i="11"/>
  <c r="J30" i="11"/>
  <c r="J29" i="11" s="1"/>
  <c r="I16" i="11"/>
  <c r="F58" i="3"/>
  <c r="H58" i="3" s="1"/>
  <c r="F57" i="3"/>
  <c r="H57" i="3" s="1"/>
  <c r="F48" i="3"/>
  <c r="H48" i="3" s="1"/>
  <c r="F47" i="3"/>
  <c r="H47" i="3" s="1"/>
  <c r="F29" i="3"/>
  <c r="H29" i="3" s="1"/>
  <c r="F23" i="3"/>
  <c r="H23" i="3" s="1"/>
  <c r="I48" i="11" l="1"/>
  <c r="J51" i="13"/>
  <c r="I55" i="13"/>
  <c r="J49" i="15"/>
  <c r="I53" i="15"/>
  <c r="I54" i="15" s="1"/>
  <c r="I48" i="10"/>
  <c r="J43" i="11"/>
  <c r="F100" i="3"/>
  <c r="H100" i="3" s="1"/>
  <c r="F99" i="3"/>
  <c r="H99" i="3" s="1"/>
  <c r="F93" i="3"/>
  <c r="H93" i="3" s="1"/>
  <c r="F73" i="3"/>
  <c r="H73" i="3" s="1"/>
  <c r="F83" i="3"/>
  <c r="H83" i="3" s="1"/>
  <c r="G87" i="2"/>
  <c r="I49" i="10" l="1"/>
  <c r="I54" i="14"/>
  <c r="E64" i="2"/>
  <c r="E24" i="2"/>
  <c r="F102" i="3"/>
  <c r="H102" i="3" s="1"/>
  <c r="F101" i="3"/>
  <c r="H101" i="3" s="1"/>
  <c r="F92" i="3"/>
  <c r="H92" i="3" s="1"/>
  <c r="F91" i="3"/>
  <c r="H91" i="3" s="1"/>
  <c r="F90" i="3"/>
  <c r="H90" i="3" s="1"/>
  <c r="F89" i="3"/>
  <c r="H89" i="3" s="1"/>
  <c r="F88" i="3"/>
  <c r="H88" i="3" s="1"/>
  <c r="F87" i="3"/>
  <c r="H87" i="3" s="1"/>
  <c r="F80" i="3"/>
  <c r="H80" i="3" s="1"/>
  <c r="F79" i="3"/>
  <c r="H79" i="3" s="1"/>
  <c r="F82" i="3"/>
  <c r="H82" i="3" s="1"/>
  <c r="F81" i="3"/>
  <c r="H81" i="3" s="1"/>
  <c r="F78" i="3"/>
  <c r="H78" i="3" s="1"/>
  <c r="F77" i="3"/>
  <c r="H77" i="3" s="1"/>
  <c r="H45" i="3" l="1"/>
  <c r="H24" i="2" s="1"/>
  <c r="H95" i="3"/>
  <c r="H64" i="2" s="1"/>
  <c r="H55" i="3"/>
  <c r="H32" i="2" s="1"/>
  <c r="H65" i="3"/>
  <c r="H40" i="2" s="1"/>
  <c r="H75" i="3"/>
  <c r="H48" i="2" s="1"/>
  <c r="H85" i="3"/>
  <c r="H56" i="2" s="1"/>
  <c r="I62" i="2" l="1"/>
  <c r="K62" i="2" s="1"/>
  <c r="J62" i="2"/>
  <c r="I54" i="2"/>
  <c r="K54" i="2" s="1"/>
  <c r="J54" i="2"/>
  <c r="J49" i="2"/>
  <c r="J48" i="2"/>
  <c r="J47" i="2"/>
  <c r="J46" i="2"/>
  <c r="J45" i="2"/>
  <c r="J44" i="2"/>
  <c r="I46" i="2"/>
  <c r="K46" i="2" s="1"/>
  <c r="I38" i="2" l="1"/>
  <c r="K38" i="2" s="1"/>
  <c r="J38" i="2"/>
  <c r="I30" i="2"/>
  <c r="K30" i="2" s="1"/>
  <c r="J30" i="2"/>
  <c r="G73" i="2" l="1"/>
  <c r="I22" i="2" l="1"/>
  <c r="K22" i="2" s="1"/>
  <c r="J22" i="2"/>
  <c r="I159" i="2" l="1"/>
  <c r="K159" i="2" s="1"/>
  <c r="I158" i="2"/>
  <c r="K158" i="2" s="1"/>
  <c r="K160" i="2" s="1"/>
  <c r="I154" i="2"/>
  <c r="K154" i="2" s="1"/>
  <c r="I153" i="2"/>
  <c r="K153" i="2" s="1"/>
  <c r="I152" i="2"/>
  <c r="K152" i="2" s="1"/>
  <c r="I149" i="2"/>
  <c r="K149" i="2" s="1"/>
  <c r="I148" i="2"/>
  <c r="K148" i="2" s="1"/>
  <c r="I147" i="2"/>
  <c r="K147" i="2" s="1"/>
  <c r="I146" i="2"/>
  <c r="K146" i="2" s="1"/>
  <c r="I145" i="2"/>
  <c r="K145" i="2" s="1"/>
  <c r="I142" i="2"/>
  <c r="K142" i="2" s="1"/>
  <c r="I141" i="2"/>
  <c r="K141" i="2" s="1"/>
  <c r="I140" i="2"/>
  <c r="K140" i="2" s="1"/>
  <c r="I139" i="2"/>
  <c r="K139" i="2" s="1"/>
  <c r="I138" i="2"/>
  <c r="K138" i="2" s="1"/>
  <c r="I135" i="2"/>
  <c r="K135" i="2" s="1"/>
  <c r="I134" i="2"/>
  <c r="K134" i="2" s="1"/>
  <c r="I133" i="2"/>
  <c r="K133" i="2" s="1"/>
  <c r="I132" i="2"/>
  <c r="K132" i="2" s="1"/>
  <c r="I131" i="2"/>
  <c r="K131" i="2" s="1"/>
  <c r="I128" i="2"/>
  <c r="K128" i="2" s="1"/>
  <c r="I127" i="2"/>
  <c r="K127" i="2" s="1"/>
  <c r="K126" i="2" s="1"/>
  <c r="I124" i="2"/>
  <c r="K124" i="2" s="1"/>
  <c r="I123" i="2"/>
  <c r="K123" i="2" s="1"/>
  <c r="K122" i="2" s="1"/>
  <c r="I116" i="2"/>
  <c r="K116" i="2" s="1"/>
  <c r="I115" i="2"/>
  <c r="K115" i="2" s="1"/>
  <c r="I114" i="2"/>
  <c r="K114" i="2" s="1"/>
  <c r="I110" i="2"/>
  <c r="K110" i="2" s="1"/>
  <c r="I109" i="2"/>
  <c r="I108" i="2"/>
  <c r="K108" i="2" s="1"/>
  <c r="I107" i="2"/>
  <c r="K107" i="2" s="1"/>
  <c r="I106" i="2"/>
  <c r="K106" i="2" s="1"/>
  <c r="I105" i="2"/>
  <c r="K105" i="2" s="1"/>
  <c r="I100" i="2"/>
  <c r="K100" i="2" s="1"/>
  <c r="I99" i="2"/>
  <c r="K99" i="2" s="1"/>
  <c r="I98" i="2"/>
  <c r="K98" i="2" s="1"/>
  <c r="I97" i="2"/>
  <c r="K97" i="2" s="1"/>
  <c r="I96" i="2"/>
  <c r="K96" i="2" s="1"/>
  <c r="I95" i="2"/>
  <c r="K95" i="2" s="1"/>
  <c r="I90" i="2"/>
  <c r="K90" i="2" s="1"/>
  <c r="I89" i="2"/>
  <c r="I88" i="2"/>
  <c r="K88" i="2" s="1"/>
  <c r="I87" i="2"/>
  <c r="K87" i="2" s="1"/>
  <c r="I86" i="2"/>
  <c r="K86" i="2" s="1"/>
  <c r="I85" i="2"/>
  <c r="K85" i="2" s="1"/>
  <c r="I84" i="2"/>
  <c r="K84" i="2" s="1"/>
  <c r="I80" i="2"/>
  <c r="K80" i="2" s="1"/>
  <c r="I79" i="2"/>
  <c r="I78" i="2"/>
  <c r="K78" i="2" s="1"/>
  <c r="I77" i="2"/>
  <c r="K77" i="2" s="1"/>
  <c r="I74" i="2"/>
  <c r="K74" i="2" s="1"/>
  <c r="I73" i="2"/>
  <c r="K73" i="2" s="1"/>
  <c r="I72" i="2"/>
  <c r="K72" i="2" s="1"/>
  <c r="I71" i="2"/>
  <c r="K71" i="2" s="1"/>
  <c r="K70" i="2" s="1"/>
  <c r="I65" i="2"/>
  <c r="K65" i="2" s="1"/>
  <c r="I64" i="2"/>
  <c r="K64" i="2" s="1"/>
  <c r="I63" i="2"/>
  <c r="K63" i="2" s="1"/>
  <c r="I61" i="2"/>
  <c r="K61" i="2" s="1"/>
  <c r="I60" i="2"/>
  <c r="K60" i="2" s="1"/>
  <c r="I57" i="2"/>
  <c r="K57" i="2" s="1"/>
  <c r="I56" i="2"/>
  <c r="K56" i="2" s="1"/>
  <c r="I55" i="2"/>
  <c r="K55" i="2" s="1"/>
  <c r="I53" i="2"/>
  <c r="K53" i="2" s="1"/>
  <c r="I52" i="2"/>
  <c r="K52" i="2" s="1"/>
  <c r="I49" i="2"/>
  <c r="K49" i="2" s="1"/>
  <c r="I48" i="2"/>
  <c r="K48" i="2" s="1"/>
  <c r="I47" i="2"/>
  <c r="K47" i="2" s="1"/>
  <c r="I45" i="2"/>
  <c r="K45" i="2" s="1"/>
  <c r="I44" i="2"/>
  <c r="K44" i="2" s="1"/>
  <c r="I41" i="2"/>
  <c r="K41" i="2" s="1"/>
  <c r="I39" i="2"/>
  <c r="K39" i="2" s="1"/>
  <c r="I37" i="2"/>
  <c r="K37" i="2" s="1"/>
  <c r="I36" i="2"/>
  <c r="K36" i="2" s="1"/>
  <c r="I33" i="2"/>
  <c r="K33" i="2" s="1"/>
  <c r="I32" i="2"/>
  <c r="K32" i="2" s="1"/>
  <c r="I31" i="2"/>
  <c r="K31" i="2" s="1"/>
  <c r="I29" i="2"/>
  <c r="K29" i="2" s="1"/>
  <c r="I28" i="2"/>
  <c r="K28" i="2" s="1"/>
  <c r="I25" i="2"/>
  <c r="K25" i="2" s="1"/>
  <c r="I24" i="2"/>
  <c r="K24" i="2" s="1"/>
  <c r="I23" i="2"/>
  <c r="K23" i="2" s="1"/>
  <c r="I20" i="2"/>
  <c r="K20" i="2" s="1"/>
  <c r="I14" i="2"/>
  <c r="K14" i="2" s="1"/>
  <c r="I13" i="2"/>
  <c r="K13" i="2" s="1"/>
  <c r="I12" i="2"/>
  <c r="I11" i="2"/>
  <c r="I21" i="2"/>
  <c r="K21" i="2" s="1"/>
  <c r="J14" i="2"/>
  <c r="K137" i="2" l="1"/>
  <c r="K130" i="2"/>
  <c r="K151" i="2"/>
  <c r="K144" i="2"/>
  <c r="N11" i="2"/>
  <c r="K11" i="2"/>
  <c r="K19" i="2"/>
  <c r="K59" i="2"/>
  <c r="K51" i="2"/>
  <c r="K43" i="2"/>
  <c r="K27" i="2"/>
  <c r="N12" i="2"/>
  <c r="K12" i="2"/>
  <c r="K15" i="2" s="1"/>
  <c r="J159" i="2"/>
  <c r="I51" i="10"/>
  <c r="J11" i="2" l="1"/>
  <c r="J12" i="2"/>
  <c r="H40" i="3" l="1"/>
  <c r="H117" i="2" s="1"/>
  <c r="H111" i="2"/>
  <c r="I111" i="2" s="1"/>
  <c r="K111" i="2" s="1"/>
  <c r="H101" i="2"/>
  <c r="J101" i="2" s="1"/>
  <c r="H91" i="2"/>
  <c r="I91" i="2" s="1"/>
  <c r="K91" i="2" s="1"/>
  <c r="D16" i="1" l="1"/>
  <c r="I117" i="2"/>
  <c r="K117" i="2" s="1"/>
  <c r="K113" i="2" s="1"/>
  <c r="J117" i="2"/>
  <c r="J91" i="2"/>
  <c r="J111" i="2"/>
  <c r="I101" i="2"/>
  <c r="K101" i="2" s="1"/>
  <c r="K93" i="2" s="1"/>
  <c r="J158" i="2"/>
  <c r="J154" i="2" l="1"/>
  <c r="J153" i="2"/>
  <c r="J152" i="2"/>
  <c r="J149" i="2"/>
  <c r="J148" i="2"/>
  <c r="J147" i="2"/>
  <c r="J146" i="2"/>
  <c r="J145" i="2"/>
  <c r="J142" i="2"/>
  <c r="J141" i="2"/>
  <c r="J140" i="2"/>
  <c r="J139" i="2"/>
  <c r="J138" i="2"/>
  <c r="J135" i="2"/>
  <c r="J134" i="2"/>
  <c r="J133" i="2"/>
  <c r="J132" i="2"/>
  <c r="J131" i="2"/>
  <c r="J128" i="2"/>
  <c r="J127" i="2"/>
  <c r="J124" i="2"/>
  <c r="J123" i="2"/>
  <c r="J116" i="2"/>
  <c r="J115" i="2"/>
  <c r="J114" i="2"/>
  <c r="J105" i="2"/>
  <c r="J106" i="2"/>
  <c r="J107" i="2"/>
  <c r="J108" i="2"/>
  <c r="J110" i="2"/>
  <c r="J64" i="2"/>
  <c r="J61" i="2"/>
  <c r="J63" i="2"/>
  <c r="J65" i="2"/>
  <c r="J60" i="2"/>
  <c r="J53" i="2"/>
  <c r="J55" i="2"/>
  <c r="J57" i="2"/>
  <c r="J52" i="2"/>
  <c r="J56" i="2"/>
  <c r="I40" i="2"/>
  <c r="K40" i="2" s="1"/>
  <c r="K35" i="2" s="1"/>
  <c r="K150" i="2" l="1"/>
  <c r="J37" i="2"/>
  <c r="J39" i="2"/>
  <c r="J40" i="2"/>
  <c r="J41" i="2"/>
  <c r="J36" i="2"/>
  <c r="J32" i="2"/>
  <c r="J24" i="2"/>
  <c r="J29" i="2"/>
  <c r="J31" i="2"/>
  <c r="J33" i="2"/>
  <c r="J28" i="2"/>
  <c r="J21" i="2"/>
  <c r="J23" i="2"/>
  <c r="J25" i="2"/>
  <c r="J20" i="2"/>
  <c r="H34" i="3"/>
  <c r="H27" i="3"/>
  <c r="H15" i="3"/>
  <c r="J13" i="2"/>
  <c r="G109" i="2"/>
  <c r="K109" i="2" s="1"/>
  <c r="K103" i="2" s="1"/>
  <c r="J100" i="2"/>
  <c r="J99" i="2"/>
  <c r="G89" i="2"/>
  <c r="K89" i="2" s="1"/>
  <c r="G79" i="2"/>
  <c r="J90" i="2"/>
  <c r="J80" i="2"/>
  <c r="J74" i="2"/>
  <c r="J79" i="2" l="1"/>
  <c r="K79" i="2"/>
  <c r="K76" i="2" s="1"/>
  <c r="D12" i="1"/>
  <c r="H21" i="3"/>
  <c r="K34" i="2"/>
  <c r="H104" i="2"/>
  <c r="H94" i="2"/>
  <c r="H83" i="2"/>
  <c r="J109" i="2"/>
  <c r="J89" i="2"/>
  <c r="J73" i="2"/>
  <c r="K26" i="2" l="1"/>
  <c r="I83" i="2"/>
  <c r="J83" i="2"/>
  <c r="I94" i="2"/>
  <c r="K92" i="2" s="1"/>
  <c r="J94" i="2"/>
  <c r="I104" i="2"/>
  <c r="K102" i="2" s="1"/>
  <c r="J104" i="2"/>
  <c r="D20" i="4"/>
  <c r="D24" i="4" s="1"/>
  <c r="D26" i="4" s="1"/>
  <c r="D14" i="4"/>
  <c r="D7" i="4"/>
  <c r="K18" i="2"/>
  <c r="K42" i="2"/>
  <c r="K58" i="2"/>
  <c r="K69" i="2"/>
  <c r="K75" i="2"/>
  <c r="K112" i="2"/>
  <c r="K121" i="2"/>
  <c r="K125" i="2"/>
  <c r="K129" i="2"/>
  <c r="K136" i="2"/>
  <c r="K143" i="2"/>
  <c r="C16" i="1"/>
  <c r="C15" i="1"/>
  <c r="C14" i="1"/>
  <c r="C13" i="1"/>
  <c r="C12" i="1"/>
  <c r="B12" i="1"/>
  <c r="B6" i="1"/>
  <c r="B5" i="1"/>
  <c r="B4" i="1"/>
  <c r="K83" i="2" l="1"/>
  <c r="K82" i="2" s="1"/>
  <c r="K81" i="2" s="1"/>
  <c r="K155" i="2"/>
  <c r="D15" i="1" s="1"/>
  <c r="K50" i="2"/>
  <c r="J161" i="2" l="1"/>
  <c r="K118" i="2"/>
  <c r="D14" i="1" s="1"/>
  <c r="K66" i="2"/>
  <c r="D13" i="1" l="1"/>
  <c r="D18" i="1" l="1"/>
  <c r="E14" i="1" s="1"/>
  <c r="E15" i="1" l="1"/>
  <c r="E16" i="1"/>
  <c r="E13" i="1"/>
  <c r="E12" i="1"/>
  <c r="E18" i="1" l="1"/>
</calcChain>
</file>

<file path=xl/sharedStrings.xml><?xml version="1.0" encoding="utf-8"?>
<sst xmlns="http://schemas.openxmlformats.org/spreadsheetml/2006/main" count="1687" uniqueCount="314">
  <si>
    <t>RESUMO</t>
  </si>
  <si>
    <t>ITEM</t>
  </si>
  <si>
    <t>DESCRIÇÃO / ETAPA</t>
  </si>
  <si>
    <t>TOTAL</t>
  </si>
  <si>
    <t>MÊS 1</t>
  </si>
  <si>
    <t>(%)</t>
  </si>
  <si>
    <t>VALOR (R$)</t>
  </si>
  <si>
    <t>2.0</t>
  </si>
  <si>
    <t>3.0</t>
  </si>
  <si>
    <t>4.0</t>
  </si>
  <si>
    <t>5.0</t>
  </si>
  <si>
    <t xml:space="preserve">VALOR TOTAL ACUMULADO SEM BDI:  </t>
  </si>
  <si>
    <t>PLANILHA ORÇAMENTÁRIA</t>
  </si>
  <si>
    <t>CÓDIGO</t>
  </si>
  <si>
    <t>FONTE</t>
  </si>
  <si>
    <t>ESPECIFICAÇÃO</t>
  </si>
  <si>
    <t>UNID.</t>
  </si>
  <si>
    <t>QUANT.</t>
  </si>
  <si>
    <t>P. UNIT. SEM BDI (R$)</t>
  </si>
  <si>
    <t>P.UNI.COM BDI (R$)</t>
  </si>
  <si>
    <t>P. TOTAL SEM BDI (R$)</t>
  </si>
  <si>
    <t>P. TOTAL COM BDI (R$)</t>
  </si>
  <si>
    <t>1.0</t>
  </si>
  <si>
    <t>ADMINISTRAÇÃO DE OBRA</t>
  </si>
  <si>
    <t>1.1</t>
  </si>
  <si>
    <t>SINAPI</t>
  </si>
  <si>
    <t>1.2</t>
  </si>
  <si>
    <t>COMP 1</t>
  </si>
  <si>
    <t>COMPOSIÇÃO</t>
  </si>
  <si>
    <t xml:space="preserve">PLACA DE OBRA </t>
  </si>
  <si>
    <t>UND</t>
  </si>
  <si>
    <t>TOTAL DO ITEM</t>
  </si>
  <si>
    <t>ESTRUTURA</t>
  </si>
  <si>
    <t>2.1</t>
  </si>
  <si>
    <t>MODELO 1</t>
  </si>
  <si>
    <t>2.1.1</t>
  </si>
  <si>
    <t>2.1.5</t>
  </si>
  <si>
    <t>2.2</t>
  </si>
  <si>
    <t xml:space="preserve">MODELO 2 </t>
  </si>
  <si>
    <t>2.2.1</t>
  </si>
  <si>
    <t>2.2.5</t>
  </si>
  <si>
    <t>MODELO 4</t>
  </si>
  <si>
    <t>2.3.1</t>
  </si>
  <si>
    <t>2.3.5</t>
  </si>
  <si>
    <t>2.4</t>
  </si>
  <si>
    <t>MODELO 5</t>
  </si>
  <si>
    <t>2.4.1</t>
  </si>
  <si>
    <t>2.4.5</t>
  </si>
  <si>
    <t>2.5</t>
  </si>
  <si>
    <t>MODELO 6</t>
  </si>
  <si>
    <t>2.5.1</t>
  </si>
  <si>
    <t>2.5.5</t>
  </si>
  <si>
    <t>2.6</t>
  </si>
  <si>
    <t xml:space="preserve">COBERTURA </t>
  </si>
  <si>
    <t>2.6.1</t>
  </si>
  <si>
    <t>2.6.5</t>
  </si>
  <si>
    <t>PAREDE E COBERTURA</t>
  </si>
  <si>
    <t>3.1</t>
  </si>
  <si>
    <t xml:space="preserve">COBERTURA DE CHAPA LISA DE AÇO </t>
  </si>
  <si>
    <t>3.1.2</t>
  </si>
  <si>
    <t>3.1.3</t>
  </si>
  <si>
    <t>3.1.4</t>
  </si>
  <si>
    <t>3.2</t>
  </si>
  <si>
    <t>3.2.2</t>
  </si>
  <si>
    <t>3.2.3</t>
  </si>
  <si>
    <t>3.2.4</t>
  </si>
  <si>
    <t>3.3</t>
  </si>
  <si>
    <t>3.3.1</t>
  </si>
  <si>
    <t>COMP.MD4</t>
  </si>
  <si>
    <t>3.3.2</t>
  </si>
  <si>
    <t>3.3.3</t>
  </si>
  <si>
    <t>3.3.4</t>
  </si>
  <si>
    <t>3.3.5</t>
  </si>
  <si>
    <t>3.3.6</t>
  </si>
  <si>
    <t>M2</t>
  </si>
  <si>
    <t>3.3.7</t>
  </si>
  <si>
    <t>3.3.8</t>
  </si>
  <si>
    <t>3.4</t>
  </si>
  <si>
    <t>3.4.1</t>
  </si>
  <si>
    <t>COMP.MD5</t>
  </si>
  <si>
    <t>3.4.2</t>
  </si>
  <si>
    <t>3.4.3</t>
  </si>
  <si>
    <t>3.4.4</t>
  </si>
  <si>
    <t>3.4.5</t>
  </si>
  <si>
    <t>3.4.6</t>
  </si>
  <si>
    <t>3.4.7</t>
  </si>
  <si>
    <t>3.5</t>
  </si>
  <si>
    <t>3.5.1</t>
  </si>
  <si>
    <t>COMP.MD6</t>
  </si>
  <si>
    <t>3.5.2</t>
  </si>
  <si>
    <t>3.5.3</t>
  </si>
  <si>
    <t>3.5.4</t>
  </si>
  <si>
    <t>3.5.5</t>
  </si>
  <si>
    <t>3.5.6</t>
  </si>
  <si>
    <t>3.5.7</t>
  </si>
  <si>
    <t>3.6</t>
  </si>
  <si>
    <t>3.6.2</t>
  </si>
  <si>
    <t>3.6.3</t>
  </si>
  <si>
    <t>3.6.4</t>
  </si>
  <si>
    <t>C4370</t>
  </si>
  <si>
    <t xml:space="preserve">ACESSÓRIOS </t>
  </si>
  <si>
    <t>4.1</t>
  </si>
  <si>
    <t>4.1.1</t>
  </si>
  <si>
    <t>4.1.2</t>
  </si>
  <si>
    <t>4.2</t>
  </si>
  <si>
    <t>4.2.1</t>
  </si>
  <si>
    <t>4.2.2</t>
  </si>
  <si>
    <t>4.3</t>
  </si>
  <si>
    <t>4.3.1</t>
  </si>
  <si>
    <t>4.3.2</t>
  </si>
  <si>
    <t>4.3.3</t>
  </si>
  <si>
    <t>4.3.4</t>
  </si>
  <si>
    <t>4.3.5</t>
  </si>
  <si>
    <t>COMP. 3</t>
  </si>
  <si>
    <t>ACESSO PARA CADEIRANTE</t>
  </si>
  <si>
    <t>4.4</t>
  </si>
  <si>
    <t>4.4.1</t>
  </si>
  <si>
    <t>4.4.2</t>
  </si>
  <si>
    <t>4.4.3</t>
  </si>
  <si>
    <t>4.4.4</t>
  </si>
  <si>
    <t>4.4.5</t>
  </si>
  <si>
    <t>4.5</t>
  </si>
  <si>
    <t>4.5.1</t>
  </si>
  <si>
    <t>4.5.2</t>
  </si>
  <si>
    <t>4.5.3</t>
  </si>
  <si>
    <t>4.5.4</t>
  </si>
  <si>
    <t>4.5.5</t>
  </si>
  <si>
    <t>4.6</t>
  </si>
  <si>
    <t>4.6.1</t>
  </si>
  <si>
    <t>4.6.2</t>
  </si>
  <si>
    <t>4.6.3</t>
  </si>
  <si>
    <t>SERVIÇOS DIVERSOS</t>
  </si>
  <si>
    <t>5.1</t>
  </si>
  <si>
    <t xml:space="preserve">  VALOR TOTAL DA OBRA COM BDI:  </t>
  </si>
  <si>
    <t xml:space="preserve">VALOR TOTAL COM DESCONTO DE ATA (11%):  </t>
  </si>
  <si>
    <t>ENG. EMILLY FERREIRA SANTOS</t>
  </si>
  <si>
    <t>ENGENHEIRA CIVIL. CREA: 50176/MT</t>
  </si>
  <si>
    <t>ENGENHEIRO CIVIL DE OBRA JUNIOR COM ENCARGOS COMPLEMENTARES</t>
  </si>
  <si>
    <t>H</t>
  </si>
  <si>
    <t>ENCARREGADO GERAL COM ENCARGOS COMPLEMENTARES</t>
  </si>
  <si>
    <t>M3</t>
  </si>
  <si>
    <t>KG</t>
  </si>
  <si>
    <t>CORTE E DOBRA DE AÇO CA-60, DIÂMETRO DE 4,2 MM. AF_06/2022</t>
  </si>
  <si>
    <t>CONCRETAGEM DE SAPATAS, FCK 30 MPA, COM USO DE JERICA  LANÇAMENTO, ADENSAMENTO E ACABAMENTO. AF_06/2017</t>
  </si>
  <si>
    <t>LASTRO DE CONCRETO MAGRO, APLICADO EM PISOS, LAJES SOBRE SOLO OU RADIERS, ESPESSURA DE 5 CM. AF_07/2016</t>
  </si>
  <si>
    <t>TELHAMENTO COM TELHA METÁLICA TERMOACÚSTICA E = 30 MM, COM ATÉ 2 ÁGUAS, INCLUSO IÇAMENTO. AF_07/2019</t>
  </si>
  <si>
    <t>RUFO EXTERNO/INTERNO EM CHAPA DE AÇO GALVANIZADO NÚMERO 26, CORTE DE 33 CM, INCLUSO IÇAMENTO. AF_07/2019</t>
  </si>
  <si>
    <t>M</t>
  </si>
  <si>
    <t>PINTURA COM TINTA ALQUÍDICA DE ACABAMENTO (ESMALTE SINTÉTICO BRILHANTE) PULVERIZADA SOBRE PERFIL METÁLICO EXECUTADO EM FÁBRICA  (POR DEMÃO). AF_01/2020_P</t>
  </si>
  <si>
    <t>PINTOR DE LETREIROS COM ENCARGOS COMPLEMENTARES</t>
  </si>
  <si>
    <t>CALHA EM CHAPA DE AÇO GALVANIZADO NÚMERO 24, DESENVOLVIMENTO DE 33 CM, INCLUSO TRANSPORTE VERTICAL. AF_07/2019</t>
  </si>
  <si>
    <t>INSTALAÇÃO DE BANCO METÁLICO COM ENCOSTO, 1,60 M DE COMPRIMENTO, EM TUBO DE AÇO CARBONO COM PINTURA ELETROSTÁTICA, SOBRE PISO DE CONCRETO EXISTENTE. AF_11/2021</t>
  </si>
  <si>
    <t>UN</t>
  </si>
  <si>
    <t>PINTURA DE SÍMBOLOS E TEXTOS COM TINTA ACRÍLICA, DEMARCAÇÃO COM FITA ADESIVA E APLICAÇÃO COM ROLO. AF_05/2021</t>
  </si>
  <si>
    <t>INSTALAÇÃO DE LIXEIRA METÁLICA DUPLA, CAPACIDADE DE 60 L, EM TUBO DE AÇO CARBONO E CESTOS EM CHAPA DE AÇO COM PINTURA ELETROSTÁTICA, SOBRE PISO DE CONCRETO EXISTENTE. AF_11/2021</t>
  </si>
  <si>
    <t>PISO PODOTÁTIL, DIRECIONAL OU ALERTA, ASSENTADO SOBRE ARGAMASSA. AF_05/2020</t>
  </si>
  <si>
    <t>LIMPEZA DE SUPERFÍCIE COM JATO DE ALTA PRESSÃO. AF_04/2019</t>
  </si>
  <si>
    <t>DESCRIÇÃO</t>
  </si>
  <si>
    <t>V. UNIT.</t>
  </si>
  <si>
    <t>V. TOTAL</t>
  </si>
  <si>
    <t/>
  </si>
  <si>
    <t>PLACA DE OBRA (PARA CONSTRUCAO CIVIL) EM CHAPA GALVANIZADA *N. 22*, ADESIVADA, DE *2,4 X 1,2* M (SEM POSTES PARA FIXACAO)</t>
  </si>
  <si>
    <t>MADEIRA ROLICA TRATADA, D = 12 A 15 CM, H = 3,00 M, EM EUCALIPTO OU EQUIVALENTE DA REGIAO</t>
  </si>
  <si>
    <t>SERVENTE COM ENCARGOS COMPLEMENTARES</t>
  </si>
  <si>
    <t>MONTADOR DE ESTRUTURA METÁLICA COM ENCARGOS COMPLEMENTARES</t>
  </si>
  <si>
    <t>SERVENTE DE OBRAS</t>
  </si>
  <si>
    <t>PEDREIRO COM ENCARGOS COMPLEMENTARES</t>
  </si>
  <si>
    <t>EXECUÇÃO DE PASSEIO (CALÇADA) OU PISO DE CONCRETO COM CONCRETO MOLDADO IN LOCO, FEITO EM OBRA, ACABAMENTO CONVENCIONAL, ESPESSURA 6 CM, ARMADO. AF_07/2016</t>
  </si>
  <si>
    <t>COMPOSIÇÃO DO BDI OBRAS</t>
  </si>
  <si>
    <t>%</t>
  </si>
  <si>
    <t>GRUPO A</t>
  </si>
  <si>
    <t>A1</t>
  </si>
  <si>
    <t>TOTAL DO GRUPO A  =</t>
  </si>
  <si>
    <t>GRUPO B</t>
  </si>
  <si>
    <t>B1</t>
  </si>
  <si>
    <t>B2</t>
  </si>
  <si>
    <t>B3</t>
  </si>
  <si>
    <t>B4</t>
  </si>
  <si>
    <t>TOTAL DO GRUPO B  =</t>
  </si>
  <si>
    <t>GRUPO C</t>
  </si>
  <si>
    <t>C1</t>
  </si>
  <si>
    <t>C2</t>
  </si>
  <si>
    <t>%MÃO DE OBRA</t>
  </si>
  <si>
    <t>C3</t>
  </si>
  <si>
    <t>ISS DO MUNICÍPIO (Verificar la LEI do Múnicipio da Execução da Obra)</t>
  </si>
  <si>
    <t>C4</t>
  </si>
  <si>
    <t xml:space="preserve">SUBTOTAL ISS (C2 X C3) =  </t>
  </si>
  <si>
    <t>C5</t>
  </si>
  <si>
    <t xml:space="preserve">PIS =  </t>
  </si>
  <si>
    <t>C6</t>
  </si>
  <si>
    <t xml:space="preserve">COFINS =  </t>
  </si>
  <si>
    <t>C7</t>
  </si>
  <si>
    <t xml:space="preserve">CPRB =  </t>
  </si>
  <si>
    <t xml:space="preserve">TOTAL DO GRUPO C =    </t>
  </si>
  <si>
    <t>TOTAL BDI (ACORDAO 2369/2011)</t>
  </si>
  <si>
    <r>
      <t xml:space="preserve">(AC) ADMINISTRAÇÃO CENTRAL - </t>
    </r>
    <r>
      <rPr>
        <sz val="10"/>
        <color rgb="FF000000"/>
        <rFont val="Calibri"/>
        <family val="2"/>
        <scheme val="minor"/>
      </rPr>
      <t>VARIA CONFORME O PORTE DA NÚMERO DE OBRAS EM ANDAMENTO, VOLUME FINANCEIRO DAS OBRAS A INICIAREM, ETC,  EM CADA   EM CADA EMPRESA - (ACORDAO 2622/2013 - 3,0% A 5,5%)</t>
    </r>
  </si>
  <si>
    <r>
      <t xml:space="preserve">(DF) DESPESAS FINANCEIRAS - </t>
    </r>
    <r>
      <rPr>
        <sz val="10"/>
        <color rgb="FF000000"/>
        <rFont val="Calibri"/>
        <family val="2"/>
        <scheme val="minor"/>
      </rPr>
      <t>(ACORDAO 2622/2013 - 0,59% A 1,39%)</t>
    </r>
  </si>
  <si>
    <r>
      <t xml:space="preserve">(S)   SEGUROS + (G) GARANTIA </t>
    </r>
    <r>
      <rPr>
        <sz val="10"/>
        <rFont val="Calibri"/>
        <family val="2"/>
        <scheme val="minor"/>
      </rPr>
      <t xml:space="preserve">(ACORDAO 2622/2013 </t>
    </r>
    <r>
      <rPr>
        <b/>
        <u/>
        <sz val="10"/>
        <rFont val="Calibri"/>
        <family val="2"/>
        <scheme val="minor"/>
      </rPr>
      <t>SEGURO + GARANTIA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- 0,8% A 1,0%)</t>
    </r>
  </si>
  <si>
    <r>
      <t xml:space="preserve">(R)   TAXA DE RISCO E IMPREVISTOS - </t>
    </r>
    <r>
      <rPr>
        <sz val="10"/>
        <color rgb="FF000000"/>
        <rFont val="Calibri"/>
        <family val="2"/>
        <scheme val="minor"/>
      </rPr>
      <t>(ACORDAO 2622/2013 0,97% A 1,27%)</t>
    </r>
  </si>
  <si>
    <r>
      <t xml:space="preserve">(L)    LUCRO </t>
    </r>
    <r>
      <rPr>
        <sz val="10"/>
        <color rgb="FF000000"/>
        <rFont val="Calibri"/>
        <family val="2"/>
        <scheme val="minor"/>
      </rPr>
      <t>(ACORDAO 2622/2013 6,16% A 8,96%)</t>
    </r>
  </si>
  <si>
    <r>
      <t xml:space="preserve">ISS - </t>
    </r>
    <r>
      <rPr>
        <sz val="10"/>
        <color rgb="FF000000"/>
        <rFont val="Calibri"/>
        <family val="2"/>
        <scheme val="minor"/>
      </rPr>
      <t>(ISS% CONSIDERANDO 40% DE MATRIAL) - LEI do Múnicipio da Execução da Obra</t>
    </r>
  </si>
  <si>
    <r>
      <t xml:space="preserve"> BDI = </t>
    </r>
    <r>
      <rPr>
        <u/>
        <sz val="10"/>
        <color theme="1"/>
        <rFont val="Calibri"/>
        <family val="2"/>
        <scheme val="minor"/>
      </rPr>
      <t>(1+AC+S+R+G)x(1+DF)X(1+L))</t>
    </r>
    <r>
      <rPr>
        <sz val="10"/>
        <color theme="1"/>
        <rFont val="Calibri"/>
        <family val="2"/>
        <scheme val="minor"/>
      </rPr>
      <t xml:space="preserve">  -1
                                  1-I
Onde:
AC = taxa representativa das despesas de rateio da Administração Central;
S = taxa representativa de Seguros;
R = taxa representativa de Riscos;
G = taxa representativa de Garantias;
DF = taxa representativa das Despesas Financeiras;
L = taxa representativa do Lucro;
I = taxa representativa da incidência de Impostos.
  Observação:
  i)   Composição do BDI, intervalos admissíveis e Fórmula de cálculo nos termos do Acórdão 2369/2011 do TCU.</t>
    </r>
  </si>
  <si>
    <r>
      <rPr>
        <b/>
        <sz val="6"/>
        <color theme="1"/>
        <rFont val="Calibri"/>
        <family val="2"/>
        <scheme val="minor"/>
      </rPr>
      <t>LOCAL:</t>
    </r>
    <r>
      <rPr>
        <sz val="6"/>
        <color theme="1"/>
        <rFont val="Calibri"/>
        <family val="2"/>
        <scheme val="minor"/>
      </rPr>
      <t xml:space="preserve"> CENTRO SUL</t>
    </r>
  </si>
  <si>
    <r>
      <rPr>
        <b/>
        <sz val="6"/>
        <color theme="1"/>
        <rFont val="Calibri"/>
        <family val="2"/>
        <scheme val="minor"/>
      </rPr>
      <t>MUNICÍPIO:</t>
    </r>
    <r>
      <rPr>
        <sz val="6"/>
        <color theme="1"/>
        <rFont val="Calibri"/>
        <family val="2"/>
        <scheme val="minor"/>
      </rPr>
      <t xml:space="preserve"> VÁRZEA GRANDE - MT</t>
    </r>
  </si>
  <si>
    <t>TELHAMENTO COM TELHA DE AÇO/ALUMÍNIO E = 0,5 MM, COM ATÉ 2 ÁGUAS, INCLUSO IÇAMENTO. AF_07/2019</t>
  </si>
  <si>
    <t>COMP. 4</t>
  </si>
  <si>
    <t xml:space="preserve">PLACA SOLAR </t>
  </si>
  <si>
    <t>FV SOLUÇÕES EM ENERGIA</t>
  </si>
  <si>
    <t xml:space="preserve">ENERGY BRASIL </t>
  </si>
  <si>
    <t>RAH ENERGIA SUSTENTÁVEL LTDA</t>
  </si>
  <si>
    <t>MERCADO</t>
  </si>
  <si>
    <t xml:space="preserve">TOTAL DO ITEM </t>
  </si>
  <si>
    <t>3.3.9</t>
  </si>
  <si>
    <t>COMP.4</t>
  </si>
  <si>
    <t xml:space="preserve">COMPOSIÇÃO </t>
  </si>
  <si>
    <t>3.4.8</t>
  </si>
  <si>
    <t>3.5.8</t>
  </si>
  <si>
    <t>2.1.2</t>
  </si>
  <si>
    <t>2.1.3</t>
  </si>
  <si>
    <t>2.1.4</t>
  </si>
  <si>
    <t>2.1.6</t>
  </si>
  <si>
    <t>2.3.2</t>
  </si>
  <si>
    <t>2.3.3</t>
  </si>
  <si>
    <t>2.3.4</t>
  </si>
  <si>
    <t>2.3.6</t>
  </si>
  <si>
    <t>2.2.2</t>
  </si>
  <si>
    <t>2.2.3</t>
  </si>
  <si>
    <t>2.2.4</t>
  </si>
  <si>
    <t>2.2.6</t>
  </si>
  <si>
    <t>1.3</t>
  </si>
  <si>
    <t>2.4.2</t>
  </si>
  <si>
    <t>2.4.3</t>
  </si>
  <si>
    <t>2.4.4</t>
  </si>
  <si>
    <t>2.4.6</t>
  </si>
  <si>
    <t>2.5.2</t>
  </si>
  <si>
    <t>2.5.3</t>
  </si>
  <si>
    <t>2.5.4</t>
  </si>
  <si>
    <t>2.5.6</t>
  </si>
  <si>
    <t>2.6.2</t>
  </si>
  <si>
    <t>2.6.3</t>
  </si>
  <si>
    <t>2.6.4</t>
  </si>
  <si>
    <t>2.6.6</t>
  </si>
  <si>
    <t>3.1.1</t>
  </si>
  <si>
    <t>3.2.1</t>
  </si>
  <si>
    <t>3.6.1</t>
  </si>
  <si>
    <t>UND.</t>
  </si>
  <si>
    <t xml:space="preserve">VALOR TOTAL:  </t>
  </si>
  <si>
    <t>VALOR UNITÁRIO:</t>
  </si>
  <si>
    <r>
      <rPr>
        <b/>
        <sz val="6"/>
        <color theme="1"/>
        <rFont val="Calibri"/>
        <family val="2"/>
        <scheme val="minor"/>
      </rPr>
      <t xml:space="preserve">ENDEREÇO: </t>
    </r>
    <r>
      <rPr>
        <sz val="6"/>
        <color theme="1"/>
        <rFont val="Calibri"/>
        <family val="2"/>
        <scheme val="minor"/>
      </rPr>
      <t>AV. CASTELO BRANCO, ESPAÇO MUNICIPAL, 2500</t>
    </r>
  </si>
  <si>
    <r>
      <rPr>
        <b/>
        <sz val="6"/>
        <color theme="1"/>
        <rFont val="Calibri"/>
        <family val="2"/>
        <scheme val="minor"/>
      </rPr>
      <t>OBRA:</t>
    </r>
    <r>
      <rPr>
        <sz val="6"/>
        <color theme="1"/>
        <rFont val="Calibri"/>
        <family val="2"/>
        <scheme val="minor"/>
      </rPr>
      <t xml:space="preserve"> CONSTRUÇÃO PONTO DE ÔNIBUS </t>
    </r>
  </si>
  <si>
    <r>
      <rPr>
        <b/>
        <sz val="6"/>
        <color theme="1"/>
        <rFont val="Calibri"/>
        <family val="2"/>
        <scheme val="minor"/>
      </rPr>
      <t>OBRA:</t>
    </r>
    <r>
      <rPr>
        <sz val="6"/>
        <color theme="1"/>
        <rFont val="Calibri"/>
        <family val="2"/>
        <scheme val="minor"/>
      </rPr>
      <t xml:space="preserve"> CONSTRUÇÃO PONTO DE ÔNIBUS  </t>
    </r>
  </si>
  <si>
    <t xml:space="preserve">  VALOR UNITÁRIO COM BDI:  </t>
  </si>
  <si>
    <t xml:space="preserve">VALOR UNITÁRIO COM DESCONTO DE ATA (11%):  </t>
  </si>
  <si>
    <t xml:space="preserve">VALOR TOTAL COM BDI:  </t>
  </si>
  <si>
    <t>2.3</t>
  </si>
  <si>
    <t>PLANILHA ORÇAMENTÁRIA MODELO 1</t>
  </si>
  <si>
    <t>PLANILHA ORÇAMENTÁRIA MODELO 2</t>
  </si>
  <si>
    <t>PLANILHA ORÇAMENTÁRIA MODELO 4</t>
  </si>
  <si>
    <t>PLANILHA ORÇAMENTÁRIA MODELO 5</t>
  </si>
  <si>
    <t>PLANILHA ORÇAMENTÁRIA MODELO 6</t>
  </si>
  <si>
    <t>PLANILHA ORÇAMENTÁRIA COBERTURA</t>
  </si>
  <si>
    <t>TAPUME COM TELHA METÁLICA. AF_05/2018</t>
  </si>
  <si>
    <t>5.2</t>
  </si>
  <si>
    <t>REMOÇÃO DE TAPUME/ CHAPAS METÁLICAS E DE MADEIRA, DE FORMA MANUAL, SEM REAPROVEITAMENTO. AF_12/2017</t>
  </si>
  <si>
    <t>ARMAÇÃO DE BLOCO, VIGA BALDRAME OU SAPATA UTILIZANDO AÇO CA-50 DE 6,3MM - MONTAGEM. AF_06/2017</t>
  </si>
  <si>
    <t>ESCAVAÇÃO MANUAL PARA BLOCO DE COROAMENTO OU SAPATA (SEM ESCAVAÇÃO PARA COLOCAÇÃO DE FÔRMAS). AF_06/2017</t>
  </si>
  <si>
    <t>PINTURA COM TINTA ALQUÍDICA DE ACABAMENTO (ESMALTE SINTÉTICO ACETINADO ) PULVERIZADA SOBRE SUPERFÍCIES METÁLICAS (EXCETO PERFIL) EXECUTADO EM OBRA (02 DEMÃOS). AF_01/2020_P</t>
  </si>
  <si>
    <t xml:space="preserve"> </t>
  </si>
  <si>
    <t xml:space="preserve">MERCADO </t>
  </si>
  <si>
    <t xml:space="preserve">UN    </t>
  </si>
  <si>
    <t>ESTACA BROCA DE CONCRETO, DIÂMETRO DE 30CM, ESCAVAÇÃO MANUAL COM TRADO CONCHA, INTEIRAMENTE ARMADA. AF_05/2020</t>
  </si>
  <si>
    <t>PILAR METÁLICO PERFIL LAMINADO OU SOLDADO EM AÇO ESTRUTURAL, COM CONEXÕES SOLDADAS, INCLUSOS MÃO DE OBRA, TRANSPORTE E IÇAMENTO UTILIZANDO GÕES SOLDADAS, INCLUSOS MÃO DE OBRA, TRANSPORTE E IÇAMENTO UTILIZANDO GUINDASTE - FORNECIMENTO E INSTALAÇÃO. AF_01/2020_P</t>
  </si>
  <si>
    <t>VIGA METÁLICA EM PERFIL LAMINADO OU SOLDADO EM AÇO ESTRUTURAL, COM CONEXÕES SOLDADAS, INCLUSOS MÃO DE OBRA, TRANSPORTE E IÇAMENTO UTILIZANDO GUINDASTE - FORNECIMENTO E INSTALAÇÃO. AF_01/2020_P</t>
  </si>
  <si>
    <t>AJUDANTE DE ESTRUTURA METÁLICA COM ENCARGOS COMPLEMENTARES</t>
  </si>
  <si>
    <t>PINTURA COM TINTA ALQUÍDICA DE ACABAMENTO (ESMALTE SINTÉTICO ACETINADO ) APLICADA A ROLO OU PINCEL SOBRE SUPERFÍCIES METÁLICAS (EXCETO PERFIL) EXECUTADO EM OBRA (02 DEMÃOS). AF_01/2020</t>
  </si>
  <si>
    <t>INSTALAÇÃO METÁLICA MOD.1</t>
  </si>
  <si>
    <t>INSTALAÇÃO METÁLICA MOD.2</t>
  </si>
  <si>
    <t>INSTALAÇÃO METÁLICA MOD.4</t>
  </si>
  <si>
    <t>INSTALAÇÃO METÁLICA MOD.5</t>
  </si>
  <si>
    <t>INSTALAÇÃO METÁLICA MOD.6</t>
  </si>
  <si>
    <t>INSTALAÇÃO METÁLICA COBERTURA</t>
  </si>
  <si>
    <t>LIXAMENTO MANUAL EM SUPERFÍCIES METÁLICAS EM OBRA. AF_01/2020</t>
  </si>
  <si>
    <t>COMP-1.0</t>
  </si>
  <si>
    <t>PROPRIA</t>
  </si>
  <si>
    <t>COMP-2.0</t>
  </si>
  <si>
    <t>COMP-4.0</t>
  </si>
  <si>
    <t>COMP-6.0</t>
  </si>
  <si>
    <t>COMP-5.0</t>
  </si>
  <si>
    <t>COMP-7.0</t>
  </si>
  <si>
    <t>INSTALAÇÃO METÁLICA MOD. 6</t>
  </si>
  <si>
    <t>INSTALAÇÃO METÁLICA MOD. 5</t>
  </si>
  <si>
    <t>INSTALAÇÃO METÁLICA MOD. 4</t>
  </si>
  <si>
    <t>INSTALAÇÃO METÁLICA MOD. 2</t>
  </si>
  <si>
    <t>COBERTURA COM CHAPA DE POLICARBONATO</t>
  </si>
  <si>
    <t>DEINFRA-SC</t>
  </si>
  <si>
    <t>EMBASA</t>
  </si>
  <si>
    <t>BRISE EM LUXALON INSTALADO</t>
  </si>
  <si>
    <t>15.92.20</t>
  </si>
  <si>
    <t>CHAPA POLICARBONATO, COR CRISTAL-INCOLOR 3MM 2,0X3,0M</t>
  </si>
  <si>
    <t>ORSE</t>
  </si>
  <si>
    <t>I13716</t>
  </si>
  <si>
    <t xml:space="preserve">FORRO </t>
  </si>
  <si>
    <t>SBC</t>
  </si>
  <si>
    <t>CORRIMÃO/GUARDA CORPO PASSARELA - TUBOS SOLDADOS 1" E 1.1/2"</t>
  </si>
  <si>
    <t>CHAPA DE AÇO GALVANIZADA BITOLA GSG 24, E=0,64 (5,12 KG/M2)</t>
  </si>
  <si>
    <t xml:space="preserve">300 HRS CADA </t>
  </si>
  <si>
    <r>
      <rPr>
        <b/>
        <sz val="6"/>
        <color theme="1"/>
        <rFont val="Calibri"/>
        <family val="2"/>
        <scheme val="minor"/>
      </rPr>
      <t xml:space="preserve">DATA BASE: </t>
    </r>
    <r>
      <rPr>
        <sz val="6"/>
        <color theme="1"/>
        <rFont val="Calibri"/>
        <family val="2"/>
        <scheme val="minor"/>
      </rPr>
      <t>SINAPI AGOSTO - COM DESONERAÇÃO / 2022 - BDI - 28,24%</t>
    </r>
  </si>
  <si>
    <t>DATA BASE: SINAPI AGOSTO - COM DESONERAÇÃO / 2022 - BDI - 28,24%</t>
  </si>
  <si>
    <t>180HRS CDA</t>
  </si>
  <si>
    <t xml:space="preserve">PLANILHA COMPOSIÇÕES </t>
  </si>
  <si>
    <t>ORIGEM</t>
  </si>
  <si>
    <t xml:space="preserve">OBRA: CONSTRUÇÃO PONTO DE ÔNIBUS </t>
  </si>
  <si>
    <t>1.4</t>
  </si>
  <si>
    <t>ENG. 3HRS - ENCAR.5HRS (181DIAS-6MESES)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</si>
</sst>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&quot; R$&quot;#,##0.00&quot; &quot;;&quot; R$(&quot;#,##0.00&quot;)&quot;;&quot; R$-&quot;#&quot; &quot;;&quot; &quot;@&quot; &quot;"/>
    <numFmt numFmtId="166" formatCode="0.0"/>
    <numFmt numFmtId="167" formatCode="&quot; &quot;#,##0.00&quot; &quot;;&quot; (&quot;#,##0.00&quot;)&quot;;&quot; -&quot;#&quot; &quot;;&quot; &quot;@&quot; &quot;"/>
    <numFmt numFmtId="168" formatCode="[$-416]0.00%"/>
    <numFmt numFmtId="169" formatCode="[$-416]#,##0.00"/>
    <numFmt numFmtId="170" formatCode="[$-416]0%"/>
    <numFmt numFmtId="171" formatCode="[$-416]0"/>
    <numFmt numFmtId="172" formatCode="_(&quot;R$&quot;* #,##0.00_);_(&quot;R$&quot;* \(#,##0.00\);_(&quot;R$&quot;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rgb="FF000000"/>
      <name val="Calibri"/>
      <family val="2"/>
    </font>
    <font>
      <sz val="10"/>
      <color theme="1"/>
      <name val="Arial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sz val="6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A6A6A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164" fontId="4" fillId="0" borderId="0"/>
    <xf numFmtId="165" fontId="6" fillId="0" borderId="0"/>
    <xf numFmtId="167" fontId="6" fillId="0" borderId="0"/>
    <xf numFmtId="170" fontId="6" fillId="0" borderId="0"/>
    <xf numFmtId="167" fontId="6" fillId="0" borderId="0"/>
    <xf numFmtId="164" fontId="10" fillId="0" borderId="0" applyBorder="0" applyProtection="0"/>
    <xf numFmtId="170" fontId="6" fillId="0" borderId="0"/>
    <xf numFmtId="43" fontId="1" fillId="0" borderId="0" applyFont="0" applyFill="0" applyBorder="0" applyAlignment="0" applyProtection="0"/>
    <xf numFmtId="172" fontId="28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44" fontId="3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/>
    <xf numFmtId="2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0" xfId="0" applyFont="1"/>
    <xf numFmtId="0" fontId="16" fillId="11" borderId="1" xfId="0" applyFont="1" applyFill="1" applyBorder="1" applyAlignment="1">
      <alignment horizontal="center" vertical="center" wrapText="1"/>
    </xf>
    <xf numFmtId="168" fontId="17" fillId="12" borderId="1" xfId="7" applyNumberFormat="1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168" fontId="18" fillId="5" borderId="1" xfId="7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 wrapText="1"/>
    </xf>
    <xf numFmtId="168" fontId="16" fillId="5" borderId="1" xfId="7" applyNumberFormat="1" applyFont="1" applyFill="1" applyBorder="1" applyAlignment="1">
      <alignment horizontal="center" vertical="center" wrapText="1"/>
    </xf>
    <xf numFmtId="168" fontId="16" fillId="12" borderId="1" xfId="7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right" vertical="center" wrapText="1"/>
    </xf>
    <xf numFmtId="170" fontId="17" fillId="5" borderId="1" xfId="0" applyNumberFormat="1" applyFont="1" applyFill="1" applyBorder="1" applyAlignment="1">
      <alignment horizontal="right" vertical="center" wrapText="1"/>
    </xf>
    <xf numFmtId="170" fontId="16" fillId="5" borderId="1" xfId="0" applyNumberFormat="1" applyFont="1" applyFill="1" applyBorder="1" applyAlignment="1">
      <alignment horizontal="right" vertical="center" wrapText="1"/>
    </xf>
    <xf numFmtId="168" fontId="17" fillId="5" borderId="1" xfId="7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168" fontId="16" fillId="13" borderId="1" xfId="7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13" fillId="9" borderId="4" xfId="0" applyNumberFormat="1" applyFont="1" applyFill="1" applyBorder="1" applyAlignment="1">
      <alignment horizontal="center" vertical="center"/>
    </xf>
    <xf numFmtId="44" fontId="13" fillId="9" borderId="4" xfId="0" applyNumberFormat="1" applyFont="1" applyFill="1" applyBorder="1" applyAlignment="1">
      <alignment vertical="center"/>
    </xf>
    <xf numFmtId="44" fontId="13" fillId="9" borderId="5" xfId="0" applyNumberFormat="1" applyFont="1" applyFill="1" applyBorder="1" applyAlignment="1">
      <alignment vertical="center"/>
    </xf>
    <xf numFmtId="2" fontId="12" fillId="0" borderId="4" xfId="0" applyNumberFormat="1" applyFont="1" applyBorder="1" applyAlignment="1">
      <alignment horizontal="center" vertical="center"/>
    </xf>
    <xf numFmtId="44" fontId="12" fillId="0" borderId="4" xfId="0" applyNumberFormat="1" applyFont="1" applyBorder="1" applyAlignment="1">
      <alignment vertical="center"/>
    </xf>
    <xf numFmtId="44" fontId="12" fillId="0" borderId="5" xfId="0" applyNumberFormat="1" applyFont="1" applyBorder="1" applyAlignment="1">
      <alignment vertical="center"/>
    </xf>
    <xf numFmtId="44" fontId="13" fillId="7" borderId="4" xfId="0" applyNumberFormat="1" applyFont="1" applyFill="1" applyBorder="1" applyAlignment="1">
      <alignment vertical="center"/>
    </xf>
    <xf numFmtId="44" fontId="13" fillId="7" borderId="5" xfId="0" applyNumberFormat="1" applyFont="1" applyFill="1" applyBorder="1" applyAlignment="1">
      <alignment vertical="center"/>
    </xf>
    <xf numFmtId="44" fontId="13" fillId="4" borderId="5" xfId="0" applyNumberFormat="1" applyFont="1" applyFill="1" applyBorder="1" applyAlignment="1">
      <alignment vertical="center"/>
    </xf>
    <xf numFmtId="2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9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0" fillId="2" borderId="0" xfId="0" applyFill="1"/>
    <xf numFmtId="0" fontId="0" fillId="15" borderId="0" xfId="0" applyFill="1"/>
    <xf numFmtId="44" fontId="9" fillId="0" borderId="0" xfId="0" applyNumberFormat="1" applyFont="1" applyAlignment="1">
      <alignment horizontal="right" vertical="center"/>
    </xf>
    <xf numFmtId="0" fontId="22" fillId="14" borderId="4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vertical="center" wrapText="1"/>
    </xf>
    <xf numFmtId="0" fontId="24" fillId="14" borderId="4" xfId="0" applyFont="1" applyFill="1" applyBorder="1" applyAlignment="1">
      <alignment horizontal="center" vertical="center"/>
    </xf>
    <xf numFmtId="2" fontId="12" fillId="14" borderId="4" xfId="0" applyNumberFormat="1" applyFont="1" applyFill="1" applyBorder="1" applyAlignment="1">
      <alignment horizontal="center" vertical="center"/>
    </xf>
    <xf numFmtId="44" fontId="12" fillId="14" borderId="4" xfId="0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4" fontId="12" fillId="0" borderId="4" xfId="0" applyNumberFormat="1" applyFont="1" applyBorder="1" applyAlignment="1">
      <alignment horizontal="right" vertical="center"/>
    </xf>
    <xf numFmtId="44" fontId="12" fillId="0" borderId="5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44" fontId="12" fillId="0" borderId="28" xfId="0" applyNumberFormat="1" applyFont="1" applyBorder="1" applyAlignment="1">
      <alignment horizontal="right" vertical="center"/>
    </xf>
    <xf numFmtId="44" fontId="12" fillId="0" borderId="22" xfId="0" applyNumberFormat="1" applyFont="1" applyBorder="1" applyAlignment="1">
      <alignment horizontal="center" vertical="center"/>
    </xf>
    <xf numFmtId="44" fontId="12" fillId="0" borderId="0" xfId="0" applyNumberFormat="1" applyFont="1" applyAlignment="1">
      <alignment horizontal="right" vertical="center"/>
    </xf>
    <xf numFmtId="0" fontId="22" fillId="0" borderId="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8" xfId="0" applyFont="1" applyBorder="1" applyAlignment="1">
      <alignment vertical="center" wrapText="1"/>
    </xf>
    <xf numFmtId="0" fontId="13" fillId="7" borderId="13" xfId="0" applyFont="1" applyFill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3" xfId="0" applyFont="1" applyFill="1" applyBorder="1"/>
    <xf numFmtId="0" fontId="13" fillId="7" borderId="8" xfId="0" applyFont="1" applyFill="1" applyBorder="1"/>
    <xf numFmtId="44" fontId="13" fillId="7" borderId="8" xfId="0" applyNumberFormat="1" applyFont="1" applyFill="1" applyBorder="1" applyAlignment="1">
      <alignment vertical="center"/>
    </xf>
    <xf numFmtId="0" fontId="25" fillId="6" borderId="23" xfId="0" applyFont="1" applyFill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left" vertical="center" wrapText="1"/>
    </xf>
    <xf numFmtId="2" fontId="23" fillId="6" borderId="33" xfId="0" applyNumberFormat="1" applyFont="1" applyFill="1" applyBorder="1" applyAlignment="1">
      <alignment horizontal="center" vertical="center" wrapText="1"/>
    </xf>
    <xf numFmtId="44" fontId="23" fillId="6" borderId="33" xfId="0" applyNumberFormat="1" applyFont="1" applyFill="1" applyBorder="1" applyAlignment="1">
      <alignment horizontal="center" vertical="center" wrapText="1"/>
    </xf>
    <xf numFmtId="44" fontId="23" fillId="6" borderId="24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vertical="center" wrapText="1"/>
    </xf>
    <xf numFmtId="0" fontId="23" fillId="4" borderId="9" xfId="0" applyFont="1" applyFill="1" applyBorder="1" applyAlignment="1">
      <alignment vertical="center" wrapText="1"/>
    </xf>
    <xf numFmtId="0" fontId="25" fillId="4" borderId="13" xfId="0" applyFont="1" applyFill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0" fontId="25" fillId="4" borderId="9" xfId="0" applyFont="1" applyFill="1" applyBorder="1" applyAlignment="1">
      <alignment vertical="center"/>
    </xf>
    <xf numFmtId="0" fontId="13" fillId="14" borderId="13" xfId="0" applyFont="1" applyFill="1" applyBorder="1" applyAlignment="1">
      <alignment horizontal="right" vertical="center"/>
    </xf>
    <xf numFmtId="44" fontId="13" fillId="14" borderId="5" xfId="0" applyNumberFormat="1" applyFont="1" applyFill="1" applyBorder="1" applyAlignment="1">
      <alignment vertical="center"/>
    </xf>
    <xf numFmtId="0" fontId="13" fillId="14" borderId="9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vertical="center"/>
    </xf>
    <xf numFmtId="0" fontId="13" fillId="14" borderId="14" xfId="0" applyFont="1" applyFill="1" applyBorder="1" applyAlignment="1">
      <alignment vertical="center"/>
    </xf>
    <xf numFmtId="0" fontId="23" fillId="9" borderId="7" xfId="0" applyFont="1" applyFill="1" applyBorder="1" applyAlignment="1">
      <alignment vertical="center" wrapText="1"/>
    </xf>
    <xf numFmtId="0" fontId="23" fillId="9" borderId="9" xfId="0" applyFont="1" applyFill="1" applyBorder="1" applyAlignment="1">
      <alignment vertical="center" wrapText="1"/>
    </xf>
    <xf numFmtId="0" fontId="13" fillId="14" borderId="13" xfId="0" applyFont="1" applyFill="1" applyBorder="1"/>
    <xf numFmtId="0" fontId="13" fillId="14" borderId="8" xfId="0" applyFont="1" applyFill="1" applyBorder="1"/>
    <xf numFmtId="44" fontId="13" fillId="14" borderId="8" xfId="0" applyNumberFormat="1" applyFont="1" applyFill="1" applyBorder="1"/>
    <xf numFmtId="0" fontId="23" fillId="9" borderId="8" xfId="0" applyFont="1" applyFill="1" applyBorder="1" applyAlignment="1">
      <alignment vertical="center" wrapText="1"/>
    </xf>
    <xf numFmtId="0" fontId="23" fillId="9" borderId="14" xfId="0" applyFont="1" applyFill="1" applyBorder="1" applyAlignment="1">
      <alignment vertical="center" wrapText="1"/>
    </xf>
    <xf numFmtId="0" fontId="22" fillId="9" borderId="7" xfId="0" applyFont="1" applyFill="1" applyBorder="1" applyAlignment="1">
      <alignment vertical="center" wrapText="1"/>
    </xf>
    <xf numFmtId="0" fontId="22" fillId="9" borderId="9" xfId="0" applyFont="1" applyFill="1" applyBorder="1" applyAlignment="1">
      <alignment vertical="center" wrapText="1"/>
    </xf>
    <xf numFmtId="0" fontId="13" fillId="14" borderId="13" xfId="0" applyFont="1" applyFill="1" applyBorder="1" applyAlignment="1">
      <alignment vertical="center"/>
    </xf>
    <xf numFmtId="44" fontId="13" fillId="14" borderId="8" xfId="0" applyNumberFormat="1" applyFont="1" applyFill="1" applyBorder="1" applyAlignment="1">
      <alignment vertical="center"/>
    </xf>
    <xf numFmtId="0" fontId="25" fillId="4" borderId="6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44" fontId="11" fillId="0" borderId="0" xfId="0" applyNumberFormat="1" applyFont="1" applyAlignment="1">
      <alignment horizontal="center" vertical="center"/>
    </xf>
    <xf numFmtId="0" fontId="22" fillId="0" borderId="30" xfId="0" applyFont="1" applyBorder="1"/>
    <xf numFmtId="0" fontId="22" fillId="0" borderId="32" xfId="0" applyFont="1" applyBorder="1"/>
    <xf numFmtId="0" fontId="12" fillId="0" borderId="0" xfId="0" applyFont="1"/>
    <xf numFmtId="44" fontId="12" fillId="0" borderId="0" xfId="0" applyNumberFormat="1" applyFont="1"/>
    <xf numFmtId="0" fontId="13" fillId="0" borderId="0" xfId="0" applyFont="1"/>
    <xf numFmtId="171" fontId="27" fillId="0" borderId="34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44" fontId="27" fillId="0" borderId="34" xfId="2" applyNumberFormat="1" applyFont="1" applyBorder="1" applyAlignment="1">
      <alignment horizontal="left" vertical="center" wrapText="1"/>
    </xf>
    <xf numFmtId="44" fontId="12" fillId="0" borderId="30" xfId="0" applyNumberFormat="1" applyFont="1" applyBorder="1" applyAlignment="1">
      <alignment vertical="center"/>
    </xf>
    <xf numFmtId="44" fontId="12" fillId="0" borderId="35" xfId="0" applyNumberFormat="1" applyFont="1" applyBorder="1" applyAlignment="1">
      <alignment vertical="center"/>
    </xf>
    <xf numFmtId="44" fontId="26" fillId="0" borderId="36" xfId="2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/>
    <xf numFmtId="0" fontId="27" fillId="0" borderId="6" xfId="0" applyFont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172" fontId="27" fillId="0" borderId="4" xfId="9" applyFont="1" applyFill="1" applyBorder="1" applyAlignment="1">
      <alignment horizontal="center" vertical="center" wrapText="1"/>
    </xf>
    <xf numFmtId="172" fontId="27" fillId="0" borderId="5" xfId="9" applyFont="1" applyFill="1" applyBorder="1" applyAlignment="1">
      <alignment horizontal="center" vertical="center" wrapText="1"/>
    </xf>
    <xf numFmtId="172" fontId="22" fillId="0" borderId="4" xfId="9" applyFont="1" applyFill="1" applyBorder="1" applyAlignment="1">
      <alignment horizontal="center" vertical="center" wrapText="1"/>
    </xf>
    <xf numFmtId="172" fontId="27" fillId="0" borderId="5" xfId="9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/>
    </xf>
    <xf numFmtId="44" fontId="27" fillId="0" borderId="4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vertical="center"/>
    </xf>
    <xf numFmtId="44" fontId="23" fillId="0" borderId="0" xfId="0" applyNumberFormat="1" applyFont="1" applyAlignment="1">
      <alignment horizontal="right" vertical="center"/>
    </xf>
    <xf numFmtId="0" fontId="29" fillId="8" borderId="37" xfId="0" applyFont="1" applyFill="1" applyBorder="1" applyAlignment="1">
      <alignment vertical="center" wrapText="1"/>
    </xf>
    <xf numFmtId="0" fontId="29" fillId="8" borderId="37" xfId="0" applyFont="1" applyFill="1" applyBorder="1" applyAlignment="1">
      <alignment horizontal="center" vertical="center" wrapText="1"/>
    </xf>
    <xf numFmtId="172" fontId="29" fillId="8" borderId="38" xfId="9" applyFont="1" applyFill="1" applyBorder="1" applyAlignment="1">
      <alignment horizontal="center" vertical="center" wrapText="1"/>
    </xf>
    <xf numFmtId="172" fontId="29" fillId="8" borderId="39" xfId="9" applyFont="1" applyFill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left" vertical="center" wrapText="1"/>
    </xf>
    <xf numFmtId="44" fontId="27" fillId="0" borderId="28" xfId="0" applyNumberFormat="1" applyFont="1" applyBorder="1" applyAlignment="1">
      <alignment horizontal="center" vertical="center"/>
    </xf>
    <xf numFmtId="172" fontId="27" fillId="0" borderId="22" xfId="9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4" fontId="27" fillId="0" borderId="0" xfId="0" applyNumberFormat="1" applyFont="1" applyAlignment="1">
      <alignment horizontal="center" vertical="center"/>
    </xf>
    <xf numFmtId="172" fontId="27" fillId="0" borderId="0" xfId="9" applyFont="1" applyBorder="1" applyAlignment="1">
      <alignment horizontal="center" vertical="center" wrapText="1"/>
    </xf>
    <xf numFmtId="0" fontId="11" fillId="9" borderId="42" xfId="0" applyFont="1" applyFill="1" applyBorder="1" applyAlignment="1">
      <alignment horizontal="center" vertical="center"/>
    </xf>
    <xf numFmtId="0" fontId="11" fillId="9" borderId="43" xfId="0" applyFont="1" applyFill="1" applyBorder="1" applyAlignment="1">
      <alignment vertical="center" wrapText="1"/>
    </xf>
    <xf numFmtId="0" fontId="11" fillId="9" borderId="43" xfId="0" applyFont="1" applyFill="1" applyBorder="1" applyAlignment="1">
      <alignment horizontal="center" vertical="center"/>
    </xf>
    <xf numFmtId="2" fontId="11" fillId="9" borderId="43" xfId="0" applyNumberFormat="1" applyFont="1" applyFill="1" applyBorder="1" applyAlignment="1">
      <alignment horizontal="center" vertical="center"/>
    </xf>
    <xf numFmtId="44" fontId="11" fillId="9" borderId="44" xfId="0" applyNumberFormat="1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vertical="center" wrapText="1"/>
    </xf>
    <xf numFmtId="2" fontId="13" fillId="8" borderId="27" xfId="0" applyNumberFormat="1" applyFont="1" applyFill="1" applyBorder="1" applyAlignment="1">
      <alignment horizontal="center" vertical="center"/>
    </xf>
    <xf numFmtId="44" fontId="13" fillId="8" borderId="27" xfId="0" applyNumberFormat="1" applyFont="1" applyFill="1" applyBorder="1" applyAlignment="1">
      <alignment horizontal="right" vertical="center"/>
    </xf>
    <xf numFmtId="44" fontId="13" fillId="8" borderId="20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wrapText="1"/>
    </xf>
    <xf numFmtId="1" fontId="22" fillId="14" borderId="4" xfId="0" applyNumberFormat="1" applyFont="1" applyFill="1" applyBorder="1" applyAlignment="1">
      <alignment horizontal="center" vertical="center" wrapText="1"/>
    </xf>
    <xf numFmtId="0" fontId="12" fillId="15" borderId="0" xfId="0" applyFont="1" applyFill="1"/>
    <xf numFmtId="44" fontId="12" fillId="15" borderId="0" xfId="0" applyNumberFormat="1" applyFont="1" applyFill="1"/>
    <xf numFmtId="0" fontId="22" fillId="0" borderId="4" xfId="0" applyFont="1" applyBorder="1" applyAlignment="1">
      <alignment horizontal="center" vertical="center"/>
    </xf>
    <xf numFmtId="1" fontId="27" fillId="0" borderId="28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vertical="center" wrapText="1"/>
    </xf>
    <xf numFmtId="0" fontId="13" fillId="8" borderId="27" xfId="0" applyFont="1" applyFill="1" applyBorder="1" applyAlignment="1">
      <alignment horizontal="center" vertical="center"/>
    </xf>
    <xf numFmtId="2" fontId="30" fillId="0" borderId="4" xfId="8" applyNumberFormat="1" applyFont="1" applyBorder="1" applyAlignment="1">
      <alignment horizontal="center" vertical="center" wrapText="1"/>
    </xf>
    <xf numFmtId="2" fontId="27" fillId="0" borderId="4" xfId="8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2" fontId="12" fillId="0" borderId="4" xfId="9" applyFont="1" applyFill="1" applyBorder="1" applyAlignment="1">
      <alignment horizontal="center" vertical="center" wrapText="1"/>
    </xf>
    <xf numFmtId="172" fontId="30" fillId="0" borderId="5" xfId="9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72" fontId="12" fillId="0" borderId="28" xfId="9" applyFont="1" applyFill="1" applyBorder="1" applyAlignment="1">
      <alignment horizontal="center" vertical="center" wrapText="1"/>
    </xf>
    <xf numFmtId="172" fontId="30" fillId="0" borderId="22" xfId="9" applyFont="1" applyBorder="1" applyAlignment="1">
      <alignment horizontal="center" vertical="center" wrapText="1"/>
    </xf>
    <xf numFmtId="2" fontId="30" fillId="0" borderId="28" xfId="8" applyNumberFormat="1" applyFont="1" applyBorder="1" applyAlignment="1">
      <alignment horizontal="center" vertical="center" wrapText="1"/>
    </xf>
    <xf numFmtId="2" fontId="29" fillId="8" borderId="37" xfId="8" applyNumberFormat="1" applyFont="1" applyFill="1" applyBorder="1" applyAlignment="1">
      <alignment horizontal="center" vertical="center" wrapText="1"/>
    </xf>
    <xf numFmtId="2" fontId="27" fillId="0" borderId="4" xfId="8" applyNumberFormat="1" applyFont="1" applyFill="1" applyBorder="1" applyAlignment="1">
      <alignment horizontal="center" vertical="center" wrapText="1"/>
    </xf>
    <xf numFmtId="2" fontId="27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4" fontId="8" fillId="0" borderId="0" xfId="2" applyNumberFormat="1" applyFont="1" applyAlignment="1">
      <alignment horizontal="center" vertical="center"/>
    </xf>
    <xf numFmtId="0" fontId="7" fillId="0" borderId="0" xfId="0" applyFont="1"/>
    <xf numFmtId="0" fontId="24" fillId="0" borderId="13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3" fillId="14" borderId="0" xfId="0" applyFont="1" applyFill="1" applyAlignment="1">
      <alignment vertical="center"/>
    </xf>
    <xf numFmtId="0" fontId="22" fillId="14" borderId="0" xfId="0" applyFont="1" applyFill="1"/>
    <xf numFmtId="0" fontId="5" fillId="14" borderId="0" xfId="0" applyFont="1" applyFill="1" applyAlignment="1">
      <alignment vertical="center"/>
    </xf>
    <xf numFmtId="0" fontId="0" fillId="0" borderId="45" xfId="0" applyBorder="1"/>
    <xf numFmtId="44" fontId="22" fillId="0" borderId="56" xfId="0" applyNumberFormat="1" applyFont="1" applyBorder="1" applyAlignment="1">
      <alignment horizontal="center" vertical="center"/>
    </xf>
    <xf numFmtId="44" fontId="12" fillId="0" borderId="56" xfId="0" applyNumberFormat="1" applyFont="1" applyBorder="1" applyAlignment="1">
      <alignment horizontal="center" vertical="center"/>
    </xf>
    <xf numFmtId="44" fontId="5" fillId="0" borderId="56" xfId="0" applyNumberFormat="1" applyFont="1" applyBorder="1" applyAlignment="1">
      <alignment horizontal="center" vertical="center"/>
    </xf>
    <xf numFmtId="44" fontId="9" fillId="0" borderId="56" xfId="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172" fontId="27" fillId="0" borderId="56" xfId="9" applyFont="1" applyBorder="1" applyAlignment="1">
      <alignment horizontal="center" vertical="center" wrapText="1"/>
    </xf>
    <xf numFmtId="0" fontId="11" fillId="9" borderId="41" xfId="0" applyFont="1" applyFill="1" applyBorder="1" applyAlignment="1">
      <alignment horizontal="center" vertical="center"/>
    </xf>
    <xf numFmtId="44" fontId="11" fillId="9" borderId="43" xfId="0" applyNumberFormat="1" applyFont="1" applyFill="1" applyBorder="1" applyAlignment="1">
      <alignment horizontal="center" vertical="center"/>
    </xf>
    <xf numFmtId="44" fontId="5" fillId="4" borderId="3" xfId="2" applyNumberFormat="1" applyFont="1" applyFill="1" applyBorder="1" applyAlignment="1">
      <alignment horizontal="center" vertical="center"/>
    </xf>
    <xf numFmtId="166" fontId="5" fillId="0" borderId="45" xfId="0" applyNumberFormat="1" applyFont="1" applyBorder="1" applyAlignment="1">
      <alignment horizontal="center" vertical="center" wrapText="1"/>
    </xf>
    <xf numFmtId="169" fontId="9" fillId="0" borderId="0" xfId="0" applyNumberFormat="1" applyFont="1" applyAlignment="1">
      <alignment horizontal="left" vertical="center" wrapText="1"/>
    </xf>
    <xf numFmtId="44" fontId="9" fillId="0" borderId="0" xfId="2" applyNumberFormat="1" applyFont="1" applyAlignment="1">
      <alignment horizontal="center" vertical="center"/>
    </xf>
    <xf numFmtId="168" fontId="9" fillId="0" borderId="56" xfId="3" applyNumberFormat="1" applyFont="1" applyBorder="1" applyAlignment="1">
      <alignment horizontal="center" vertical="center"/>
    </xf>
    <xf numFmtId="44" fontId="5" fillId="4" borderId="28" xfId="2" applyNumberFormat="1" applyFont="1" applyFill="1" applyBorder="1" applyAlignment="1">
      <alignment horizontal="center" vertical="center"/>
    </xf>
    <xf numFmtId="168" fontId="5" fillId="4" borderId="22" xfId="4" applyNumberFormat="1" applyFont="1" applyFill="1" applyBorder="1" applyAlignment="1">
      <alignment horizontal="center" vertical="center"/>
    </xf>
    <xf numFmtId="166" fontId="5" fillId="0" borderId="5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9" fillId="0" borderId="1" xfId="2" applyNumberFormat="1" applyFont="1" applyBorder="1" applyAlignment="1">
      <alignment horizontal="center" vertical="center"/>
    </xf>
    <xf numFmtId="168" fontId="9" fillId="0" borderId="52" xfId="3" applyNumberFormat="1" applyFont="1" applyBorder="1" applyAlignment="1">
      <alignment horizontal="center" vertical="center"/>
    </xf>
    <xf numFmtId="168" fontId="9" fillId="0" borderId="54" xfId="3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4" xfId="2" applyNumberFormat="1" applyFont="1" applyBorder="1" applyAlignment="1">
      <alignment horizontal="center" vertical="center"/>
    </xf>
    <xf numFmtId="168" fontId="9" fillId="0" borderId="5" xfId="3" applyNumberFormat="1" applyFont="1" applyBorder="1" applyAlignment="1">
      <alignment horizontal="center" vertical="center"/>
    </xf>
    <xf numFmtId="44" fontId="0" fillId="0" borderId="0" xfId="0" applyNumberFormat="1"/>
    <xf numFmtId="1" fontId="22" fillId="0" borderId="4" xfId="0" applyNumberFormat="1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right" vertical="center" wrapText="1"/>
    </xf>
    <xf numFmtId="0" fontId="5" fillId="3" borderId="28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164" fontId="5" fillId="0" borderId="61" xfId="1" applyFont="1" applyBorder="1" applyAlignment="1">
      <alignment horizontal="left" vertical="center" readingOrder="1"/>
    </xf>
    <xf numFmtId="164" fontId="5" fillId="0" borderId="2" xfId="1" applyFont="1" applyBorder="1" applyAlignment="1">
      <alignment horizontal="left" vertical="center" readingOrder="1"/>
    </xf>
    <xf numFmtId="164" fontId="5" fillId="0" borderId="54" xfId="1" applyFont="1" applyBorder="1" applyAlignment="1">
      <alignment horizontal="left" vertical="center" readingOrder="1"/>
    </xf>
    <xf numFmtId="164" fontId="5" fillId="0" borderId="53" xfId="1" applyFont="1" applyBorder="1" applyAlignment="1">
      <alignment horizontal="left" vertical="center" readingOrder="1"/>
    </xf>
    <xf numFmtId="164" fontId="5" fillId="0" borderId="1" xfId="1" applyFont="1" applyBorder="1" applyAlignment="1">
      <alignment horizontal="left" vertical="center" readingOrder="1"/>
    </xf>
    <xf numFmtId="164" fontId="5" fillId="0" borderId="52" xfId="1" applyFont="1" applyBorder="1" applyAlignment="1">
      <alignment horizontal="left" vertical="center" readingOrder="1"/>
    </xf>
    <xf numFmtId="164" fontId="5" fillId="0" borderId="60" xfId="1" applyFont="1" applyBorder="1" applyAlignment="1">
      <alignment horizontal="left" vertical="center" readingOrder="1"/>
    </xf>
    <xf numFmtId="164" fontId="5" fillId="0" borderId="47" xfId="1" applyFont="1" applyBorder="1" applyAlignment="1">
      <alignment horizontal="left" vertical="center" readingOrder="1"/>
    </xf>
    <xf numFmtId="164" fontId="5" fillId="0" borderId="55" xfId="1" applyFont="1" applyBorder="1" applyAlignment="1">
      <alignment horizontal="left" vertical="center" readingOrder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63" xfId="2" applyFont="1" applyFill="1" applyBorder="1" applyAlignment="1">
      <alignment horizontal="center" vertical="center"/>
    </xf>
    <xf numFmtId="165" fontId="5" fillId="4" borderId="64" xfId="2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right" vertical="center" wrapText="1"/>
    </xf>
    <xf numFmtId="44" fontId="11" fillId="10" borderId="7" xfId="0" applyNumberFormat="1" applyFont="1" applyFill="1" applyBorder="1" applyAlignment="1">
      <alignment horizontal="center" vertical="center"/>
    </xf>
    <xf numFmtId="44" fontId="11" fillId="10" borderId="14" xfId="0" applyNumberFormat="1" applyFont="1" applyFill="1" applyBorder="1" applyAlignment="1">
      <alignment horizontal="center" vertical="center"/>
    </xf>
    <xf numFmtId="44" fontId="12" fillId="0" borderId="65" xfId="0" applyNumberFormat="1" applyFont="1" applyBorder="1" applyAlignment="1">
      <alignment horizontal="center" vertical="center"/>
    </xf>
    <xf numFmtId="0" fontId="13" fillId="7" borderId="13" xfId="0" applyFont="1" applyFill="1" applyBorder="1" applyAlignment="1">
      <alignment horizontal="right" vertical="center"/>
    </xf>
    <xf numFmtId="0" fontId="13" fillId="7" borderId="8" xfId="0" applyFont="1" applyFill="1" applyBorder="1" applyAlignment="1">
      <alignment horizontal="right" vertical="center"/>
    </xf>
    <xf numFmtId="0" fontId="13" fillId="7" borderId="9" xfId="0" applyFont="1" applyFill="1" applyBorder="1" applyAlignment="1">
      <alignment horizontal="right" vertical="center"/>
    </xf>
    <xf numFmtId="44" fontId="11" fillId="10" borderId="18" xfId="0" applyNumberFormat="1" applyFont="1" applyFill="1" applyBorder="1" applyAlignment="1">
      <alignment horizontal="center" vertical="center"/>
    </xf>
    <xf numFmtId="44" fontId="11" fillId="10" borderId="19" xfId="0" applyNumberFormat="1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right" vertical="center"/>
    </xf>
    <xf numFmtId="0" fontId="11" fillId="10" borderId="16" xfId="0" applyFont="1" applyFill="1" applyBorder="1" applyAlignment="1">
      <alignment horizontal="right" vertical="center"/>
    </xf>
    <xf numFmtId="0" fontId="11" fillId="10" borderId="17" xfId="0" applyFont="1" applyFill="1" applyBorder="1" applyAlignment="1">
      <alignment horizontal="right" vertical="center"/>
    </xf>
    <xf numFmtId="0" fontId="11" fillId="10" borderId="13" xfId="0" applyFont="1" applyFill="1" applyBorder="1" applyAlignment="1">
      <alignment horizontal="right" vertical="center"/>
    </xf>
    <xf numFmtId="0" fontId="11" fillId="10" borderId="8" xfId="0" applyFont="1" applyFill="1" applyBorder="1" applyAlignment="1">
      <alignment horizontal="right" vertical="center"/>
    </xf>
    <xf numFmtId="0" fontId="11" fillId="10" borderId="9" xfId="0" applyFont="1" applyFill="1" applyBorder="1" applyAlignment="1">
      <alignment horizontal="right" vertical="center"/>
    </xf>
    <xf numFmtId="44" fontId="13" fillId="7" borderId="8" xfId="0" applyNumberFormat="1" applyFont="1" applyFill="1" applyBorder="1" applyAlignment="1">
      <alignment horizontal="right" vertical="center"/>
    </xf>
    <xf numFmtId="44" fontId="13" fillId="7" borderId="9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5" fillId="16" borderId="25" xfId="0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5" fillId="16" borderId="2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44" fontId="13" fillId="6" borderId="0" xfId="0" applyNumberFormat="1" applyFont="1" applyFill="1" applyAlignment="1">
      <alignment horizontal="center" vertical="center" wrapText="1"/>
    </xf>
    <xf numFmtId="0" fontId="23" fillId="9" borderId="7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23" fillId="9" borderId="14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left"/>
    </xf>
    <xf numFmtId="0" fontId="22" fillId="0" borderId="30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4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10" borderId="6" xfId="0" applyFont="1" applyFill="1" applyBorder="1" applyAlignment="1">
      <alignment horizontal="right" vertical="center"/>
    </xf>
    <xf numFmtId="0" fontId="11" fillId="10" borderId="4" xfId="0" applyFont="1" applyFill="1" applyBorder="1" applyAlignment="1">
      <alignment horizontal="right" vertical="center"/>
    </xf>
    <xf numFmtId="44" fontId="11" fillId="10" borderId="4" xfId="0" applyNumberFormat="1" applyFont="1" applyFill="1" applyBorder="1" applyAlignment="1">
      <alignment horizontal="center" vertical="center"/>
    </xf>
    <xf numFmtId="44" fontId="11" fillId="10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10" borderId="21" xfId="0" applyFont="1" applyFill="1" applyBorder="1" applyAlignment="1">
      <alignment horizontal="right" vertical="center"/>
    </xf>
    <xf numFmtId="0" fontId="11" fillId="10" borderId="28" xfId="0" applyFont="1" applyFill="1" applyBorder="1" applyAlignment="1">
      <alignment horizontal="right" vertical="center"/>
    </xf>
    <xf numFmtId="44" fontId="11" fillId="10" borderId="28" xfId="0" applyNumberFormat="1" applyFont="1" applyFill="1" applyBorder="1" applyAlignment="1">
      <alignment horizontal="center" vertical="center"/>
    </xf>
    <xf numFmtId="44" fontId="11" fillId="10" borderId="22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1" fontId="29" fillId="8" borderId="10" xfId="0" applyNumberFormat="1" applyFont="1" applyFill="1" applyBorder="1" applyAlignment="1">
      <alignment horizontal="center" vertical="center" wrapText="1"/>
    </xf>
    <xf numFmtId="1" fontId="29" fillId="8" borderId="40" xfId="0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/>
    </xf>
    <xf numFmtId="0" fontId="13" fillId="8" borderId="10" xfId="0" applyFont="1" applyFill="1" applyBorder="1" applyAlignment="1">
      <alignment horizontal="center" vertical="center"/>
    </xf>
    <xf numFmtId="0" fontId="13" fillId="8" borderId="40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</cellXfs>
  <cellStyles count="10">
    <cellStyle name="Excel Built-in Comma" xfId="5" xr:uid="{00000000-0005-0000-0000-000000000000}"/>
    <cellStyle name="Excel Built-in Currency" xfId="2" xr:uid="{00000000-0005-0000-0000-000001000000}"/>
    <cellStyle name="Excel Built-in Normal" xfId="6" xr:uid="{00000000-0005-0000-0000-000002000000}"/>
    <cellStyle name="Excel Built-in Percent" xfId="4" xr:uid="{00000000-0005-0000-0000-000003000000}"/>
    <cellStyle name="Moeda 5" xfId="9" xr:uid="{00000000-0005-0000-0000-000004000000}"/>
    <cellStyle name="Normal" xfId="0" builtinId="0"/>
    <cellStyle name="Normal 2" xfId="1" xr:uid="{00000000-0005-0000-0000-000006000000}"/>
    <cellStyle name="Porcentagem 2" xfId="7" xr:uid="{00000000-0005-0000-0000-000007000000}"/>
    <cellStyle name="Separador de milhares 2" xfId="3" xr:uid="{00000000-0005-0000-0000-000008000000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133351</xdr:colOff>
      <xdr:row>1</xdr:row>
      <xdr:rowOff>85726</xdr:rowOff>
    </xdr:from>
    <xdr:ext cx="3838574" cy="733424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28676" y="133351"/>
          <a:ext cx="3838574" cy="7334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155864</xdr:colOff>
      <xdr:row>1</xdr:row>
      <xdr:rowOff>45893</xdr:rowOff>
    </xdr:from>
    <xdr:ext cx="4135317" cy="698789"/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961159" y="141143"/>
          <a:ext cx="4135317" cy="698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363682</xdr:colOff>
      <xdr:row>1</xdr:row>
      <xdr:rowOff>47482</xdr:rowOff>
    </xdr:from>
    <xdr:ext cx="3489614" cy="601949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24841" y="203346"/>
          <a:ext cx="3489614" cy="6019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372341</xdr:colOff>
      <xdr:row>1</xdr:row>
      <xdr:rowOff>45893</xdr:rowOff>
    </xdr:from>
    <xdr:ext cx="4299840" cy="681471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32114" y="149802"/>
          <a:ext cx="4299840" cy="681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149087</xdr:colOff>
      <xdr:row>1</xdr:row>
      <xdr:rowOff>45893</xdr:rowOff>
    </xdr:from>
    <xdr:ext cx="4356652" cy="691259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86848" y="161850"/>
          <a:ext cx="4356652" cy="6912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99391</xdr:colOff>
      <xdr:row>1</xdr:row>
      <xdr:rowOff>45893</xdr:rowOff>
    </xdr:from>
    <xdr:ext cx="4191790" cy="691259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37152" y="244676"/>
          <a:ext cx="4191790" cy="6912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298174</xdr:colOff>
      <xdr:row>0</xdr:row>
      <xdr:rowOff>45893</xdr:rowOff>
    </xdr:from>
    <xdr:ext cx="4374007" cy="716107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54935" y="45893"/>
          <a:ext cx="4374007" cy="71610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74542</xdr:colOff>
      <xdr:row>1</xdr:row>
      <xdr:rowOff>45893</xdr:rowOff>
    </xdr:from>
    <xdr:ext cx="4447761" cy="773749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2303" y="244676"/>
          <a:ext cx="4447761" cy="7737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130</xdr:row>
      <xdr:rowOff>92078</xdr:rowOff>
    </xdr:from>
    <xdr:to>
      <xdr:col>7</xdr:col>
      <xdr:colOff>813133</xdr:colOff>
      <xdr:row>171</xdr:row>
      <xdr:rowOff>177804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4" y="38374641"/>
          <a:ext cx="5599447" cy="789622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180</xdr:row>
      <xdr:rowOff>134938</xdr:rowOff>
    </xdr:from>
    <xdr:to>
      <xdr:col>7</xdr:col>
      <xdr:colOff>916073</xdr:colOff>
      <xdr:row>224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7942501"/>
          <a:ext cx="5781761" cy="834231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206376</xdr:colOff>
      <xdr:row>230</xdr:row>
      <xdr:rowOff>119061</xdr:rowOff>
    </xdr:from>
    <xdr:to>
      <xdr:col>7</xdr:col>
      <xdr:colOff>722313</xdr:colOff>
      <xdr:row>272</xdr:row>
      <xdr:rowOff>158748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6" y="57451624"/>
          <a:ext cx="5445125" cy="804068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158752</xdr:colOff>
      <xdr:row>280</xdr:row>
      <xdr:rowOff>150812</xdr:rowOff>
    </xdr:from>
    <xdr:to>
      <xdr:col>7</xdr:col>
      <xdr:colOff>952502</xdr:colOff>
      <xdr:row>325</xdr:row>
      <xdr:rowOff>111124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2" y="67008375"/>
          <a:ext cx="5722938" cy="8532812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330</xdr:row>
      <xdr:rowOff>158749</xdr:rowOff>
    </xdr:from>
    <xdr:to>
      <xdr:col>7</xdr:col>
      <xdr:colOff>769937</xdr:colOff>
      <xdr:row>373</xdr:row>
      <xdr:rowOff>123825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76541312"/>
          <a:ext cx="5524499" cy="8156576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380</xdr:row>
      <xdr:rowOff>31752</xdr:rowOff>
    </xdr:from>
    <xdr:to>
      <xdr:col>7</xdr:col>
      <xdr:colOff>754063</xdr:colOff>
      <xdr:row>425</xdr:row>
      <xdr:rowOff>103187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5939315"/>
          <a:ext cx="5651500" cy="864393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430</xdr:row>
      <xdr:rowOff>111124</xdr:rowOff>
    </xdr:from>
    <xdr:to>
      <xdr:col>7</xdr:col>
      <xdr:colOff>881062</xdr:colOff>
      <xdr:row>476</xdr:row>
      <xdr:rowOff>39686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95543687"/>
          <a:ext cx="5746750" cy="8691562"/>
        </a:xfrm>
        <a:prstGeom prst="rect">
          <a:avLst/>
        </a:prstGeom>
      </xdr:spPr>
    </xdr:pic>
    <xdr:clientData/>
  </xdr:twoCellAnchor>
  <xdr:oneCellAnchor>
    <xdr:from>
      <xdr:col>2</xdr:col>
      <xdr:colOff>51013</xdr:colOff>
      <xdr:row>1</xdr:row>
      <xdr:rowOff>22081</xdr:rowOff>
    </xdr:from>
    <xdr:ext cx="4614166" cy="802697"/>
    <xdr:pic>
      <xdr:nvPicPr>
        <xdr:cNvPr id="10" name="Imagem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lum/>
          <a:alphaModFix/>
        </a:blip>
        <a:srcRect/>
        <a:stretch>
          <a:fillRect/>
        </a:stretch>
      </xdr:blipFill>
      <xdr:spPr>
        <a:xfrm>
          <a:off x="638388" y="220519"/>
          <a:ext cx="4614166" cy="80269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c3684ab0c71f6fc/&#193;rea%20de%20Trabalho/PLANILHA%20%20COM%20F&#211;RMULA%20%20(Salv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ERVIÇO"/>
      <sheetName val="QUANT"/>
      <sheetName val="1-RESUMO"/>
      <sheetName val="2-ORÇAMENTO"/>
      <sheetName val="3-COMPOSIÇÕES"/>
      <sheetName val="4-CRONOGRAMA"/>
      <sheetName val="5-B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 xml:space="preserve">OBRA: CONSTRUÇÃO PONTO DE ONIBUS </v>
          </cell>
        </row>
        <row r="4">
          <cell r="B4" t="str">
            <v>LOCAL: CENTRO SUL</v>
          </cell>
        </row>
        <row r="5">
          <cell r="B5" t="str">
            <v>ENDEREÇO: AV. CASTELO BRANCO, ESPAÇO MUNICIPAL, 2500, CEMITÉRIO</v>
          </cell>
        </row>
        <row r="6">
          <cell r="B6" t="str">
            <v>MUNICÍPIO: VÁRZEA GRANDE - MT</v>
          </cell>
        </row>
        <row r="10">
          <cell r="B10" t="str">
            <v>1.0</v>
          </cell>
          <cell r="E10" t="str">
            <v>ADMINISTRAÇÃO DE OBRA</v>
          </cell>
        </row>
        <row r="17">
          <cell r="E17" t="str">
            <v>ESTRUTURA</v>
          </cell>
        </row>
        <row r="86">
          <cell r="E86" t="str">
            <v>PAREDE E COBERTURA</v>
          </cell>
        </row>
        <row r="138">
          <cell r="E138" t="str">
            <v xml:space="preserve">ACESSÓRIOS </v>
          </cell>
        </row>
        <row r="169">
          <cell r="E169" t="str">
            <v>SERVIÇOS DIVERSOS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workbookViewId="0">
      <selection activeCell="B21" sqref="B21:E21"/>
    </sheetView>
  </sheetViews>
  <sheetFormatPr defaultRowHeight="15"/>
  <cols>
    <col min="1" max="1" width="2.28515625" customWidth="1"/>
    <col min="2" max="2" width="8.140625" customWidth="1"/>
    <col min="3" max="3" width="35.7109375" customWidth="1"/>
    <col min="4" max="4" width="20.42578125" style="3" customWidth="1"/>
    <col min="5" max="5" width="18.28515625" customWidth="1"/>
    <col min="6" max="6" width="8" customWidth="1"/>
    <col min="8" max="8" width="10.42578125" customWidth="1"/>
    <col min="9" max="9" width="11.5703125" customWidth="1"/>
    <col min="10" max="10" width="9.42578125" customWidth="1"/>
  </cols>
  <sheetData>
    <row r="1" spans="2:5" ht="3.75" customHeight="1" thickBot="1"/>
    <row r="2" spans="2:5" ht="72" customHeight="1">
      <c r="B2" s="230"/>
      <c r="C2" s="231"/>
      <c r="D2" s="231"/>
      <c r="E2" s="232"/>
    </row>
    <row r="3" spans="2:5">
      <c r="B3" s="233" t="s">
        <v>311</v>
      </c>
      <c r="C3" s="234"/>
      <c r="D3" s="234"/>
      <c r="E3" s="235"/>
    </row>
    <row r="4" spans="2:5">
      <c r="B4" s="236" t="str">
        <f>'[1]2-ORÇAMENTO'!B4:G4</f>
        <v>LOCAL: CENTRO SUL</v>
      </c>
      <c r="C4" s="237"/>
      <c r="D4" s="237"/>
      <c r="E4" s="238"/>
    </row>
    <row r="5" spans="2:5">
      <c r="B5" s="236" t="str">
        <f>'[1]2-ORÇAMENTO'!B5:K5</f>
        <v>ENDEREÇO: AV. CASTELO BRANCO, ESPAÇO MUNICIPAL, 2500, CEMITÉRIO</v>
      </c>
      <c r="C5" s="237"/>
      <c r="D5" s="237"/>
      <c r="E5" s="238"/>
    </row>
    <row r="6" spans="2:5">
      <c r="B6" s="236" t="str">
        <f>'[1]2-ORÇAMENTO'!B6:G6</f>
        <v>MUNICÍPIO: VÁRZEA GRANDE - MT</v>
      </c>
      <c r="C6" s="237"/>
      <c r="D6" s="237"/>
      <c r="E6" s="238"/>
    </row>
    <row r="7" spans="2:5" ht="15.75" thickBot="1">
      <c r="B7" s="239" t="s">
        <v>307</v>
      </c>
      <c r="C7" s="240"/>
      <c r="D7" s="240"/>
      <c r="E7" s="241"/>
    </row>
    <row r="8" spans="2:5" ht="17.25" customHeight="1" thickBot="1">
      <c r="B8" s="242" t="s">
        <v>0</v>
      </c>
      <c r="C8" s="243"/>
      <c r="D8" s="243"/>
      <c r="E8" s="244"/>
    </row>
    <row r="9" spans="2:5" ht="13.5" customHeight="1">
      <c r="B9" s="245" t="s">
        <v>1</v>
      </c>
      <c r="C9" s="247" t="s">
        <v>2</v>
      </c>
      <c r="D9" s="249" t="s">
        <v>3</v>
      </c>
      <c r="E9" s="250"/>
    </row>
    <row r="10" spans="2:5" ht="14.25" customHeight="1">
      <c r="B10" s="246"/>
      <c r="C10" s="248"/>
      <c r="D10" s="209" t="s">
        <v>4</v>
      </c>
      <c r="E10" s="251" t="s">
        <v>5</v>
      </c>
    </row>
    <row r="11" spans="2:5" ht="15.75" customHeight="1">
      <c r="B11" s="246"/>
      <c r="C11" s="248"/>
      <c r="D11" s="209" t="s">
        <v>6</v>
      </c>
      <c r="E11" s="251"/>
    </row>
    <row r="12" spans="2:5" ht="20.25" customHeight="1">
      <c r="B12" s="216" t="str">
        <f>'[1]2-ORÇAMENTO'!B10</f>
        <v>1.0</v>
      </c>
      <c r="C12" s="217" t="str">
        <f>'[1]2-ORÇAMENTO'!E10</f>
        <v>ADMINISTRAÇÃO DE OBRA</v>
      </c>
      <c r="D12" s="218">
        <f>'ORÇAMENTO COMPLETO'!K15</f>
        <v>358970.45956800005</v>
      </c>
      <c r="E12" s="219">
        <f>D12/$D$18</f>
        <v>8.2246016924615875E-2</v>
      </c>
    </row>
    <row r="13" spans="2:5" ht="18.75" customHeight="1">
      <c r="B13" s="216" t="s">
        <v>7</v>
      </c>
      <c r="C13" s="217" t="str">
        <f>'[1]2-ORÇAMENTO'!E17</f>
        <v>ESTRUTURA</v>
      </c>
      <c r="D13" s="218">
        <f>'ORÇAMENTO COMPLETO'!K66</f>
        <v>2031617.9418651199</v>
      </c>
      <c r="E13" s="220">
        <f>D13/$D$18</f>
        <v>0.46547697499141838</v>
      </c>
    </row>
    <row r="14" spans="2:5" ht="18.75" customHeight="1">
      <c r="B14" s="216" t="s">
        <v>8</v>
      </c>
      <c r="C14" s="217" t="str">
        <f>'[1]2-ORÇAMENTO'!E86</f>
        <v>PAREDE E COBERTURA</v>
      </c>
      <c r="D14" s="218">
        <f>'ORÇAMENTO COMPLETO'!K118</f>
        <v>1443449.1989943201</v>
      </c>
      <c r="E14" s="220">
        <f>D14/$D$18</f>
        <v>0.33071787409242587</v>
      </c>
    </row>
    <row r="15" spans="2:5" ht="18.75" customHeight="1">
      <c r="B15" s="216" t="s">
        <v>9</v>
      </c>
      <c r="C15" s="217" t="str">
        <f>'[1]2-ORÇAMENTO'!E138</f>
        <v xml:space="preserve">ACESSÓRIOS </v>
      </c>
      <c r="D15" s="218">
        <f>'ORÇAMENTO COMPLETO'!K155</f>
        <v>524383.45915648004</v>
      </c>
      <c r="E15" s="220">
        <f>D15/$D$18</f>
        <v>0.12014484676169467</v>
      </c>
    </row>
    <row r="16" spans="2:5" ht="21" customHeight="1">
      <c r="B16" s="221" t="s">
        <v>10</v>
      </c>
      <c r="C16" s="222" t="str">
        <f>'[1]2-ORÇAMENTO'!E169</f>
        <v>SERVIÇOS DIVERSOS</v>
      </c>
      <c r="D16" s="223">
        <f>'ORÇAMENTO COMPLETO'!K160</f>
        <v>6172.9093439999997</v>
      </c>
      <c r="E16" s="224">
        <f>D16/$D$18</f>
        <v>1.414314723812448E-3</v>
      </c>
    </row>
    <row r="17" spans="2:5" ht="12" customHeight="1">
      <c r="B17" s="210"/>
      <c r="C17" s="211"/>
      <c r="D17" s="212"/>
      <c r="E17" s="213"/>
    </row>
    <row r="18" spans="2:5" ht="19.5" customHeight="1" thickBot="1">
      <c r="B18" s="227" t="s">
        <v>11</v>
      </c>
      <c r="C18" s="228"/>
      <c r="D18" s="214">
        <f>SUM(D12:D17)-0.12</f>
        <v>4364593.8489279198</v>
      </c>
      <c r="E18" s="215">
        <f>SUM(E12:E17)</f>
        <v>1.0000000274939673</v>
      </c>
    </row>
    <row r="19" spans="2:5">
      <c r="B19" s="1"/>
      <c r="C19" s="1"/>
      <c r="D19" s="2"/>
      <c r="E19" s="1"/>
    </row>
    <row r="20" spans="2:5" ht="10.5" customHeight="1">
      <c r="B20" s="229" t="s">
        <v>135</v>
      </c>
      <c r="C20" s="229"/>
      <c r="D20" s="229"/>
      <c r="E20" s="229"/>
    </row>
    <row r="21" spans="2:5" ht="11.25" customHeight="1">
      <c r="B21" s="229" t="s">
        <v>136</v>
      </c>
      <c r="C21" s="229"/>
      <c r="D21" s="229"/>
      <c r="E21" s="229"/>
    </row>
    <row r="22" spans="2:5">
      <c r="B22" s="190"/>
      <c r="C22" s="191"/>
      <c r="D22" s="192"/>
      <c r="E22" s="193"/>
    </row>
  </sheetData>
  <mergeCells count="14">
    <mergeCell ref="B18:C18"/>
    <mergeCell ref="B20:E20"/>
    <mergeCell ref="B21:E21"/>
    <mergeCell ref="B2:E2"/>
    <mergeCell ref="B3:E3"/>
    <mergeCell ref="B4:E4"/>
    <mergeCell ref="B5:E5"/>
    <mergeCell ref="B6:E6"/>
    <mergeCell ref="B7:E7"/>
    <mergeCell ref="B8:E8"/>
    <mergeCell ref="B9:B11"/>
    <mergeCell ref="C9:C11"/>
    <mergeCell ref="D9:E9"/>
    <mergeCell ref="E10:E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1"/>
  <sheetViews>
    <sheetView workbookViewId="0">
      <selection activeCell="G14" sqref="G14"/>
    </sheetView>
  </sheetViews>
  <sheetFormatPr defaultRowHeight="15"/>
  <cols>
    <col min="3" max="3" width="55.5703125" customWidth="1"/>
    <col min="4" max="4" width="15" customWidth="1"/>
  </cols>
  <sheetData>
    <row r="2" spans="2:4" ht="18" customHeight="1">
      <c r="B2" s="313" t="s">
        <v>168</v>
      </c>
      <c r="C2" s="313"/>
      <c r="D2" s="313"/>
    </row>
    <row r="3" spans="2:4">
      <c r="B3" s="313"/>
      <c r="C3" s="313"/>
      <c r="D3" s="313"/>
    </row>
    <row r="4" spans="2:4">
      <c r="B4" s="314" t="s">
        <v>157</v>
      </c>
      <c r="C4" s="314"/>
      <c r="D4" s="9" t="s">
        <v>169</v>
      </c>
    </row>
    <row r="5" spans="2:4">
      <c r="B5" s="315" t="s">
        <v>170</v>
      </c>
      <c r="C5" s="315"/>
      <c r="D5" s="10"/>
    </row>
    <row r="6" spans="2:4" ht="51">
      <c r="B6" s="11" t="s">
        <v>171</v>
      </c>
      <c r="C6" s="12" t="s">
        <v>195</v>
      </c>
      <c r="D6" s="13">
        <v>0.04</v>
      </c>
    </row>
    <row r="7" spans="2:4">
      <c r="B7" s="11"/>
      <c r="C7" s="14" t="s">
        <v>172</v>
      </c>
      <c r="D7" s="15">
        <f>SUM(D6)</f>
        <v>0.04</v>
      </c>
    </row>
    <row r="8" spans="2:4">
      <c r="B8" s="11"/>
      <c r="C8" s="12"/>
      <c r="D8" s="15"/>
    </row>
    <row r="9" spans="2:4">
      <c r="B9" s="315" t="s">
        <v>173</v>
      </c>
      <c r="C9" s="315"/>
      <c r="D9" s="16"/>
    </row>
    <row r="10" spans="2:4" ht="25.5">
      <c r="B10" s="11" t="s">
        <v>174</v>
      </c>
      <c r="C10" s="12" t="s">
        <v>196</v>
      </c>
      <c r="D10" s="13">
        <v>1.21E-2</v>
      </c>
    </row>
    <row r="11" spans="2:4" ht="25.5">
      <c r="B11" s="11" t="s">
        <v>175</v>
      </c>
      <c r="C11" s="17" t="s">
        <v>197</v>
      </c>
      <c r="D11" s="13">
        <v>8.0000000000000002E-3</v>
      </c>
    </row>
    <row r="12" spans="2:4" ht="25.5">
      <c r="B12" s="11" t="s">
        <v>176</v>
      </c>
      <c r="C12" s="12" t="s">
        <v>198</v>
      </c>
      <c r="D12" s="13">
        <v>1.2E-2</v>
      </c>
    </row>
    <row r="13" spans="2:4">
      <c r="B13" s="11" t="s">
        <v>177</v>
      </c>
      <c r="C13" s="18" t="s">
        <v>199</v>
      </c>
      <c r="D13" s="13">
        <v>7.3999999999999996E-2</v>
      </c>
    </row>
    <row r="14" spans="2:4">
      <c r="B14" s="11"/>
      <c r="C14" s="14" t="s">
        <v>178</v>
      </c>
      <c r="D14" s="15">
        <f>SUM(D10:D13)</f>
        <v>0.1061</v>
      </c>
    </row>
    <row r="15" spans="2:4">
      <c r="B15" s="11"/>
      <c r="C15" s="12"/>
      <c r="D15" s="15"/>
    </row>
    <row r="16" spans="2:4">
      <c r="B16" s="315" t="s">
        <v>179</v>
      </c>
      <c r="C16" s="315"/>
      <c r="D16" s="16"/>
    </row>
    <row r="17" spans="2:4" ht="25.5">
      <c r="B17" s="11" t="s">
        <v>180</v>
      </c>
      <c r="C17" s="19" t="s">
        <v>200</v>
      </c>
      <c r="D17" s="15"/>
    </row>
    <row r="18" spans="2:4">
      <c r="B18" s="11" t="s">
        <v>181</v>
      </c>
      <c r="C18" s="20" t="s">
        <v>182</v>
      </c>
      <c r="D18" s="13">
        <v>0.4</v>
      </c>
    </row>
    <row r="19" spans="2:4" ht="25.5">
      <c r="B19" s="11" t="s">
        <v>183</v>
      </c>
      <c r="C19" s="21" t="s">
        <v>184</v>
      </c>
      <c r="D19" s="13">
        <v>0.05</v>
      </c>
    </row>
    <row r="20" spans="2:4">
      <c r="B20" s="11" t="s">
        <v>185</v>
      </c>
      <c r="C20" s="22" t="s">
        <v>186</v>
      </c>
      <c r="D20" s="15">
        <f>D19*D18</f>
        <v>2.0000000000000004E-2</v>
      </c>
    </row>
    <row r="21" spans="2:4">
      <c r="B21" s="11" t="s">
        <v>187</v>
      </c>
      <c r="C21" s="14" t="s">
        <v>188</v>
      </c>
      <c r="D21" s="23">
        <v>6.4999999999999997E-3</v>
      </c>
    </row>
    <row r="22" spans="2:4">
      <c r="B22" s="11" t="s">
        <v>189</v>
      </c>
      <c r="C22" s="14" t="s">
        <v>190</v>
      </c>
      <c r="D22" s="23">
        <v>0.03</v>
      </c>
    </row>
    <row r="23" spans="2:4">
      <c r="B23" s="11" t="s">
        <v>191</v>
      </c>
      <c r="C23" s="14" t="s">
        <v>192</v>
      </c>
      <c r="D23" s="23">
        <v>4.4999999999999998E-2</v>
      </c>
    </row>
    <row r="24" spans="2:4">
      <c r="B24" s="11"/>
      <c r="C24" s="14" t="s">
        <v>193</v>
      </c>
      <c r="D24" s="15">
        <f>SUM(D20:D23)</f>
        <v>0.10150000000000001</v>
      </c>
    </row>
    <row r="25" spans="2:4">
      <c r="B25" s="24"/>
      <c r="C25" s="24"/>
      <c r="D25" s="15"/>
    </row>
    <row r="26" spans="2:4">
      <c r="B26" s="316" t="s">
        <v>194</v>
      </c>
      <c r="C26" s="316"/>
      <c r="D26" s="25">
        <f>ROUND((1+D6+D11+D12)*(1+D10)*(1+D13)/(1-D24)-1,4)</f>
        <v>0.28239999999999998</v>
      </c>
    </row>
    <row r="27" spans="2:4">
      <c r="B27" s="312" t="s">
        <v>201</v>
      </c>
      <c r="C27" s="312"/>
      <c r="D27" s="312"/>
    </row>
    <row r="28" spans="2:4">
      <c r="B28" s="312"/>
      <c r="C28" s="312"/>
      <c r="D28" s="312"/>
    </row>
    <row r="29" spans="2:4">
      <c r="B29" s="312"/>
      <c r="C29" s="312"/>
      <c r="D29" s="312"/>
    </row>
    <row r="30" spans="2:4">
      <c r="B30" s="312"/>
      <c r="C30" s="312"/>
      <c r="D30" s="312"/>
    </row>
    <row r="31" spans="2:4">
      <c r="B31" s="312"/>
      <c r="C31" s="312"/>
      <c r="D31" s="312"/>
    </row>
    <row r="32" spans="2:4">
      <c r="B32" s="312"/>
      <c r="C32" s="312"/>
      <c r="D32" s="312"/>
    </row>
    <row r="33" spans="2:4">
      <c r="B33" s="312"/>
      <c r="C33" s="312"/>
      <c r="D33" s="312"/>
    </row>
    <row r="34" spans="2:4">
      <c r="B34" s="312"/>
      <c r="C34" s="312"/>
      <c r="D34" s="312"/>
    </row>
    <row r="35" spans="2:4">
      <c r="B35" s="312"/>
      <c r="C35" s="312"/>
      <c r="D35" s="312"/>
    </row>
    <row r="36" spans="2:4">
      <c r="B36" s="312"/>
      <c r="C36" s="312"/>
      <c r="D36" s="312"/>
    </row>
    <row r="37" spans="2:4">
      <c r="B37" s="312"/>
      <c r="C37" s="312"/>
      <c r="D37" s="312"/>
    </row>
    <row r="38" spans="2:4">
      <c r="B38" s="312"/>
      <c r="C38" s="312"/>
      <c r="D38" s="312"/>
    </row>
    <row r="39" spans="2:4">
      <c r="B39" s="312"/>
      <c r="C39" s="312"/>
      <c r="D39" s="312"/>
    </row>
    <row r="40" spans="2:4">
      <c r="B40" s="312"/>
      <c r="C40" s="312"/>
      <c r="D40" s="312"/>
    </row>
    <row r="41" spans="2:4">
      <c r="B41" s="312"/>
      <c r="C41" s="312"/>
      <c r="D41" s="312"/>
    </row>
  </sheetData>
  <mergeCells count="7">
    <mergeCell ref="B27:D41"/>
    <mergeCell ref="B2:D3"/>
    <mergeCell ref="B4:C4"/>
    <mergeCell ref="B5:C5"/>
    <mergeCell ref="B9:C9"/>
    <mergeCell ref="B16:C16"/>
    <mergeCell ref="B26:C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5"/>
  <sheetViews>
    <sheetView tabSelected="1" view="pageBreakPreview" topLeftCell="A151" zoomScale="120" zoomScaleNormal="100" zoomScaleSheetLayoutView="120" workbookViewId="0">
      <selection activeCell="L169" sqref="L169"/>
    </sheetView>
  </sheetViews>
  <sheetFormatPr defaultRowHeight="15"/>
  <cols>
    <col min="1" max="1" width="2.42578125" customWidth="1"/>
    <col min="2" max="2" width="3.85546875" style="42" customWidth="1"/>
    <col min="3" max="3" width="5.7109375" style="39" customWidth="1"/>
    <col min="4" max="4" width="4.85546875" style="46" customWidth="1"/>
    <col min="5" max="5" width="31.85546875" style="51" customWidth="1"/>
    <col min="6" max="6" width="3.85546875" style="42" customWidth="1"/>
    <col min="7" max="7" width="8.140625" style="26" customWidth="1"/>
    <col min="8" max="8" width="10.7109375" style="27" customWidth="1"/>
    <col min="9" max="9" width="11" style="27" customWidth="1"/>
    <col min="10" max="10" width="12" style="27" customWidth="1"/>
    <col min="11" max="11" width="14.7109375" style="27" customWidth="1"/>
    <col min="12" max="12" width="23.7109375" style="114" customWidth="1"/>
    <col min="13" max="13" width="12.85546875" style="114" customWidth="1"/>
    <col min="14" max="14" width="12.5703125" customWidth="1"/>
  </cols>
  <sheetData>
    <row r="1" spans="2:14" ht="7.5" customHeight="1" thickBot="1"/>
    <row r="2" spans="2:14" ht="72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pans="2:14">
      <c r="B3" s="272" t="s">
        <v>249</v>
      </c>
      <c r="C3" s="273"/>
      <c r="D3" s="273"/>
      <c r="E3" s="273"/>
      <c r="F3" s="273"/>
      <c r="G3" s="273"/>
      <c r="H3" s="273"/>
      <c r="I3" s="273"/>
      <c r="J3" s="273"/>
      <c r="K3" s="274"/>
    </row>
    <row r="4" spans="2:14">
      <c r="B4" s="272" t="s">
        <v>202</v>
      </c>
      <c r="C4" s="273"/>
      <c r="D4" s="273"/>
      <c r="E4" s="273"/>
      <c r="F4" s="273"/>
      <c r="G4" s="273"/>
      <c r="H4" s="273"/>
      <c r="I4" s="273"/>
      <c r="J4" s="273"/>
      <c r="K4" s="274"/>
    </row>
    <row r="5" spans="2:14">
      <c r="B5" s="272" t="s">
        <v>248</v>
      </c>
      <c r="C5" s="273"/>
      <c r="D5" s="273"/>
      <c r="E5" s="273"/>
      <c r="F5" s="273"/>
      <c r="G5" s="273"/>
      <c r="H5" s="273"/>
      <c r="I5" s="273"/>
      <c r="J5" s="273"/>
      <c r="K5" s="274"/>
    </row>
    <row r="6" spans="2:14">
      <c r="B6" s="272" t="s">
        <v>203</v>
      </c>
      <c r="C6" s="273"/>
      <c r="D6" s="273"/>
      <c r="E6" s="273"/>
      <c r="F6" s="273"/>
      <c r="G6" s="273"/>
      <c r="H6" s="273"/>
      <c r="I6" s="273"/>
      <c r="J6" s="273"/>
      <c r="K6" s="274"/>
    </row>
    <row r="7" spans="2:14" ht="15.75" thickBot="1">
      <c r="B7" s="275" t="s">
        <v>306</v>
      </c>
      <c r="C7" s="276"/>
      <c r="D7" s="276"/>
      <c r="E7" s="276"/>
      <c r="F7" s="276"/>
      <c r="G7" s="112">
        <v>1.2824</v>
      </c>
      <c r="H7" s="112"/>
      <c r="I7" s="112"/>
      <c r="J7" s="112"/>
      <c r="K7" s="113"/>
    </row>
    <row r="8" spans="2:14" ht="14.25" customHeight="1" thickBot="1">
      <c r="B8" s="277" t="s">
        <v>12</v>
      </c>
      <c r="C8" s="278"/>
      <c r="D8" s="278"/>
      <c r="E8" s="278"/>
      <c r="F8" s="278"/>
      <c r="G8" s="278"/>
      <c r="H8" s="278"/>
      <c r="I8" s="278"/>
      <c r="J8" s="278"/>
      <c r="K8" s="279"/>
    </row>
    <row r="9" spans="2:14" ht="19.5" customHeight="1">
      <c r="B9" s="81" t="s">
        <v>1</v>
      </c>
      <c r="C9" s="82" t="s">
        <v>13</v>
      </c>
      <c r="D9" s="82" t="s">
        <v>14</v>
      </c>
      <c r="E9" s="83" t="s">
        <v>15</v>
      </c>
      <c r="F9" s="82" t="s">
        <v>245</v>
      </c>
      <c r="G9" s="84" t="s">
        <v>17</v>
      </c>
      <c r="H9" s="85" t="s">
        <v>18</v>
      </c>
      <c r="I9" s="85" t="s">
        <v>19</v>
      </c>
      <c r="J9" s="85" t="s">
        <v>20</v>
      </c>
      <c r="K9" s="86" t="s">
        <v>21</v>
      </c>
      <c r="M9" s="282" t="s">
        <v>313</v>
      </c>
      <c r="N9" s="282"/>
    </row>
    <row r="10" spans="2:14" ht="15.75" customHeight="1">
      <c r="B10" s="43" t="s">
        <v>22</v>
      </c>
      <c r="C10" s="40"/>
      <c r="D10" s="47"/>
      <c r="E10" s="52" t="s">
        <v>23</v>
      </c>
      <c r="F10" s="49"/>
      <c r="G10" s="28"/>
      <c r="H10" s="29"/>
      <c r="I10" s="29"/>
      <c r="J10" s="29"/>
      <c r="K10" s="30"/>
    </row>
    <row r="11" spans="2:14" ht="18.75" customHeight="1">
      <c r="B11" s="44" t="s">
        <v>24</v>
      </c>
      <c r="C11" s="41">
        <v>90777</v>
      </c>
      <c r="D11" s="48" t="s">
        <v>25</v>
      </c>
      <c r="E11" s="53" t="s">
        <v>137</v>
      </c>
      <c r="F11" s="50" t="s">
        <v>138</v>
      </c>
      <c r="G11" s="31">
        <v>543</v>
      </c>
      <c r="H11" s="32">
        <v>89.11</v>
      </c>
      <c r="I11" s="32">
        <f>H11*G7</f>
        <v>114.274664</v>
      </c>
      <c r="J11" s="32">
        <f t="shared" ref="J11:J12" si="0">TRUNC(G11*H11,2)</f>
        <v>48386.73</v>
      </c>
      <c r="K11" s="33">
        <f>G11*I11</f>
        <v>62051.142551999998</v>
      </c>
      <c r="M11" s="114" t="s">
        <v>308</v>
      </c>
      <c r="N11" s="115">
        <f>180*I11</f>
        <v>20569.43952</v>
      </c>
    </row>
    <row r="12" spans="2:14" ht="16.5">
      <c r="B12" s="44" t="s">
        <v>26</v>
      </c>
      <c r="C12" s="41">
        <v>90776</v>
      </c>
      <c r="D12" s="48" t="s">
        <v>25</v>
      </c>
      <c r="E12" s="53" t="s">
        <v>139</v>
      </c>
      <c r="F12" s="50" t="s">
        <v>138</v>
      </c>
      <c r="G12" s="31">
        <v>905</v>
      </c>
      <c r="H12" s="32">
        <v>22.23</v>
      </c>
      <c r="I12" s="32">
        <f>H12*G7</f>
        <v>28.507752</v>
      </c>
      <c r="J12" s="32">
        <f t="shared" si="0"/>
        <v>20118.150000000001</v>
      </c>
      <c r="K12" s="33">
        <f t="shared" ref="K12:K14" si="1">G12*I12</f>
        <v>25799.51556</v>
      </c>
      <c r="M12" s="114" t="s">
        <v>305</v>
      </c>
      <c r="N12" s="115">
        <f>300*I12</f>
        <v>8552.3256000000001</v>
      </c>
    </row>
    <row r="13" spans="2:14" ht="17.25" customHeight="1">
      <c r="B13" s="44" t="s">
        <v>229</v>
      </c>
      <c r="C13" s="41" t="s">
        <v>27</v>
      </c>
      <c r="D13" s="48" t="s">
        <v>28</v>
      </c>
      <c r="E13" s="53" t="s">
        <v>29</v>
      </c>
      <c r="F13" s="50" t="s">
        <v>30</v>
      </c>
      <c r="G13" s="31">
        <v>56</v>
      </c>
      <c r="H13" s="32">
        <v>1115.28</v>
      </c>
      <c r="I13" s="32">
        <f>H13*G7</f>
        <v>1430.2350719999999</v>
      </c>
      <c r="J13" s="32">
        <f>TRUNC(G13*H13,2)</f>
        <v>62455.68</v>
      </c>
      <c r="K13" s="33">
        <f t="shared" si="1"/>
        <v>80093.164032000001</v>
      </c>
      <c r="N13" s="114"/>
    </row>
    <row r="14" spans="2:14" ht="17.25" customHeight="1">
      <c r="B14" s="44" t="s">
        <v>312</v>
      </c>
      <c r="C14" s="117">
        <v>98459</v>
      </c>
      <c r="D14" s="118" t="s">
        <v>25</v>
      </c>
      <c r="E14" s="119" t="s">
        <v>261</v>
      </c>
      <c r="F14" s="122" t="s">
        <v>74</v>
      </c>
      <c r="G14" s="31">
        <f>(7*15)+(9.8*15)+(19*14)+(73*5)+(145*1)+(73*6)</f>
        <v>1466</v>
      </c>
      <c r="H14" s="120">
        <v>101.61</v>
      </c>
      <c r="I14" s="121">
        <f>H14*G7</f>
        <v>130.304664</v>
      </c>
      <c r="J14" s="32">
        <f>H14*G14</f>
        <v>148960.26</v>
      </c>
      <c r="K14" s="33">
        <f t="shared" si="1"/>
        <v>191026.63742400002</v>
      </c>
    </row>
    <row r="15" spans="2:14">
      <c r="B15" s="78"/>
      <c r="C15" s="79"/>
      <c r="D15" s="79"/>
      <c r="E15" s="79"/>
      <c r="F15" s="79"/>
      <c r="G15" s="79"/>
      <c r="H15" s="79"/>
      <c r="I15" s="257" t="s">
        <v>31</v>
      </c>
      <c r="J15" s="258"/>
      <c r="K15" s="35">
        <f>SUM(K11:K14)</f>
        <v>358970.45956800005</v>
      </c>
    </row>
    <row r="16" spans="2:14" s="5" customFormat="1" ht="12" customHeight="1">
      <c r="B16" s="93"/>
      <c r="C16" s="96"/>
      <c r="D16" s="96"/>
      <c r="E16" s="96"/>
      <c r="F16" s="96"/>
      <c r="G16" s="96"/>
      <c r="H16" s="96"/>
      <c r="I16" s="96"/>
      <c r="J16" s="96"/>
      <c r="K16" s="97"/>
      <c r="L16" s="114"/>
      <c r="M16" s="114"/>
    </row>
    <row r="17" spans="2:13" ht="15.75" customHeight="1">
      <c r="B17" s="43" t="s">
        <v>7</v>
      </c>
      <c r="C17" s="98"/>
      <c r="D17" s="99"/>
      <c r="E17" s="283" t="s">
        <v>32</v>
      </c>
      <c r="F17" s="284"/>
      <c r="G17" s="284"/>
      <c r="H17" s="284"/>
      <c r="I17" s="284"/>
      <c r="J17" s="284"/>
      <c r="K17" s="285"/>
    </row>
    <row r="18" spans="2:13" ht="15.75" customHeight="1">
      <c r="B18" s="280"/>
      <c r="C18" s="281"/>
      <c r="D18" s="281"/>
      <c r="E18" s="281"/>
      <c r="F18" s="88"/>
      <c r="G18" s="88"/>
      <c r="H18" s="88"/>
      <c r="I18" s="252" t="s">
        <v>246</v>
      </c>
      <c r="J18" s="252"/>
      <c r="K18" s="36">
        <f>K19*15</f>
        <v>214744.30995359999</v>
      </c>
      <c r="L18" s="115"/>
      <c r="M18" s="115"/>
    </row>
    <row r="19" spans="2:13" ht="15" customHeight="1">
      <c r="B19" s="45" t="s">
        <v>33</v>
      </c>
      <c r="C19" s="91"/>
      <c r="D19" s="92"/>
      <c r="E19" s="87" t="s">
        <v>34</v>
      </c>
      <c r="F19" s="88"/>
      <c r="G19" s="88"/>
      <c r="H19" s="88"/>
      <c r="I19" s="252" t="s">
        <v>247</v>
      </c>
      <c r="J19" s="252"/>
      <c r="K19" s="36">
        <f>SUM(K20:K25)</f>
        <v>14316.28733024</v>
      </c>
    </row>
    <row r="20" spans="2:13" ht="35.25" customHeight="1">
      <c r="B20" s="44" t="s">
        <v>35</v>
      </c>
      <c r="C20" s="41">
        <v>96522</v>
      </c>
      <c r="D20" s="48" t="s">
        <v>25</v>
      </c>
      <c r="E20" s="53" t="s">
        <v>265</v>
      </c>
      <c r="F20" s="50" t="s">
        <v>140</v>
      </c>
      <c r="G20" s="31">
        <v>0.34</v>
      </c>
      <c r="H20" s="32">
        <v>113.6</v>
      </c>
      <c r="I20" s="32">
        <f>H20*G7</f>
        <v>145.68063999999998</v>
      </c>
      <c r="J20" s="32">
        <f>TRUNC(G20*H20,2)</f>
        <v>38.619999999999997</v>
      </c>
      <c r="K20" s="33">
        <f>G20*I20</f>
        <v>49.531417599999997</v>
      </c>
    </row>
    <row r="21" spans="2:13" ht="22.5" customHeight="1">
      <c r="B21" s="44" t="s">
        <v>217</v>
      </c>
      <c r="C21" s="41">
        <v>92799</v>
      </c>
      <c r="D21" s="48" t="s">
        <v>25</v>
      </c>
      <c r="E21" s="53" t="s">
        <v>142</v>
      </c>
      <c r="F21" s="50" t="s">
        <v>141</v>
      </c>
      <c r="G21" s="31">
        <v>17.41</v>
      </c>
      <c r="H21" s="32">
        <v>14.18</v>
      </c>
      <c r="I21" s="32">
        <f>H21*G7</f>
        <v>18.184432000000001</v>
      </c>
      <c r="J21" s="32">
        <f t="shared" ref="J21:J25" si="2">TRUNC(G21*H21,2)</f>
        <v>246.87</v>
      </c>
      <c r="K21" s="33">
        <f t="shared" ref="K21:K25" si="3">G21*I21</f>
        <v>316.59096112000003</v>
      </c>
    </row>
    <row r="22" spans="2:13" ht="24.75">
      <c r="B22" s="44" t="s">
        <v>218</v>
      </c>
      <c r="C22" s="41">
        <v>96544</v>
      </c>
      <c r="D22" s="48" t="s">
        <v>25</v>
      </c>
      <c r="E22" s="53" t="s">
        <v>264</v>
      </c>
      <c r="F22" s="50" t="s">
        <v>141</v>
      </c>
      <c r="G22" s="31">
        <v>39.17</v>
      </c>
      <c r="H22" s="32">
        <v>18.809999999999999</v>
      </c>
      <c r="I22" s="32">
        <f>H22*G7</f>
        <v>24.121943999999999</v>
      </c>
      <c r="J22" s="32">
        <f t="shared" ref="J22" si="4">TRUNC(G22*H22,2)</f>
        <v>736.78</v>
      </c>
      <c r="K22" s="33">
        <f t="shared" si="3"/>
        <v>944.85654648000002</v>
      </c>
    </row>
    <row r="23" spans="2:13" ht="24.75">
      <c r="B23" s="44" t="s">
        <v>219</v>
      </c>
      <c r="C23" s="41">
        <v>96556</v>
      </c>
      <c r="D23" s="48" t="s">
        <v>25</v>
      </c>
      <c r="E23" s="53" t="s">
        <v>143</v>
      </c>
      <c r="F23" s="50" t="s">
        <v>140</v>
      </c>
      <c r="G23" s="31">
        <v>0.34</v>
      </c>
      <c r="H23" s="32">
        <v>778.89</v>
      </c>
      <c r="I23" s="32">
        <f>H23*G7</f>
        <v>998.84853599999997</v>
      </c>
      <c r="J23" s="32">
        <f t="shared" si="2"/>
        <v>264.82</v>
      </c>
      <c r="K23" s="33">
        <f t="shared" si="3"/>
        <v>339.60850224000001</v>
      </c>
    </row>
    <row r="24" spans="2:13" s="55" customFormat="1" ht="19.5" customHeight="1">
      <c r="B24" s="44" t="s">
        <v>36</v>
      </c>
      <c r="C24" s="226" t="s">
        <v>282</v>
      </c>
      <c r="D24" s="48" t="s">
        <v>283</v>
      </c>
      <c r="E24" s="53" t="str">
        <f>COMPOSIÇÃO!D45</f>
        <v>INSTALAÇÃO METÁLICA MOD.1</v>
      </c>
      <c r="F24" s="50" t="s">
        <v>30</v>
      </c>
      <c r="G24" s="31">
        <v>1</v>
      </c>
      <c r="H24" s="32">
        <f>COMPOSIÇÃO!H45</f>
        <v>9851.68</v>
      </c>
      <c r="I24" s="32">
        <f>H24*G7</f>
        <v>12633.794432000001</v>
      </c>
      <c r="J24" s="32">
        <f t="shared" si="2"/>
        <v>9851.68</v>
      </c>
      <c r="K24" s="33">
        <f t="shared" si="3"/>
        <v>12633.794432000001</v>
      </c>
      <c r="L24" s="114" t="s">
        <v>267</v>
      </c>
      <c r="M24" s="171"/>
    </row>
    <row r="25" spans="2:13" s="54" customFormat="1" ht="27.75" customHeight="1">
      <c r="B25" s="44" t="s">
        <v>220</v>
      </c>
      <c r="C25" s="41">
        <v>95241</v>
      </c>
      <c r="D25" s="48" t="s">
        <v>25</v>
      </c>
      <c r="E25" s="53" t="s">
        <v>144</v>
      </c>
      <c r="F25" s="50" t="s">
        <v>74</v>
      </c>
      <c r="G25" s="31">
        <v>0.85</v>
      </c>
      <c r="H25" s="32">
        <v>29.27</v>
      </c>
      <c r="I25" s="32">
        <f>H25*G7</f>
        <v>37.535848000000001</v>
      </c>
      <c r="J25" s="32">
        <f t="shared" si="2"/>
        <v>24.87</v>
      </c>
      <c r="K25" s="33">
        <f t="shared" si="3"/>
        <v>31.9054708</v>
      </c>
      <c r="L25" s="114"/>
      <c r="M25" s="125"/>
    </row>
    <row r="26" spans="2:13" s="54" customFormat="1" ht="16.5" customHeight="1">
      <c r="B26" s="280"/>
      <c r="C26" s="281"/>
      <c r="D26" s="281"/>
      <c r="E26" s="281"/>
      <c r="F26" s="88"/>
      <c r="G26" s="88"/>
      <c r="H26" s="88"/>
      <c r="I26" s="252" t="s">
        <v>246</v>
      </c>
      <c r="J26" s="252"/>
      <c r="K26" s="36">
        <f>K27*15</f>
        <v>231168.96855360002</v>
      </c>
      <c r="L26" s="114"/>
      <c r="M26" s="115"/>
    </row>
    <row r="27" spans="2:13">
      <c r="B27" s="45" t="s">
        <v>37</v>
      </c>
      <c r="C27" s="91"/>
      <c r="D27" s="92"/>
      <c r="E27" s="87" t="s">
        <v>38</v>
      </c>
      <c r="F27" s="88"/>
      <c r="G27" s="88"/>
      <c r="H27" s="88"/>
      <c r="I27" s="252" t="s">
        <v>247</v>
      </c>
      <c r="J27" s="252"/>
      <c r="K27" s="36">
        <f>SUM(K28:K33)</f>
        <v>15411.26457024</v>
      </c>
    </row>
    <row r="28" spans="2:13" ht="33.75" customHeight="1">
      <c r="B28" s="44" t="s">
        <v>39</v>
      </c>
      <c r="C28" s="41">
        <v>96522</v>
      </c>
      <c r="D28" s="48" t="s">
        <v>25</v>
      </c>
      <c r="E28" s="53" t="s">
        <v>265</v>
      </c>
      <c r="F28" s="50" t="s">
        <v>140</v>
      </c>
      <c r="G28" s="31">
        <v>0.34</v>
      </c>
      <c r="H28" s="32">
        <v>113.6</v>
      </c>
      <c r="I28" s="32">
        <f>H28*G7</f>
        <v>145.68063999999998</v>
      </c>
      <c r="J28" s="32">
        <f t="shared" ref="J28" si="5">TRUNC(G28*H28,2)</f>
        <v>38.619999999999997</v>
      </c>
      <c r="K28" s="33">
        <f t="shared" ref="K28:K33" si="6">G28*I28</f>
        <v>49.531417599999997</v>
      </c>
    </row>
    <row r="29" spans="2:13" ht="19.5" customHeight="1">
      <c r="B29" s="44" t="s">
        <v>225</v>
      </c>
      <c r="C29" s="41">
        <v>92799</v>
      </c>
      <c r="D29" s="48" t="s">
        <v>25</v>
      </c>
      <c r="E29" s="53" t="s">
        <v>142</v>
      </c>
      <c r="F29" s="50" t="s">
        <v>141</v>
      </c>
      <c r="G29" s="31">
        <v>17.41</v>
      </c>
      <c r="H29" s="32">
        <v>14.18</v>
      </c>
      <c r="I29" s="32">
        <f>H29*G7</f>
        <v>18.184432000000001</v>
      </c>
      <c r="J29" s="32">
        <f t="shared" ref="J29:J33" si="7">TRUNC(G29*H29,2)</f>
        <v>246.87</v>
      </c>
      <c r="K29" s="33">
        <f t="shared" si="6"/>
        <v>316.59096112000003</v>
      </c>
    </row>
    <row r="30" spans="2:13" ht="24.75">
      <c r="B30" s="44" t="s">
        <v>226</v>
      </c>
      <c r="C30" s="41">
        <v>96544</v>
      </c>
      <c r="D30" s="48" t="s">
        <v>25</v>
      </c>
      <c r="E30" s="53" t="s">
        <v>264</v>
      </c>
      <c r="F30" s="50" t="s">
        <v>141</v>
      </c>
      <c r="G30" s="31">
        <v>39.17</v>
      </c>
      <c r="H30" s="32">
        <v>18.809999999999999</v>
      </c>
      <c r="I30" s="32">
        <f>H30*G7</f>
        <v>24.121943999999999</v>
      </c>
      <c r="J30" s="32">
        <f t="shared" ref="J30" si="8">TRUNC(G30*H30,2)</f>
        <v>736.78</v>
      </c>
      <c r="K30" s="33">
        <f t="shared" si="6"/>
        <v>944.85654648000002</v>
      </c>
    </row>
    <row r="31" spans="2:13" ht="24.75">
      <c r="B31" s="44" t="s">
        <v>227</v>
      </c>
      <c r="C31" s="41">
        <v>96556</v>
      </c>
      <c r="D31" s="48" t="s">
        <v>25</v>
      </c>
      <c r="E31" s="53" t="s">
        <v>143</v>
      </c>
      <c r="F31" s="50" t="s">
        <v>140</v>
      </c>
      <c r="G31" s="31">
        <v>0.34</v>
      </c>
      <c r="H31" s="32">
        <v>778.89</v>
      </c>
      <c r="I31" s="32">
        <f>H31*G7</f>
        <v>998.84853599999997</v>
      </c>
      <c r="J31" s="32">
        <f t="shared" si="7"/>
        <v>264.82</v>
      </c>
      <c r="K31" s="33">
        <f t="shared" si="6"/>
        <v>339.60850224000001</v>
      </c>
    </row>
    <row r="32" spans="2:13" ht="16.5">
      <c r="B32" s="44" t="s">
        <v>40</v>
      </c>
      <c r="C32" s="226" t="s">
        <v>284</v>
      </c>
      <c r="D32" s="48" t="s">
        <v>268</v>
      </c>
      <c r="E32" s="53" t="s">
        <v>292</v>
      </c>
      <c r="F32" s="50" t="s">
        <v>30</v>
      </c>
      <c r="G32" s="31">
        <v>1</v>
      </c>
      <c r="H32" s="32">
        <f>COMPOSIÇÃO!H55</f>
        <v>10705.53</v>
      </c>
      <c r="I32" s="32">
        <f>H32*G7</f>
        <v>13728.771672000001</v>
      </c>
      <c r="J32" s="32">
        <f t="shared" si="7"/>
        <v>10705.53</v>
      </c>
      <c r="K32" s="33">
        <f t="shared" si="6"/>
        <v>13728.771672000001</v>
      </c>
    </row>
    <row r="33" spans="2:13" ht="27" customHeight="1">
      <c r="B33" s="44" t="s">
        <v>228</v>
      </c>
      <c r="C33" s="41">
        <v>95241</v>
      </c>
      <c r="D33" s="48" t="s">
        <v>25</v>
      </c>
      <c r="E33" s="53" t="s">
        <v>144</v>
      </c>
      <c r="F33" s="50" t="s">
        <v>74</v>
      </c>
      <c r="G33" s="31">
        <v>0.85</v>
      </c>
      <c r="H33" s="32">
        <v>29.27</v>
      </c>
      <c r="I33" s="32">
        <f>H33*G7</f>
        <v>37.535848000000001</v>
      </c>
      <c r="J33" s="32">
        <f t="shared" si="7"/>
        <v>24.87</v>
      </c>
      <c r="K33" s="33">
        <f t="shared" si="6"/>
        <v>31.9054708</v>
      </c>
    </row>
    <row r="34" spans="2:13">
      <c r="B34" s="280"/>
      <c r="C34" s="281"/>
      <c r="D34" s="281"/>
      <c r="E34" s="281"/>
      <c r="F34" s="88"/>
      <c r="G34" s="88"/>
      <c r="H34" s="88"/>
      <c r="I34" s="252" t="s">
        <v>246</v>
      </c>
      <c r="J34" s="252"/>
      <c r="K34" s="36">
        <f>K35*14</f>
        <v>392090.62554703996</v>
      </c>
      <c r="M34" s="115"/>
    </row>
    <row r="35" spans="2:13">
      <c r="B35" s="45" t="s">
        <v>254</v>
      </c>
      <c r="C35" s="91"/>
      <c r="D35" s="92"/>
      <c r="E35" s="87" t="s">
        <v>41</v>
      </c>
      <c r="F35" s="88"/>
      <c r="G35" s="88"/>
      <c r="H35" s="88"/>
      <c r="I35" s="252" t="s">
        <v>247</v>
      </c>
      <c r="J35" s="252"/>
      <c r="K35" s="36">
        <f>SUM(K36:K41)</f>
        <v>28006.473253359996</v>
      </c>
    </row>
    <row r="36" spans="2:13" ht="27.75" customHeight="1">
      <c r="B36" s="44" t="s">
        <v>42</v>
      </c>
      <c r="C36" s="41">
        <v>96522</v>
      </c>
      <c r="D36" s="48" t="s">
        <v>25</v>
      </c>
      <c r="E36" s="53" t="s">
        <v>265</v>
      </c>
      <c r="F36" s="50" t="s">
        <v>140</v>
      </c>
      <c r="G36" s="31">
        <v>0.9</v>
      </c>
      <c r="H36" s="32">
        <v>113.6</v>
      </c>
      <c r="I36" s="32">
        <f>H36*G7</f>
        <v>145.68063999999998</v>
      </c>
      <c r="J36" s="32">
        <f t="shared" ref="J36" si="9">TRUNC(G36*H36,2)</f>
        <v>102.24</v>
      </c>
      <c r="K36" s="33">
        <f t="shared" ref="K36:K41" si="10">G36*I36</f>
        <v>131.11257599999999</v>
      </c>
    </row>
    <row r="37" spans="2:13" ht="21.75" customHeight="1">
      <c r="B37" s="44" t="s">
        <v>221</v>
      </c>
      <c r="C37" s="41">
        <v>92799</v>
      </c>
      <c r="D37" s="48" t="s">
        <v>25</v>
      </c>
      <c r="E37" s="53" t="s">
        <v>142</v>
      </c>
      <c r="F37" s="50" t="s">
        <v>141</v>
      </c>
      <c r="G37" s="31">
        <v>45.39</v>
      </c>
      <c r="H37" s="32">
        <v>14.18</v>
      </c>
      <c r="I37" s="32">
        <f>H37*G7</f>
        <v>18.184432000000001</v>
      </c>
      <c r="J37" s="32">
        <f t="shared" ref="J37:J41" si="11">TRUNC(G37*H37,2)</f>
        <v>643.63</v>
      </c>
      <c r="K37" s="33">
        <f t="shared" si="10"/>
        <v>825.3913684800001</v>
      </c>
    </row>
    <row r="38" spans="2:13" ht="24.75">
      <c r="B38" s="44" t="s">
        <v>222</v>
      </c>
      <c r="C38" s="41">
        <v>96544</v>
      </c>
      <c r="D38" s="48" t="s">
        <v>25</v>
      </c>
      <c r="E38" s="53" t="s">
        <v>264</v>
      </c>
      <c r="F38" s="50" t="s">
        <v>141</v>
      </c>
      <c r="G38" s="31">
        <v>102.14</v>
      </c>
      <c r="H38" s="32">
        <v>18.809999999999999</v>
      </c>
      <c r="I38" s="32">
        <f>H38*G7</f>
        <v>24.121943999999999</v>
      </c>
      <c r="J38" s="32">
        <f t="shared" ref="J38" si="12">TRUNC(G38*H38,2)</f>
        <v>1921.25</v>
      </c>
      <c r="K38" s="33">
        <f t="shared" si="10"/>
        <v>2463.8153601599997</v>
      </c>
    </row>
    <row r="39" spans="2:13" ht="28.5" customHeight="1">
      <c r="B39" s="44" t="s">
        <v>223</v>
      </c>
      <c r="C39" s="41">
        <v>96556</v>
      </c>
      <c r="D39" s="48" t="s">
        <v>25</v>
      </c>
      <c r="E39" s="53" t="s">
        <v>143</v>
      </c>
      <c r="F39" s="50" t="s">
        <v>140</v>
      </c>
      <c r="G39" s="31">
        <v>1.02</v>
      </c>
      <c r="H39" s="32">
        <v>778.89</v>
      </c>
      <c r="I39" s="32">
        <f>H39*G7</f>
        <v>998.84853599999997</v>
      </c>
      <c r="J39" s="32">
        <f t="shared" si="11"/>
        <v>794.46</v>
      </c>
      <c r="K39" s="33">
        <f t="shared" si="10"/>
        <v>1018.82550672</v>
      </c>
    </row>
    <row r="40" spans="2:13" ht="16.5">
      <c r="B40" s="44" t="s">
        <v>43</v>
      </c>
      <c r="C40" s="41" t="s">
        <v>285</v>
      </c>
      <c r="D40" s="48" t="s">
        <v>268</v>
      </c>
      <c r="E40" s="53" t="s">
        <v>291</v>
      </c>
      <c r="F40" s="50" t="s">
        <v>30</v>
      </c>
      <c r="G40" s="31">
        <v>1</v>
      </c>
      <c r="H40" s="32">
        <f>COMPOSIÇÃO!H65</f>
        <v>18311.66</v>
      </c>
      <c r="I40" s="32">
        <f>H40*G7</f>
        <v>23482.872783999999</v>
      </c>
      <c r="J40" s="32">
        <f t="shared" si="11"/>
        <v>18311.66</v>
      </c>
      <c r="K40" s="33">
        <f t="shared" si="10"/>
        <v>23482.872783999999</v>
      </c>
    </row>
    <row r="41" spans="2:13" ht="27" customHeight="1">
      <c r="B41" s="44" t="s">
        <v>224</v>
      </c>
      <c r="C41" s="41">
        <v>95241</v>
      </c>
      <c r="D41" s="48" t="s">
        <v>25</v>
      </c>
      <c r="E41" s="53" t="s">
        <v>144</v>
      </c>
      <c r="F41" s="50" t="s">
        <v>74</v>
      </c>
      <c r="G41" s="31">
        <v>2.25</v>
      </c>
      <c r="H41" s="32">
        <v>29.27</v>
      </c>
      <c r="I41" s="32">
        <f>H41*G7</f>
        <v>37.535848000000001</v>
      </c>
      <c r="J41" s="32">
        <f t="shared" si="11"/>
        <v>65.849999999999994</v>
      </c>
      <c r="K41" s="33">
        <f t="shared" si="10"/>
        <v>84.455658</v>
      </c>
    </row>
    <row r="42" spans="2:13">
      <c r="B42" s="280"/>
      <c r="C42" s="281"/>
      <c r="D42" s="281"/>
      <c r="E42" s="281"/>
      <c r="F42" s="88"/>
      <c r="G42" s="88"/>
      <c r="H42" s="88"/>
      <c r="I42" s="252" t="s">
        <v>246</v>
      </c>
      <c r="J42" s="252"/>
      <c r="K42" s="36">
        <f>K43*5</f>
        <v>548481.79648080003</v>
      </c>
      <c r="M42" s="115"/>
    </row>
    <row r="43" spans="2:13">
      <c r="B43" s="45" t="s">
        <v>44</v>
      </c>
      <c r="C43" s="87"/>
      <c r="D43" s="89"/>
      <c r="E43" s="87" t="s">
        <v>45</v>
      </c>
      <c r="F43" s="88"/>
      <c r="G43" s="88"/>
      <c r="H43" s="89"/>
      <c r="I43" s="252" t="s">
        <v>247</v>
      </c>
      <c r="J43" s="252"/>
      <c r="K43" s="36">
        <f>SUM(K44:K49)</f>
        <v>109696.35929615999</v>
      </c>
    </row>
    <row r="44" spans="2:13" ht="26.25" customHeight="1">
      <c r="B44" s="44" t="s">
        <v>46</v>
      </c>
      <c r="C44" s="41">
        <v>96522</v>
      </c>
      <c r="D44" s="48" t="s">
        <v>25</v>
      </c>
      <c r="E44" s="53" t="s">
        <v>265</v>
      </c>
      <c r="F44" s="50" t="s">
        <v>140</v>
      </c>
      <c r="G44" s="31">
        <v>3.8</v>
      </c>
      <c r="H44" s="32">
        <v>113.6</v>
      </c>
      <c r="I44" s="32">
        <f>H44*G7</f>
        <v>145.68063999999998</v>
      </c>
      <c r="J44" s="32">
        <f t="shared" ref="J44:J49" si="13">TRUNC(G44*H44,2)</f>
        <v>431.68</v>
      </c>
      <c r="K44" s="33">
        <f t="shared" ref="K44:K49" si="14">G44*I44</f>
        <v>553.58643199999995</v>
      </c>
    </row>
    <row r="45" spans="2:13" ht="19.5" customHeight="1">
      <c r="B45" s="44" t="s">
        <v>230</v>
      </c>
      <c r="C45" s="41">
        <v>92799</v>
      </c>
      <c r="D45" s="48" t="s">
        <v>25</v>
      </c>
      <c r="E45" s="53" t="s">
        <v>142</v>
      </c>
      <c r="F45" s="50" t="s">
        <v>141</v>
      </c>
      <c r="G45" s="31">
        <v>185.56</v>
      </c>
      <c r="H45" s="32">
        <v>14.18</v>
      </c>
      <c r="I45" s="32">
        <f>H45*G7</f>
        <v>18.184432000000001</v>
      </c>
      <c r="J45" s="32">
        <f t="shared" si="13"/>
        <v>2631.24</v>
      </c>
      <c r="K45" s="33">
        <f t="shared" si="14"/>
        <v>3374.3032019200004</v>
      </c>
    </row>
    <row r="46" spans="2:13" ht="27" customHeight="1">
      <c r="B46" s="44" t="s">
        <v>231</v>
      </c>
      <c r="C46" s="41">
        <v>96544</v>
      </c>
      <c r="D46" s="48" t="s">
        <v>25</v>
      </c>
      <c r="E46" s="53" t="s">
        <v>264</v>
      </c>
      <c r="F46" s="50" t="s">
        <v>141</v>
      </c>
      <c r="G46" s="31">
        <v>417.51</v>
      </c>
      <c r="H46" s="32">
        <v>18.809999999999999</v>
      </c>
      <c r="I46" s="32">
        <f>H46*G7</f>
        <v>24.121943999999999</v>
      </c>
      <c r="J46" s="32">
        <f t="shared" si="13"/>
        <v>7853.36</v>
      </c>
      <c r="K46" s="33">
        <f t="shared" si="14"/>
        <v>10071.152839439999</v>
      </c>
    </row>
    <row r="47" spans="2:13" ht="27" customHeight="1">
      <c r="B47" s="44" t="s">
        <v>232</v>
      </c>
      <c r="C47" s="41">
        <v>96556</v>
      </c>
      <c r="D47" s="48" t="s">
        <v>25</v>
      </c>
      <c r="E47" s="53" t="s">
        <v>143</v>
      </c>
      <c r="F47" s="50" t="s">
        <v>140</v>
      </c>
      <c r="G47" s="31">
        <v>3.8</v>
      </c>
      <c r="H47" s="32">
        <v>778.89</v>
      </c>
      <c r="I47" s="32">
        <f>H47*G7</f>
        <v>998.84853599999997</v>
      </c>
      <c r="J47" s="32">
        <f t="shared" si="13"/>
        <v>2959.78</v>
      </c>
      <c r="K47" s="33">
        <f t="shared" si="14"/>
        <v>3795.6244367999998</v>
      </c>
    </row>
    <row r="48" spans="2:13" ht="16.5">
      <c r="B48" s="44" t="s">
        <v>47</v>
      </c>
      <c r="C48" s="41" t="s">
        <v>287</v>
      </c>
      <c r="D48" s="48" t="s">
        <v>268</v>
      </c>
      <c r="E48" s="53" t="s">
        <v>290</v>
      </c>
      <c r="F48" s="50" t="s">
        <v>30</v>
      </c>
      <c r="G48" s="31">
        <v>1</v>
      </c>
      <c r="H48" s="32">
        <f>COMPOSIÇÃO!H75</f>
        <v>71129.649999999994</v>
      </c>
      <c r="I48" s="32">
        <f>H48*G7</f>
        <v>91216.663159999996</v>
      </c>
      <c r="J48" s="32">
        <f t="shared" si="13"/>
        <v>71129.649999999994</v>
      </c>
      <c r="K48" s="33">
        <f t="shared" si="14"/>
        <v>91216.663159999996</v>
      </c>
    </row>
    <row r="49" spans="2:13" ht="26.25" customHeight="1">
      <c r="B49" s="44" t="s">
        <v>233</v>
      </c>
      <c r="C49" s="41">
        <v>95241</v>
      </c>
      <c r="D49" s="48" t="s">
        <v>25</v>
      </c>
      <c r="E49" s="53" t="s">
        <v>144</v>
      </c>
      <c r="F49" s="50" t="s">
        <v>74</v>
      </c>
      <c r="G49" s="31">
        <v>18.25</v>
      </c>
      <c r="H49" s="32">
        <v>29.27</v>
      </c>
      <c r="I49" s="32">
        <f>H49*G7</f>
        <v>37.535848000000001</v>
      </c>
      <c r="J49" s="32">
        <f t="shared" si="13"/>
        <v>534.16999999999996</v>
      </c>
      <c r="K49" s="33">
        <f t="shared" si="14"/>
        <v>685.02922599999999</v>
      </c>
    </row>
    <row r="50" spans="2:13">
      <c r="B50" s="280"/>
      <c r="C50" s="281"/>
      <c r="D50" s="281"/>
      <c r="E50" s="281"/>
      <c r="F50" s="88"/>
      <c r="G50" s="88"/>
      <c r="H50" s="88"/>
      <c r="I50" s="252" t="s">
        <v>246</v>
      </c>
      <c r="J50" s="252"/>
      <c r="K50" s="36">
        <f>K51*1</f>
        <v>217737.54235296001</v>
      </c>
      <c r="M50" s="115"/>
    </row>
    <row r="51" spans="2:13">
      <c r="B51" s="45" t="s">
        <v>48</v>
      </c>
      <c r="C51" s="87"/>
      <c r="D51" s="89"/>
      <c r="E51" s="87" t="s">
        <v>49</v>
      </c>
      <c r="F51" s="88"/>
      <c r="G51" s="88"/>
      <c r="H51" s="89"/>
      <c r="I51" s="252" t="s">
        <v>247</v>
      </c>
      <c r="J51" s="252"/>
      <c r="K51" s="36">
        <f>SUM(K52:K57)</f>
        <v>217737.54235296001</v>
      </c>
    </row>
    <row r="52" spans="2:13" ht="24.75">
      <c r="B52" s="44" t="s">
        <v>50</v>
      </c>
      <c r="C52" s="41">
        <v>96522</v>
      </c>
      <c r="D52" s="48" t="s">
        <v>25</v>
      </c>
      <c r="E52" s="53" t="s">
        <v>265</v>
      </c>
      <c r="F52" s="50" t="s">
        <v>140</v>
      </c>
      <c r="G52" s="31">
        <v>7.33</v>
      </c>
      <c r="H52" s="32">
        <v>113.6</v>
      </c>
      <c r="I52" s="32">
        <f>H52*G7</f>
        <v>145.68063999999998</v>
      </c>
      <c r="J52" s="32">
        <f t="shared" ref="J52" si="15">TRUNC(G52*H52,2)</f>
        <v>832.68</v>
      </c>
      <c r="K52" s="33">
        <f t="shared" ref="K52:K57" si="16">G52*I52</f>
        <v>1067.8390912</v>
      </c>
    </row>
    <row r="53" spans="2:13" ht="18.75" customHeight="1">
      <c r="B53" s="44" t="s">
        <v>234</v>
      </c>
      <c r="C53" s="41">
        <v>92799</v>
      </c>
      <c r="D53" s="48" t="s">
        <v>25</v>
      </c>
      <c r="E53" s="53" t="s">
        <v>142</v>
      </c>
      <c r="F53" s="50" t="s">
        <v>141</v>
      </c>
      <c r="G53" s="31">
        <v>356.49</v>
      </c>
      <c r="H53" s="32">
        <v>14.18</v>
      </c>
      <c r="I53" s="32">
        <f>H53*G7</f>
        <v>18.184432000000001</v>
      </c>
      <c r="J53" s="32">
        <f t="shared" ref="J53:J57" si="17">TRUNC(G53*H53,2)</f>
        <v>5055.0200000000004</v>
      </c>
      <c r="K53" s="33">
        <f t="shared" si="16"/>
        <v>6482.5681636800009</v>
      </c>
    </row>
    <row r="54" spans="2:13" ht="24.75">
      <c r="B54" s="44" t="s">
        <v>235</v>
      </c>
      <c r="C54" s="41">
        <v>96544</v>
      </c>
      <c r="D54" s="48" t="s">
        <v>25</v>
      </c>
      <c r="E54" s="53" t="s">
        <v>264</v>
      </c>
      <c r="F54" s="50" t="s">
        <v>141</v>
      </c>
      <c r="G54" s="31">
        <v>802.1</v>
      </c>
      <c r="H54" s="32">
        <v>18.809999999999999</v>
      </c>
      <c r="I54" s="32">
        <f>H54*G7</f>
        <v>24.121943999999999</v>
      </c>
      <c r="J54" s="32">
        <f t="shared" ref="J54" si="18">TRUNC(G54*H54,2)</f>
        <v>15087.5</v>
      </c>
      <c r="K54" s="33">
        <f t="shared" si="16"/>
        <v>19348.2112824</v>
      </c>
    </row>
    <row r="55" spans="2:13" ht="28.5" customHeight="1">
      <c r="B55" s="44" t="s">
        <v>236</v>
      </c>
      <c r="C55" s="41">
        <v>96556</v>
      </c>
      <c r="D55" s="48" t="s">
        <v>25</v>
      </c>
      <c r="E55" s="53" t="s">
        <v>143</v>
      </c>
      <c r="F55" s="50" t="s">
        <v>140</v>
      </c>
      <c r="G55" s="31">
        <v>7.33</v>
      </c>
      <c r="H55" s="32">
        <v>778.89</v>
      </c>
      <c r="I55" s="32">
        <f>H55*G7</f>
        <v>998.84853599999997</v>
      </c>
      <c r="J55" s="32">
        <f t="shared" si="17"/>
        <v>5709.26</v>
      </c>
      <c r="K55" s="33">
        <f t="shared" si="16"/>
        <v>7321.5597688799999</v>
      </c>
    </row>
    <row r="56" spans="2:13" ht="16.5">
      <c r="B56" s="44" t="s">
        <v>51</v>
      </c>
      <c r="C56" s="41" t="s">
        <v>286</v>
      </c>
      <c r="D56" s="48" t="s">
        <v>268</v>
      </c>
      <c r="E56" s="53" t="s">
        <v>289</v>
      </c>
      <c r="F56" s="50" t="s">
        <v>30</v>
      </c>
      <c r="G56" s="31">
        <v>1</v>
      </c>
      <c r="H56" s="32">
        <f>COMPOSIÇÃO!H85</f>
        <v>142143.1</v>
      </c>
      <c r="I56" s="32">
        <f>H56*G7</f>
        <v>182284.31144000002</v>
      </c>
      <c r="J56" s="32">
        <f t="shared" si="17"/>
        <v>142143.1</v>
      </c>
      <c r="K56" s="33">
        <f t="shared" si="16"/>
        <v>182284.31144000002</v>
      </c>
    </row>
    <row r="57" spans="2:13" ht="28.5" customHeight="1">
      <c r="B57" s="44" t="s">
        <v>237</v>
      </c>
      <c r="C57" s="41">
        <v>95241</v>
      </c>
      <c r="D57" s="48" t="s">
        <v>25</v>
      </c>
      <c r="E57" s="53" t="s">
        <v>144</v>
      </c>
      <c r="F57" s="50" t="s">
        <v>74</v>
      </c>
      <c r="G57" s="31">
        <v>32.85</v>
      </c>
      <c r="H57" s="32">
        <v>29.27</v>
      </c>
      <c r="I57" s="32">
        <f>H57*G7</f>
        <v>37.535848000000001</v>
      </c>
      <c r="J57" s="32">
        <f t="shared" si="17"/>
        <v>961.51</v>
      </c>
      <c r="K57" s="33">
        <f t="shared" si="16"/>
        <v>1233.0526068000001</v>
      </c>
    </row>
    <row r="58" spans="2:13">
      <c r="B58" s="280"/>
      <c r="C58" s="281"/>
      <c r="D58" s="281"/>
      <c r="E58" s="281"/>
      <c r="F58" s="88"/>
      <c r="G58" s="88"/>
      <c r="H58" s="88"/>
      <c r="I58" s="252" t="s">
        <v>246</v>
      </c>
      <c r="J58" s="252"/>
      <c r="K58" s="36">
        <f>K59*6</f>
        <v>427394.69897711999</v>
      </c>
      <c r="M58" s="172"/>
    </row>
    <row r="59" spans="2:13">
      <c r="B59" s="45" t="s">
        <v>52</v>
      </c>
      <c r="C59" s="87"/>
      <c r="D59" s="89"/>
      <c r="E59" s="87" t="s">
        <v>53</v>
      </c>
      <c r="F59" s="88"/>
      <c r="G59" s="88"/>
      <c r="H59" s="89"/>
      <c r="I59" s="252" t="s">
        <v>247</v>
      </c>
      <c r="J59" s="252"/>
      <c r="K59" s="36">
        <f>SUM(K60:K65)</f>
        <v>71232.449829520003</v>
      </c>
    </row>
    <row r="60" spans="2:13" ht="35.25" customHeight="1">
      <c r="B60" s="44" t="s">
        <v>54</v>
      </c>
      <c r="C60" s="41">
        <v>96522</v>
      </c>
      <c r="D60" s="48" t="s">
        <v>25</v>
      </c>
      <c r="E60" s="53" t="s">
        <v>265</v>
      </c>
      <c r="F60" s="50" t="s">
        <v>140</v>
      </c>
      <c r="G60" s="31">
        <v>0.86</v>
      </c>
      <c r="H60" s="32">
        <v>113.6</v>
      </c>
      <c r="I60" s="32">
        <f>H60*G7</f>
        <v>145.68063999999998</v>
      </c>
      <c r="J60" s="32">
        <f t="shared" ref="J60" si="19">TRUNC(G60*H60,2)</f>
        <v>97.69</v>
      </c>
      <c r="K60" s="33">
        <f t="shared" ref="K60:K65" si="20">G60*I60</f>
        <v>125.28535039999998</v>
      </c>
    </row>
    <row r="61" spans="2:13" ht="18.75" customHeight="1">
      <c r="B61" s="44" t="s">
        <v>238</v>
      </c>
      <c r="C61" s="41">
        <v>92799</v>
      </c>
      <c r="D61" s="48" t="s">
        <v>25</v>
      </c>
      <c r="E61" s="53" t="s">
        <v>142</v>
      </c>
      <c r="F61" s="50" t="s">
        <v>141</v>
      </c>
      <c r="G61" s="31">
        <v>58.86</v>
      </c>
      <c r="H61" s="32">
        <v>14.18</v>
      </c>
      <c r="I61" s="32">
        <f>H61*G7</f>
        <v>18.184432000000001</v>
      </c>
      <c r="J61" s="32">
        <f t="shared" ref="J61:J65" si="21">TRUNC(G61*H61,2)</f>
        <v>834.63</v>
      </c>
      <c r="K61" s="33">
        <f t="shared" si="20"/>
        <v>1070.33566752</v>
      </c>
    </row>
    <row r="62" spans="2:13" ht="24.75">
      <c r="B62" s="44" t="s">
        <v>239</v>
      </c>
      <c r="C62" s="41">
        <v>96544</v>
      </c>
      <c r="D62" s="48" t="s">
        <v>25</v>
      </c>
      <c r="E62" s="53" t="s">
        <v>264</v>
      </c>
      <c r="F62" s="50" t="s">
        <v>141</v>
      </c>
      <c r="G62" s="31">
        <v>132.43</v>
      </c>
      <c r="H62" s="32">
        <v>18.809999999999999</v>
      </c>
      <c r="I62" s="32">
        <f>H62*G7</f>
        <v>24.121943999999999</v>
      </c>
      <c r="J62" s="32">
        <f t="shared" ref="J62" si="22">TRUNC(G62*H62,2)</f>
        <v>2491</v>
      </c>
      <c r="K62" s="33">
        <f t="shared" si="20"/>
        <v>3194.4690439199999</v>
      </c>
    </row>
    <row r="63" spans="2:13" ht="30" customHeight="1">
      <c r="B63" s="44" t="s">
        <v>240</v>
      </c>
      <c r="C63" s="41">
        <v>96556</v>
      </c>
      <c r="D63" s="48" t="s">
        <v>25</v>
      </c>
      <c r="E63" s="53" t="s">
        <v>143</v>
      </c>
      <c r="F63" s="50" t="s">
        <v>140</v>
      </c>
      <c r="G63" s="31">
        <v>3.04</v>
      </c>
      <c r="H63" s="32">
        <v>778.89</v>
      </c>
      <c r="I63" s="32">
        <f>H63*G7</f>
        <v>998.84853599999997</v>
      </c>
      <c r="J63" s="32">
        <f t="shared" si="21"/>
        <v>2367.8200000000002</v>
      </c>
      <c r="K63" s="33">
        <f t="shared" si="20"/>
        <v>3036.49954944</v>
      </c>
    </row>
    <row r="64" spans="2:13" s="55" customFormat="1" ht="16.5">
      <c r="B64" s="44" t="s">
        <v>55</v>
      </c>
      <c r="C64" s="41" t="s">
        <v>288</v>
      </c>
      <c r="D64" s="48" t="s">
        <v>268</v>
      </c>
      <c r="E64" s="53" t="str">
        <f>COMPOSIÇÃO!D95</f>
        <v>INSTALAÇÃO METÁLICA COBERTURA</v>
      </c>
      <c r="F64" s="50" t="s">
        <v>30</v>
      </c>
      <c r="G64" s="31">
        <v>1</v>
      </c>
      <c r="H64" s="32">
        <f>COMPOSIÇÃO!H95</f>
        <v>49670.74</v>
      </c>
      <c r="I64" s="32">
        <f>H64*G7</f>
        <v>63697.756975999997</v>
      </c>
      <c r="J64" s="32">
        <f t="shared" si="21"/>
        <v>49670.74</v>
      </c>
      <c r="K64" s="33">
        <f t="shared" si="20"/>
        <v>63697.756975999997</v>
      </c>
      <c r="L64" s="114"/>
      <c r="M64" s="171"/>
    </row>
    <row r="65" spans="2:13" s="54" customFormat="1" ht="27" customHeight="1">
      <c r="B65" s="44" t="s">
        <v>241</v>
      </c>
      <c r="C65" s="41">
        <v>95241</v>
      </c>
      <c r="D65" s="48" t="s">
        <v>25</v>
      </c>
      <c r="E65" s="53" t="s">
        <v>144</v>
      </c>
      <c r="F65" s="50" t="s">
        <v>74</v>
      </c>
      <c r="G65" s="31">
        <v>2.88</v>
      </c>
      <c r="H65" s="32">
        <v>29.27</v>
      </c>
      <c r="I65" s="32">
        <f>H65*G7</f>
        <v>37.535848000000001</v>
      </c>
      <c r="J65" s="32">
        <f t="shared" si="21"/>
        <v>84.29</v>
      </c>
      <c r="K65" s="33">
        <f t="shared" si="20"/>
        <v>108.10324224</v>
      </c>
      <c r="L65" s="114"/>
      <c r="M65" s="125"/>
    </row>
    <row r="66" spans="2:13" s="5" customFormat="1" ht="15" customHeight="1">
      <c r="B66" s="78"/>
      <c r="C66" s="79"/>
      <c r="D66" s="79"/>
      <c r="E66" s="79"/>
      <c r="F66" s="79"/>
      <c r="G66" s="79"/>
      <c r="H66" s="79"/>
      <c r="I66" s="257" t="s">
        <v>31</v>
      </c>
      <c r="J66" s="258"/>
      <c r="K66" s="35">
        <f>SUM(K58+K50+K42+K34+K26+K18)</f>
        <v>2031617.9418651199</v>
      </c>
      <c r="L66" s="114"/>
      <c r="M66" s="114"/>
    </row>
    <row r="67" spans="2:13" s="5" customFormat="1" ht="12">
      <c r="B67" s="100"/>
      <c r="C67" s="101"/>
      <c r="D67" s="101"/>
      <c r="E67" s="101"/>
      <c r="F67" s="101"/>
      <c r="G67" s="101"/>
      <c r="H67" s="101"/>
      <c r="I67" s="102"/>
      <c r="J67" s="96"/>
      <c r="K67" s="97"/>
      <c r="L67" s="114"/>
      <c r="M67" s="114"/>
    </row>
    <row r="68" spans="2:13">
      <c r="B68" s="43" t="s">
        <v>8</v>
      </c>
      <c r="C68" s="105"/>
      <c r="D68" s="106"/>
      <c r="E68" s="98" t="s">
        <v>56</v>
      </c>
      <c r="F68" s="103"/>
      <c r="G68" s="103"/>
      <c r="H68" s="103"/>
      <c r="I68" s="103"/>
      <c r="J68" s="103"/>
      <c r="K68" s="104"/>
    </row>
    <row r="69" spans="2:13">
      <c r="B69" s="90"/>
      <c r="C69" s="91"/>
      <c r="D69" s="91"/>
      <c r="E69" s="91"/>
      <c r="F69" s="91"/>
      <c r="G69" s="91"/>
      <c r="H69" s="92"/>
      <c r="I69" s="252" t="s">
        <v>246</v>
      </c>
      <c r="J69" s="252"/>
      <c r="K69" s="36">
        <f>K70*15</f>
        <v>40970.2485696</v>
      </c>
    </row>
    <row r="70" spans="2:13">
      <c r="B70" s="45" t="s">
        <v>57</v>
      </c>
      <c r="C70" s="87"/>
      <c r="D70" s="89"/>
      <c r="E70" s="87" t="s">
        <v>34</v>
      </c>
      <c r="F70" s="88"/>
      <c r="G70" s="88"/>
      <c r="H70" s="89"/>
      <c r="I70" s="252" t="s">
        <v>247</v>
      </c>
      <c r="J70" s="252"/>
      <c r="K70" s="36">
        <f>SUM(K71:K74)</f>
        <v>2731.3499046400002</v>
      </c>
    </row>
    <row r="71" spans="2:13" s="54" customFormat="1" ht="30.75" customHeight="1">
      <c r="B71" s="44" t="s">
        <v>242</v>
      </c>
      <c r="C71" s="41">
        <v>94213</v>
      </c>
      <c r="D71" s="48" t="s">
        <v>25</v>
      </c>
      <c r="E71" s="53" t="s">
        <v>204</v>
      </c>
      <c r="F71" s="50" t="s">
        <v>74</v>
      </c>
      <c r="G71" s="31">
        <v>6.8</v>
      </c>
      <c r="H71" s="32">
        <v>70.5</v>
      </c>
      <c r="I71" s="32">
        <f>H71*G7</f>
        <v>90.409199999999998</v>
      </c>
      <c r="J71" s="32">
        <v>477.12</v>
      </c>
      <c r="K71" s="33">
        <f t="shared" ref="K71:K74" si="23">G71*I71</f>
        <v>614.78255999999999</v>
      </c>
      <c r="L71" s="114"/>
      <c r="M71" s="125"/>
    </row>
    <row r="72" spans="2:13" s="54" customFormat="1" ht="24.75">
      <c r="B72" s="44" t="s">
        <v>59</v>
      </c>
      <c r="C72" s="41">
        <v>100327</v>
      </c>
      <c r="D72" s="48" t="s">
        <v>25</v>
      </c>
      <c r="E72" s="53" t="s">
        <v>146</v>
      </c>
      <c r="F72" s="50" t="s">
        <v>147</v>
      </c>
      <c r="G72" s="31">
        <v>11</v>
      </c>
      <c r="H72" s="32">
        <v>67.91</v>
      </c>
      <c r="I72" s="32">
        <f>H72*G7</f>
        <v>87.087783999999999</v>
      </c>
      <c r="J72" s="32">
        <v>464.57</v>
      </c>
      <c r="K72" s="33">
        <f t="shared" si="23"/>
        <v>957.96562399999993</v>
      </c>
      <c r="L72" s="114"/>
      <c r="M72" s="125"/>
    </row>
    <row r="73" spans="2:13" ht="33">
      <c r="B73" s="44" t="s">
        <v>60</v>
      </c>
      <c r="C73" s="41">
        <v>100757</v>
      </c>
      <c r="D73" s="48" t="s">
        <v>25</v>
      </c>
      <c r="E73" s="53" t="s">
        <v>266</v>
      </c>
      <c r="F73" s="50" t="s">
        <v>74</v>
      </c>
      <c r="G73" s="31">
        <f>(13.82+6.8)+10%</f>
        <v>20.720000000000002</v>
      </c>
      <c r="H73" s="32">
        <v>38.630000000000003</v>
      </c>
      <c r="I73" s="32">
        <f>H73*G7</f>
        <v>49.539112000000003</v>
      </c>
      <c r="J73" s="32">
        <f>TRUNC(G73*H73,2)</f>
        <v>800.41</v>
      </c>
      <c r="K73" s="33">
        <f t="shared" si="23"/>
        <v>1026.4504006400002</v>
      </c>
    </row>
    <row r="74" spans="2:13" ht="21" customHeight="1">
      <c r="B74" s="44" t="s">
        <v>61</v>
      </c>
      <c r="C74" s="41">
        <v>88311</v>
      </c>
      <c r="D74" s="48" t="s">
        <v>25</v>
      </c>
      <c r="E74" s="53" t="s">
        <v>149</v>
      </c>
      <c r="F74" s="50" t="s">
        <v>138</v>
      </c>
      <c r="G74" s="31">
        <v>5</v>
      </c>
      <c r="H74" s="32">
        <v>20.61</v>
      </c>
      <c r="I74" s="32">
        <f>H74*G7</f>
        <v>26.430263999999998</v>
      </c>
      <c r="J74" s="32">
        <f>TRUNC(G74*H74,2)</f>
        <v>103.05</v>
      </c>
      <c r="K74" s="33">
        <f t="shared" si="23"/>
        <v>132.15132</v>
      </c>
    </row>
    <row r="75" spans="2:13">
      <c r="B75" s="90"/>
      <c r="C75" s="91"/>
      <c r="D75" s="91"/>
      <c r="E75" s="91"/>
      <c r="F75" s="91"/>
      <c r="G75" s="91"/>
      <c r="H75" s="92"/>
      <c r="I75" s="252" t="s">
        <v>246</v>
      </c>
      <c r="J75" s="252"/>
      <c r="K75" s="36">
        <f>K76*15</f>
        <v>48595.177755600002</v>
      </c>
    </row>
    <row r="76" spans="2:13">
      <c r="B76" s="45" t="s">
        <v>62</v>
      </c>
      <c r="C76" s="87"/>
      <c r="D76" s="89"/>
      <c r="E76" s="87" t="s">
        <v>38</v>
      </c>
      <c r="F76" s="88"/>
      <c r="G76" s="88"/>
      <c r="H76" s="89"/>
      <c r="I76" s="252" t="s">
        <v>247</v>
      </c>
      <c r="J76" s="252"/>
      <c r="K76" s="36">
        <f>SUM(K77:K80)</f>
        <v>3239.6785170400003</v>
      </c>
    </row>
    <row r="77" spans="2:13" ht="28.5" customHeight="1">
      <c r="B77" s="44" t="s">
        <v>243</v>
      </c>
      <c r="C77" s="41">
        <v>94213</v>
      </c>
      <c r="D77" s="48" t="s">
        <v>25</v>
      </c>
      <c r="E77" s="53" t="s">
        <v>204</v>
      </c>
      <c r="F77" s="50" t="s">
        <v>74</v>
      </c>
      <c r="G77" s="31">
        <v>8.8000000000000007</v>
      </c>
      <c r="H77" s="32">
        <v>70.5</v>
      </c>
      <c r="I77" s="32">
        <f>H77*G7</f>
        <v>90.409199999999998</v>
      </c>
      <c r="J77" s="32">
        <v>699.77</v>
      </c>
      <c r="K77" s="33">
        <f t="shared" ref="K77:K80" si="24">G77*I77</f>
        <v>795.6009600000001</v>
      </c>
    </row>
    <row r="78" spans="2:13" ht="27.75" customHeight="1">
      <c r="B78" s="44" t="s">
        <v>63</v>
      </c>
      <c r="C78" s="41">
        <v>100327</v>
      </c>
      <c r="D78" s="48" t="s">
        <v>25</v>
      </c>
      <c r="E78" s="53" t="s">
        <v>146</v>
      </c>
      <c r="F78" s="50" t="s">
        <v>147</v>
      </c>
      <c r="G78" s="31">
        <v>12.4</v>
      </c>
      <c r="H78" s="32">
        <v>67.91</v>
      </c>
      <c r="I78" s="32">
        <f>H78*G7</f>
        <v>87.087783999999999</v>
      </c>
      <c r="J78" s="32">
        <v>560.22</v>
      </c>
      <c r="K78" s="33">
        <f t="shared" si="24"/>
        <v>1079.8885216000001</v>
      </c>
    </row>
    <row r="79" spans="2:13" ht="42.75" customHeight="1">
      <c r="B79" s="44" t="s">
        <v>64</v>
      </c>
      <c r="C79" s="41">
        <v>100757</v>
      </c>
      <c r="D79" s="48" t="s">
        <v>25</v>
      </c>
      <c r="E79" s="53" t="s">
        <v>266</v>
      </c>
      <c r="F79" s="50" t="s">
        <v>74</v>
      </c>
      <c r="G79" s="31">
        <f>(15.97+8.8)+10%</f>
        <v>24.870000000000005</v>
      </c>
      <c r="H79" s="32">
        <v>38.630000000000003</v>
      </c>
      <c r="I79" s="32">
        <f>H79*G7</f>
        <v>49.539112000000003</v>
      </c>
      <c r="J79" s="32">
        <f>TRUNC(G79*H79,2)</f>
        <v>960.72</v>
      </c>
      <c r="K79" s="33">
        <f t="shared" si="24"/>
        <v>1232.0377154400003</v>
      </c>
    </row>
    <row r="80" spans="2:13" ht="19.5" customHeight="1">
      <c r="B80" s="44" t="s">
        <v>65</v>
      </c>
      <c r="C80" s="41">
        <v>88311</v>
      </c>
      <c r="D80" s="48" t="s">
        <v>25</v>
      </c>
      <c r="E80" s="53" t="s">
        <v>149</v>
      </c>
      <c r="F80" s="50" t="s">
        <v>138</v>
      </c>
      <c r="G80" s="31">
        <v>5</v>
      </c>
      <c r="H80" s="32">
        <v>20.61</v>
      </c>
      <c r="I80" s="32">
        <f>H80*G7</f>
        <v>26.430263999999998</v>
      </c>
      <c r="J80" s="32">
        <f>TRUNC(G80*H80,2)</f>
        <v>103.05</v>
      </c>
      <c r="K80" s="33">
        <f t="shared" si="24"/>
        <v>132.15132</v>
      </c>
    </row>
    <row r="81" spans="2:11">
      <c r="B81" s="90"/>
      <c r="C81" s="91"/>
      <c r="D81" s="91"/>
      <c r="E81" s="91"/>
      <c r="F81" s="91"/>
      <c r="G81" s="91"/>
      <c r="H81" s="92"/>
      <c r="I81" s="252" t="s">
        <v>246</v>
      </c>
      <c r="J81" s="252"/>
      <c r="K81" s="36">
        <f>K82*14</f>
        <v>411886.90345674666</v>
      </c>
    </row>
    <row r="82" spans="2:11">
      <c r="B82" s="45" t="s">
        <v>66</v>
      </c>
      <c r="C82" s="87"/>
      <c r="D82" s="89"/>
      <c r="E82" s="87" t="s">
        <v>41</v>
      </c>
      <c r="F82" s="88"/>
      <c r="G82" s="88"/>
      <c r="H82" s="89"/>
      <c r="I82" s="252" t="s">
        <v>247</v>
      </c>
      <c r="J82" s="252"/>
      <c r="K82" s="36">
        <f>SUM(K83:K91)</f>
        <v>29420.493104053334</v>
      </c>
    </row>
    <row r="83" spans="2:11" ht="16.5">
      <c r="B83" s="44" t="s">
        <v>67</v>
      </c>
      <c r="C83" s="41" t="s">
        <v>68</v>
      </c>
      <c r="D83" s="48" t="s">
        <v>28</v>
      </c>
      <c r="E83" s="53" t="s">
        <v>301</v>
      </c>
      <c r="F83" s="50" t="s">
        <v>30</v>
      </c>
      <c r="G83" s="31">
        <v>1</v>
      </c>
      <c r="H83" s="32">
        <f>COMPOSIÇÃO!H15</f>
        <v>2670.4559999999997</v>
      </c>
      <c r="I83" s="32">
        <f>H83*G7</f>
        <v>3424.5927743999996</v>
      </c>
      <c r="J83" s="32">
        <f>TRUNC(G83*H83,2)</f>
        <v>2670.45</v>
      </c>
      <c r="K83" s="33">
        <f t="shared" ref="K83:K91" si="25">G83*I83</f>
        <v>3424.5927743999996</v>
      </c>
    </row>
    <row r="84" spans="2:11" ht="26.25" customHeight="1">
      <c r="B84" s="44" t="s">
        <v>69</v>
      </c>
      <c r="C84" s="41">
        <v>94216</v>
      </c>
      <c r="D84" s="48" t="s">
        <v>25</v>
      </c>
      <c r="E84" s="53" t="s">
        <v>145</v>
      </c>
      <c r="F84" s="50" t="s">
        <v>74</v>
      </c>
      <c r="G84" s="31">
        <v>18</v>
      </c>
      <c r="H84" s="32">
        <v>204.27</v>
      </c>
      <c r="I84" s="32">
        <f>H84*G7</f>
        <v>261.955848</v>
      </c>
      <c r="J84" s="32">
        <v>4210.92</v>
      </c>
      <c r="K84" s="33">
        <f t="shared" si="25"/>
        <v>4715.2052640000002</v>
      </c>
    </row>
    <row r="85" spans="2:11" ht="27" customHeight="1">
      <c r="B85" s="44" t="s">
        <v>70</v>
      </c>
      <c r="C85" s="41">
        <v>100327</v>
      </c>
      <c r="D85" s="48" t="s">
        <v>25</v>
      </c>
      <c r="E85" s="53" t="s">
        <v>146</v>
      </c>
      <c r="F85" s="50" t="s">
        <v>147</v>
      </c>
      <c r="G85" s="31">
        <v>11.1</v>
      </c>
      <c r="H85" s="32">
        <v>67.91</v>
      </c>
      <c r="I85" s="32">
        <f>H85*G7</f>
        <v>87.087783999999999</v>
      </c>
      <c r="J85" s="32">
        <v>758.35</v>
      </c>
      <c r="K85" s="33">
        <f t="shared" si="25"/>
        <v>966.67440239999996</v>
      </c>
    </row>
    <row r="86" spans="2:11" ht="24.75">
      <c r="B86" s="44" t="s">
        <v>71</v>
      </c>
      <c r="C86" s="41">
        <v>94227</v>
      </c>
      <c r="D86" s="48" t="s">
        <v>25</v>
      </c>
      <c r="E86" s="53" t="s">
        <v>150</v>
      </c>
      <c r="F86" s="50" t="s">
        <v>147</v>
      </c>
      <c r="G86" s="31">
        <v>17.7</v>
      </c>
      <c r="H86" s="32">
        <v>75.48</v>
      </c>
      <c r="I86" s="32">
        <f>H86*G7</f>
        <v>96.795552000000001</v>
      </c>
      <c r="J86" s="32">
        <v>1354.05</v>
      </c>
      <c r="K86" s="33">
        <f t="shared" si="25"/>
        <v>1713.2812704</v>
      </c>
    </row>
    <row r="87" spans="2:11" ht="16.5">
      <c r="B87" s="44" t="s">
        <v>72</v>
      </c>
      <c r="C87" s="41" t="s">
        <v>297</v>
      </c>
      <c r="D87" s="48" t="s">
        <v>295</v>
      </c>
      <c r="E87" s="53" t="s">
        <v>296</v>
      </c>
      <c r="F87" s="50" t="s">
        <v>74</v>
      </c>
      <c r="G87" s="31">
        <f>7.65*2</f>
        <v>15.3</v>
      </c>
      <c r="H87" s="32">
        <v>234.17</v>
      </c>
      <c r="I87" s="32">
        <f>H87*G7</f>
        <v>300.29960799999998</v>
      </c>
      <c r="J87" s="32">
        <v>1151.5999999999999</v>
      </c>
      <c r="K87" s="33">
        <f t="shared" si="25"/>
        <v>4594.5840023999999</v>
      </c>
    </row>
    <row r="88" spans="2:11" ht="18.75" customHeight="1">
      <c r="B88" s="44" t="s">
        <v>73</v>
      </c>
      <c r="C88" s="41" t="s">
        <v>300</v>
      </c>
      <c r="D88" s="48" t="s">
        <v>299</v>
      </c>
      <c r="E88" s="53" t="s">
        <v>298</v>
      </c>
      <c r="F88" s="50" t="s">
        <v>74</v>
      </c>
      <c r="G88" s="31">
        <v>12.299999999999999</v>
      </c>
      <c r="H88" s="32">
        <v>280.08</v>
      </c>
      <c r="I88" s="32">
        <f>H88*G7</f>
        <v>359.17459199999996</v>
      </c>
      <c r="J88" s="32">
        <v>5304.62</v>
      </c>
      <c r="K88" s="33">
        <f t="shared" si="25"/>
        <v>4417.8474815999989</v>
      </c>
    </row>
    <row r="89" spans="2:11" ht="33">
      <c r="B89" s="44" t="s">
        <v>75</v>
      </c>
      <c r="C89" s="41">
        <v>100743</v>
      </c>
      <c r="D89" s="48" t="s">
        <v>25</v>
      </c>
      <c r="E89" s="53" t="s">
        <v>148</v>
      </c>
      <c r="F89" s="50" t="s">
        <v>74</v>
      </c>
      <c r="G89" s="31">
        <f>(34.83+18)+10%</f>
        <v>52.93</v>
      </c>
      <c r="H89" s="32">
        <v>8.86</v>
      </c>
      <c r="I89" s="32">
        <f>H89*G7</f>
        <v>11.362063999999998</v>
      </c>
      <c r="J89" s="32">
        <f>TRUNC(G89*H89,2)</f>
        <v>468.95</v>
      </c>
      <c r="K89" s="33">
        <f t="shared" si="25"/>
        <v>601.39404751999996</v>
      </c>
    </row>
    <row r="90" spans="2:11" ht="18.75" customHeight="1">
      <c r="B90" s="44" t="s">
        <v>76</v>
      </c>
      <c r="C90" s="41">
        <v>88311</v>
      </c>
      <c r="D90" s="48" t="s">
        <v>25</v>
      </c>
      <c r="E90" s="53" t="s">
        <v>149</v>
      </c>
      <c r="F90" s="50" t="s">
        <v>138</v>
      </c>
      <c r="G90" s="31">
        <v>2</v>
      </c>
      <c r="H90" s="32">
        <v>20.61</v>
      </c>
      <c r="I90" s="32">
        <f>H90*G7</f>
        <v>26.430263999999998</v>
      </c>
      <c r="J90" s="32">
        <f>TRUNC(G90*H90,2)</f>
        <v>41.22</v>
      </c>
      <c r="K90" s="33">
        <f t="shared" si="25"/>
        <v>52.860527999999995</v>
      </c>
    </row>
    <row r="91" spans="2:11" ht="16.5">
      <c r="B91" s="44" t="s">
        <v>212</v>
      </c>
      <c r="C91" s="41" t="s">
        <v>213</v>
      </c>
      <c r="D91" s="48" t="s">
        <v>214</v>
      </c>
      <c r="E91" s="53" t="s">
        <v>206</v>
      </c>
      <c r="F91" s="50" t="s">
        <v>30</v>
      </c>
      <c r="G91" s="31">
        <v>1</v>
      </c>
      <c r="H91" s="32">
        <f>COMPOSIÇÃO!H40</f>
        <v>6966.666666666667</v>
      </c>
      <c r="I91" s="32">
        <f>H91*G7</f>
        <v>8934.0533333333333</v>
      </c>
      <c r="J91" s="32">
        <f>TRUNC(G91*H91,2)</f>
        <v>6966.66</v>
      </c>
      <c r="K91" s="33">
        <f t="shared" si="25"/>
        <v>8934.0533333333333</v>
      </c>
    </row>
    <row r="92" spans="2:11" ht="15" customHeight="1">
      <c r="B92" s="90"/>
      <c r="C92" s="91"/>
      <c r="D92" s="91"/>
      <c r="E92" s="91"/>
      <c r="F92" s="91"/>
      <c r="G92" s="91"/>
      <c r="H92" s="92"/>
      <c r="I92" s="252" t="s">
        <v>246</v>
      </c>
      <c r="J92" s="252"/>
      <c r="K92" s="36">
        <f>K93*5</f>
        <v>461681.55356026668</v>
      </c>
    </row>
    <row r="93" spans="2:11" ht="15" customHeight="1">
      <c r="B93" s="45" t="s">
        <v>77</v>
      </c>
      <c r="C93" s="87"/>
      <c r="D93" s="89"/>
      <c r="E93" s="87" t="s">
        <v>45</v>
      </c>
      <c r="F93" s="88"/>
      <c r="G93" s="88"/>
      <c r="H93" s="89"/>
      <c r="I93" s="252" t="s">
        <v>247</v>
      </c>
      <c r="J93" s="252"/>
      <c r="K93" s="36">
        <f>SUM(K94:K101)</f>
        <v>92336.310712053339</v>
      </c>
    </row>
    <row r="94" spans="2:11" ht="16.5">
      <c r="B94" s="44" t="s">
        <v>78</v>
      </c>
      <c r="C94" s="41" t="s">
        <v>79</v>
      </c>
      <c r="D94" s="48" t="s">
        <v>28</v>
      </c>
      <c r="E94" s="53" t="s">
        <v>301</v>
      </c>
      <c r="F94" s="50" t="s">
        <v>30</v>
      </c>
      <c r="G94" s="31">
        <v>1</v>
      </c>
      <c r="H94" s="32">
        <f>COMPOSIÇÃO!H21</f>
        <v>10681.823999999999</v>
      </c>
      <c r="I94" s="32">
        <f>H94*G7</f>
        <v>13698.371097599998</v>
      </c>
      <c r="J94" s="32">
        <f>TRUNC(G94*H94,2)</f>
        <v>10681.82</v>
      </c>
      <c r="K94" s="33">
        <v>13698.37</v>
      </c>
    </row>
    <row r="95" spans="2:11" ht="24.75">
      <c r="B95" s="44" t="s">
        <v>80</v>
      </c>
      <c r="C95" s="41">
        <v>94216</v>
      </c>
      <c r="D95" s="48" t="s">
        <v>25</v>
      </c>
      <c r="E95" s="53" t="s">
        <v>145</v>
      </c>
      <c r="F95" s="50" t="s">
        <v>74</v>
      </c>
      <c r="G95" s="31">
        <v>72</v>
      </c>
      <c r="H95" s="32">
        <v>204.27</v>
      </c>
      <c r="I95" s="32">
        <f>H95*G7</f>
        <v>261.955848</v>
      </c>
      <c r="J95" s="32">
        <v>16843.68</v>
      </c>
      <c r="K95" s="33">
        <f t="shared" ref="K95:K101" si="26">G95*I95</f>
        <v>18860.821056000001</v>
      </c>
    </row>
    <row r="96" spans="2:11" ht="24.75">
      <c r="B96" s="44" t="s">
        <v>81</v>
      </c>
      <c r="C96" s="41">
        <v>100327</v>
      </c>
      <c r="D96" s="48" t="s">
        <v>25</v>
      </c>
      <c r="E96" s="53" t="s">
        <v>146</v>
      </c>
      <c r="F96" s="50" t="s">
        <v>147</v>
      </c>
      <c r="G96" s="31">
        <v>28.8</v>
      </c>
      <c r="H96" s="32">
        <v>67.91</v>
      </c>
      <c r="I96" s="32">
        <f>H96*G7</f>
        <v>87.087783999999999</v>
      </c>
      <c r="J96" s="32">
        <v>1967.61</v>
      </c>
      <c r="K96" s="33">
        <f t="shared" si="26"/>
        <v>2508.1281792</v>
      </c>
    </row>
    <row r="97" spans="2:13" ht="24.75">
      <c r="B97" s="44" t="s">
        <v>82</v>
      </c>
      <c r="C97" s="41">
        <v>94227</v>
      </c>
      <c r="D97" s="48" t="s">
        <v>25</v>
      </c>
      <c r="E97" s="53" t="s">
        <v>150</v>
      </c>
      <c r="F97" s="50" t="s">
        <v>147</v>
      </c>
      <c r="G97" s="31">
        <v>35.700000000000003</v>
      </c>
      <c r="H97" s="32">
        <v>75.48</v>
      </c>
      <c r="I97" s="32">
        <f>H97*G7</f>
        <v>96.795552000000001</v>
      </c>
      <c r="J97" s="32">
        <v>2731.05</v>
      </c>
      <c r="K97" s="33">
        <f t="shared" si="26"/>
        <v>3455.6012064000001</v>
      </c>
    </row>
    <row r="98" spans="2:13" ht="16.5">
      <c r="B98" s="44" t="s">
        <v>83</v>
      </c>
      <c r="C98" s="41" t="s">
        <v>300</v>
      </c>
      <c r="D98" s="48" t="s">
        <v>299</v>
      </c>
      <c r="E98" s="53" t="s">
        <v>298</v>
      </c>
      <c r="F98" s="50" t="s">
        <v>74</v>
      </c>
      <c r="G98" s="31">
        <v>46.8</v>
      </c>
      <c r="H98" s="32">
        <v>280.08</v>
      </c>
      <c r="I98" s="32">
        <f>H98*G7</f>
        <v>359.17459199999996</v>
      </c>
      <c r="J98" s="32">
        <v>20183.43</v>
      </c>
      <c r="K98" s="33">
        <f t="shared" si="26"/>
        <v>16809.370905599997</v>
      </c>
    </row>
    <row r="99" spans="2:13" ht="33">
      <c r="B99" s="44" t="s">
        <v>84</v>
      </c>
      <c r="C99" s="41">
        <v>100743</v>
      </c>
      <c r="D99" s="48" t="s">
        <v>25</v>
      </c>
      <c r="E99" s="53" t="s">
        <v>148</v>
      </c>
      <c r="F99" s="50" t="s">
        <v>74</v>
      </c>
      <c r="G99" s="31">
        <v>106.93</v>
      </c>
      <c r="H99" s="32">
        <v>8.86</v>
      </c>
      <c r="I99" s="32">
        <f>H99*G7</f>
        <v>11.362063999999998</v>
      </c>
      <c r="J99" s="32">
        <f t="shared" ref="J99:J100" si="27">TRUNC(G99*H99,2)</f>
        <v>947.39</v>
      </c>
      <c r="K99" s="33">
        <f t="shared" si="26"/>
        <v>1214.9455035199999</v>
      </c>
    </row>
    <row r="100" spans="2:13" ht="16.5">
      <c r="B100" s="44" t="s">
        <v>85</v>
      </c>
      <c r="C100" s="41">
        <v>88311</v>
      </c>
      <c r="D100" s="48" t="s">
        <v>25</v>
      </c>
      <c r="E100" s="53" t="s">
        <v>149</v>
      </c>
      <c r="F100" s="50" t="s">
        <v>138</v>
      </c>
      <c r="G100" s="31">
        <v>2</v>
      </c>
      <c r="H100" s="32">
        <v>20.61</v>
      </c>
      <c r="I100" s="32">
        <f>H100*G7</f>
        <v>26.430263999999998</v>
      </c>
      <c r="J100" s="32">
        <f t="shared" si="27"/>
        <v>41.22</v>
      </c>
      <c r="K100" s="33">
        <f t="shared" si="26"/>
        <v>52.860527999999995</v>
      </c>
    </row>
    <row r="101" spans="2:13" ht="16.5">
      <c r="B101" s="44" t="s">
        <v>215</v>
      </c>
      <c r="C101" s="41" t="s">
        <v>213</v>
      </c>
      <c r="D101" s="48" t="s">
        <v>214</v>
      </c>
      <c r="E101" s="53" t="s">
        <v>206</v>
      </c>
      <c r="F101" s="50" t="s">
        <v>30</v>
      </c>
      <c r="G101" s="31">
        <v>4</v>
      </c>
      <c r="H101" s="32">
        <f>COMPOSIÇÃO!H40</f>
        <v>6966.666666666667</v>
      </c>
      <c r="I101" s="32">
        <f>H101*G7</f>
        <v>8934.0533333333333</v>
      </c>
      <c r="J101" s="32">
        <f>TRUNC(G101*H101,2)</f>
        <v>27866.66</v>
      </c>
      <c r="K101" s="33">
        <f t="shared" si="26"/>
        <v>35736.213333333333</v>
      </c>
    </row>
    <row r="102" spans="2:13" ht="15" customHeight="1">
      <c r="B102" s="90"/>
      <c r="C102" s="91"/>
      <c r="D102" s="91"/>
      <c r="E102" s="91"/>
      <c r="F102" s="91"/>
      <c r="G102" s="91"/>
      <c r="H102" s="92"/>
      <c r="I102" s="252" t="s">
        <v>246</v>
      </c>
      <c r="J102" s="252"/>
      <c r="K102" s="36">
        <f>K103*1</f>
        <v>218422.93003738666</v>
      </c>
    </row>
    <row r="103" spans="2:13" ht="15" customHeight="1">
      <c r="B103" s="45" t="s">
        <v>86</v>
      </c>
      <c r="C103" s="87"/>
      <c r="D103" s="89"/>
      <c r="E103" s="87" t="s">
        <v>49</v>
      </c>
      <c r="F103" s="88"/>
      <c r="G103" s="88"/>
      <c r="H103" s="89"/>
      <c r="I103" s="252" t="s">
        <v>247</v>
      </c>
      <c r="J103" s="252"/>
      <c r="K103" s="36">
        <f>SUM(K104:K111)</f>
        <v>218422.93003738666</v>
      </c>
      <c r="M103" s="114">
        <v>218422.91</v>
      </c>
    </row>
    <row r="104" spans="2:13" ht="16.5">
      <c r="B104" s="44" t="s">
        <v>87</v>
      </c>
      <c r="C104" s="41" t="s">
        <v>88</v>
      </c>
      <c r="D104" s="48" t="s">
        <v>28</v>
      </c>
      <c r="E104" s="53" t="s">
        <v>301</v>
      </c>
      <c r="F104" s="50" t="s">
        <v>30</v>
      </c>
      <c r="G104" s="31">
        <v>1</v>
      </c>
      <c r="H104" s="32">
        <f>COMPOSIÇÃO!H27</f>
        <v>21363.647999999997</v>
      </c>
      <c r="I104" s="32">
        <f>H104*G7</f>
        <v>27396.742195199997</v>
      </c>
      <c r="J104" s="32">
        <f t="shared" ref="J104" si="28">TRUNC(G104*H104,2)</f>
        <v>21363.64</v>
      </c>
      <c r="K104" s="33">
        <v>27396.74</v>
      </c>
    </row>
    <row r="105" spans="2:13" ht="24.75">
      <c r="B105" s="44" t="s">
        <v>89</v>
      </c>
      <c r="C105" s="41">
        <v>94216</v>
      </c>
      <c r="D105" s="48" t="s">
        <v>25</v>
      </c>
      <c r="E105" s="53" t="s">
        <v>145</v>
      </c>
      <c r="F105" s="50" t="s">
        <v>74</v>
      </c>
      <c r="G105" s="31">
        <v>144</v>
      </c>
      <c r="H105" s="32">
        <v>204.27</v>
      </c>
      <c r="I105" s="32">
        <f>H105*G7</f>
        <v>261.955848</v>
      </c>
      <c r="J105" s="32">
        <f t="shared" ref="J105:J110" si="29">TRUNC(G105*H105,2)</f>
        <v>29414.880000000001</v>
      </c>
      <c r="K105" s="33">
        <f t="shared" ref="K105:K111" si="30">G105*I105</f>
        <v>37721.642112000001</v>
      </c>
    </row>
    <row r="106" spans="2:13" ht="24.75">
      <c r="B106" s="44" t="s">
        <v>90</v>
      </c>
      <c r="C106" s="41">
        <v>100327</v>
      </c>
      <c r="D106" s="48" t="s">
        <v>25</v>
      </c>
      <c r="E106" s="53" t="s">
        <v>146</v>
      </c>
      <c r="F106" s="50" t="s">
        <v>147</v>
      </c>
      <c r="G106" s="31">
        <v>52.2</v>
      </c>
      <c r="H106" s="32">
        <v>67.91</v>
      </c>
      <c r="I106" s="32">
        <f>H106*G7</f>
        <v>87.087783999999999</v>
      </c>
      <c r="J106" s="32">
        <f t="shared" si="29"/>
        <v>3544.9</v>
      </c>
      <c r="K106" s="33">
        <f t="shared" si="30"/>
        <v>4545.9823248000002</v>
      </c>
    </row>
    <row r="107" spans="2:13" ht="24.75">
      <c r="B107" s="44" t="s">
        <v>91</v>
      </c>
      <c r="C107" s="41">
        <v>94227</v>
      </c>
      <c r="D107" s="48" t="s">
        <v>25</v>
      </c>
      <c r="E107" s="53" t="s">
        <v>150</v>
      </c>
      <c r="F107" s="50" t="s">
        <v>147</v>
      </c>
      <c r="G107" s="31">
        <v>60</v>
      </c>
      <c r="H107" s="32">
        <v>75.48</v>
      </c>
      <c r="I107" s="32">
        <f>H107*G7</f>
        <v>96.795552000000001</v>
      </c>
      <c r="J107" s="32">
        <f t="shared" si="29"/>
        <v>4528.8</v>
      </c>
      <c r="K107" s="33">
        <f t="shared" si="30"/>
        <v>5807.7331199999999</v>
      </c>
    </row>
    <row r="108" spans="2:13" ht="16.5">
      <c r="B108" s="44" t="s">
        <v>92</v>
      </c>
      <c r="C108" s="41" t="s">
        <v>300</v>
      </c>
      <c r="D108" s="48" t="s">
        <v>299</v>
      </c>
      <c r="E108" s="53" t="s">
        <v>298</v>
      </c>
      <c r="F108" s="50" t="s">
        <v>74</v>
      </c>
      <c r="G108" s="31">
        <v>193.2</v>
      </c>
      <c r="H108" s="32">
        <v>280.08</v>
      </c>
      <c r="I108" s="32">
        <f>H108*G7</f>
        <v>359.17459199999996</v>
      </c>
      <c r="J108" s="32">
        <f t="shared" si="29"/>
        <v>54111.45</v>
      </c>
      <c r="K108" s="33">
        <f t="shared" si="30"/>
        <v>69392.531174399992</v>
      </c>
    </row>
    <row r="109" spans="2:13" ht="33">
      <c r="B109" s="44" t="s">
        <v>93</v>
      </c>
      <c r="C109" s="41">
        <v>100743</v>
      </c>
      <c r="D109" s="48" t="s">
        <v>25</v>
      </c>
      <c r="E109" s="53" t="s">
        <v>148</v>
      </c>
      <c r="F109" s="50" t="s">
        <v>74</v>
      </c>
      <c r="G109" s="31">
        <f>(34.83+144)+10%</f>
        <v>178.92999999999998</v>
      </c>
      <c r="H109" s="32">
        <v>8.86</v>
      </c>
      <c r="I109" s="32">
        <f>H109*G7</f>
        <v>11.362063999999998</v>
      </c>
      <c r="J109" s="32">
        <f t="shared" si="29"/>
        <v>1585.31</v>
      </c>
      <c r="K109" s="33">
        <f t="shared" si="30"/>
        <v>2033.0141115199995</v>
      </c>
    </row>
    <row r="110" spans="2:13" ht="16.5">
      <c r="B110" s="44" t="s">
        <v>94</v>
      </c>
      <c r="C110" s="41">
        <v>88311</v>
      </c>
      <c r="D110" s="48" t="s">
        <v>25</v>
      </c>
      <c r="E110" s="53" t="s">
        <v>149</v>
      </c>
      <c r="F110" s="50" t="s">
        <v>138</v>
      </c>
      <c r="G110" s="31">
        <v>2</v>
      </c>
      <c r="H110" s="32">
        <v>20.61</v>
      </c>
      <c r="I110" s="32">
        <f>H110*G7</f>
        <v>26.430263999999998</v>
      </c>
      <c r="J110" s="32">
        <f t="shared" si="29"/>
        <v>41.22</v>
      </c>
      <c r="K110" s="33">
        <f t="shared" si="30"/>
        <v>52.860527999999995</v>
      </c>
    </row>
    <row r="111" spans="2:13" ht="16.5">
      <c r="B111" s="44" t="s">
        <v>216</v>
      </c>
      <c r="C111" s="41" t="s">
        <v>213</v>
      </c>
      <c r="D111" s="48" t="s">
        <v>214</v>
      </c>
      <c r="E111" s="53" t="s">
        <v>206</v>
      </c>
      <c r="F111" s="50" t="s">
        <v>30</v>
      </c>
      <c r="G111" s="31">
        <v>8</v>
      </c>
      <c r="H111" s="32">
        <f>COMPOSIÇÃO!H40</f>
        <v>6966.666666666667</v>
      </c>
      <c r="I111" s="32">
        <f>H111*G7</f>
        <v>8934.0533333333333</v>
      </c>
      <c r="J111" s="32">
        <f>TRUNC(G111*H111,2)</f>
        <v>55733.33</v>
      </c>
      <c r="K111" s="33">
        <f t="shared" si="30"/>
        <v>71472.426666666666</v>
      </c>
    </row>
    <row r="112" spans="2:13">
      <c r="B112" s="90"/>
      <c r="C112" s="91"/>
      <c r="D112" s="91"/>
      <c r="E112" s="91"/>
      <c r="F112" s="91"/>
      <c r="G112" s="91"/>
      <c r="H112" s="92"/>
      <c r="I112" s="252" t="s">
        <v>246</v>
      </c>
      <c r="J112" s="252"/>
      <c r="K112" s="36">
        <f>K113*6</f>
        <v>261892.38561472</v>
      </c>
    </row>
    <row r="113" spans="2:13" ht="15" customHeight="1">
      <c r="B113" s="45" t="s">
        <v>95</v>
      </c>
      <c r="C113" s="87"/>
      <c r="D113" s="89"/>
      <c r="E113" s="87" t="s">
        <v>53</v>
      </c>
      <c r="F113" s="88"/>
      <c r="G113" s="88"/>
      <c r="H113" s="89"/>
      <c r="I113" s="252" t="s">
        <v>247</v>
      </c>
      <c r="J113" s="252"/>
      <c r="K113" s="36">
        <f>SUM(K114:K117)</f>
        <v>43648.730935786669</v>
      </c>
      <c r="M113" s="114">
        <v>43648.71</v>
      </c>
    </row>
    <row r="114" spans="2:13" ht="21" customHeight="1">
      <c r="B114" s="44" t="s">
        <v>244</v>
      </c>
      <c r="C114" s="41">
        <v>40726</v>
      </c>
      <c r="D114" s="48" t="s">
        <v>302</v>
      </c>
      <c r="E114" s="53" t="s">
        <v>303</v>
      </c>
      <c r="F114" s="50" t="s">
        <v>147</v>
      </c>
      <c r="G114" s="31">
        <v>48</v>
      </c>
      <c r="H114" s="32">
        <v>152.29</v>
      </c>
      <c r="I114" s="32">
        <f>H114*G7</f>
        <v>195.296696</v>
      </c>
      <c r="J114" s="32">
        <f t="shared" ref="J114:J116" si="31">TRUNC(G114*H114,2)</f>
        <v>7309.92</v>
      </c>
      <c r="K114" s="33">
        <f t="shared" ref="K114:K117" si="32">G114*I114</f>
        <v>9374.2414079999999</v>
      </c>
    </row>
    <row r="115" spans="2:13" ht="35.25" customHeight="1">
      <c r="B115" s="44" t="s">
        <v>96</v>
      </c>
      <c r="C115" s="41">
        <v>100743</v>
      </c>
      <c r="D115" s="48" t="s">
        <v>25</v>
      </c>
      <c r="E115" s="53" t="s">
        <v>148</v>
      </c>
      <c r="F115" s="50" t="s">
        <v>74</v>
      </c>
      <c r="G115" s="31">
        <v>110.58</v>
      </c>
      <c r="H115" s="32">
        <v>8.86</v>
      </c>
      <c r="I115" s="32">
        <f>H115*G7</f>
        <v>11.362063999999998</v>
      </c>
      <c r="J115" s="32">
        <f t="shared" si="31"/>
        <v>979.73</v>
      </c>
      <c r="K115" s="33">
        <f t="shared" si="32"/>
        <v>1256.4170371199998</v>
      </c>
    </row>
    <row r="116" spans="2:13" ht="18.75" customHeight="1">
      <c r="B116" s="44" t="s">
        <v>97</v>
      </c>
      <c r="C116" s="41" t="s">
        <v>99</v>
      </c>
      <c r="D116" s="48" t="s">
        <v>294</v>
      </c>
      <c r="E116" s="53" t="s">
        <v>293</v>
      </c>
      <c r="F116" s="50" t="s">
        <v>74</v>
      </c>
      <c r="G116" s="31">
        <v>72</v>
      </c>
      <c r="H116" s="32">
        <v>164.08</v>
      </c>
      <c r="I116" s="32">
        <f>H116*G7</f>
        <v>210.41619200000002</v>
      </c>
      <c r="J116" s="32">
        <f t="shared" si="31"/>
        <v>11813.76</v>
      </c>
      <c r="K116" s="33">
        <f t="shared" si="32"/>
        <v>15149.965824000003</v>
      </c>
    </row>
    <row r="117" spans="2:13" ht="18.75" customHeight="1">
      <c r="B117" s="44" t="s">
        <v>98</v>
      </c>
      <c r="C117" s="41" t="s">
        <v>213</v>
      </c>
      <c r="D117" s="48" t="s">
        <v>214</v>
      </c>
      <c r="E117" s="53" t="s">
        <v>206</v>
      </c>
      <c r="F117" s="50" t="s">
        <v>30</v>
      </c>
      <c r="G117" s="31">
        <v>2</v>
      </c>
      <c r="H117" s="32">
        <f>COMPOSIÇÃO!H40</f>
        <v>6966.666666666667</v>
      </c>
      <c r="I117" s="32">
        <f>H117*G7</f>
        <v>8934.0533333333333</v>
      </c>
      <c r="J117" s="32">
        <f>TRUNC(G117*H117,2)</f>
        <v>13933.33</v>
      </c>
      <c r="K117" s="33">
        <f t="shared" si="32"/>
        <v>17868.106666666667</v>
      </c>
    </row>
    <row r="118" spans="2:13" s="5" customFormat="1" ht="12">
      <c r="B118" s="75"/>
      <c r="C118" s="76"/>
      <c r="D118" s="76"/>
      <c r="E118" s="76"/>
      <c r="F118" s="76"/>
      <c r="G118" s="76"/>
      <c r="H118" s="76"/>
      <c r="I118" s="80"/>
      <c r="J118" s="77" t="s">
        <v>211</v>
      </c>
      <c r="K118" s="35">
        <f>SUM(K112+K102+K92+K81+K75+K69)</f>
        <v>1443449.1989943201</v>
      </c>
      <c r="L118" s="114"/>
      <c r="M118" s="114"/>
    </row>
    <row r="119" spans="2:13" s="5" customFormat="1" ht="12">
      <c r="B119" s="107"/>
      <c r="C119" s="96"/>
      <c r="D119" s="96"/>
      <c r="E119" s="96"/>
      <c r="F119" s="96"/>
      <c r="G119" s="96"/>
      <c r="H119" s="96"/>
      <c r="I119" s="108"/>
      <c r="J119" s="95"/>
      <c r="K119" s="94"/>
      <c r="L119" s="114"/>
      <c r="M119" s="114"/>
    </row>
    <row r="120" spans="2:13" ht="12" customHeight="1">
      <c r="B120" s="43" t="s">
        <v>9</v>
      </c>
      <c r="C120" s="40"/>
      <c r="D120" s="47"/>
      <c r="E120" s="52" t="s">
        <v>100</v>
      </c>
      <c r="F120" s="49"/>
      <c r="G120" s="28"/>
      <c r="H120" s="29"/>
      <c r="I120" s="29"/>
      <c r="J120" s="29"/>
      <c r="K120" s="30"/>
    </row>
    <row r="121" spans="2:13" ht="12" customHeight="1">
      <c r="B121" s="90"/>
      <c r="C121" s="91"/>
      <c r="D121" s="91"/>
      <c r="E121" s="91"/>
      <c r="F121" s="91"/>
      <c r="G121" s="91"/>
      <c r="H121" s="92"/>
      <c r="I121" s="252" t="s">
        <v>246</v>
      </c>
      <c r="J121" s="252"/>
      <c r="K121" s="36">
        <f>K122*15</f>
        <v>23862.919718400004</v>
      </c>
    </row>
    <row r="122" spans="2:13" ht="12.75" customHeight="1">
      <c r="B122" s="45" t="s">
        <v>101</v>
      </c>
      <c r="C122" s="87"/>
      <c r="D122" s="89"/>
      <c r="E122" s="87" t="s">
        <v>34</v>
      </c>
      <c r="F122" s="88"/>
      <c r="G122" s="88"/>
      <c r="H122" s="89"/>
      <c r="I122" s="252" t="s">
        <v>247</v>
      </c>
      <c r="J122" s="252"/>
      <c r="K122" s="36">
        <f>SUM(K123:K124)</f>
        <v>1590.8613145600002</v>
      </c>
    </row>
    <row r="123" spans="2:13" ht="33">
      <c r="B123" s="44" t="s">
        <v>102</v>
      </c>
      <c r="C123" s="41">
        <v>103304</v>
      </c>
      <c r="D123" s="48" t="s">
        <v>25</v>
      </c>
      <c r="E123" s="53" t="s">
        <v>151</v>
      </c>
      <c r="F123" s="50" t="s">
        <v>152</v>
      </c>
      <c r="G123" s="31">
        <v>1</v>
      </c>
      <c r="H123" s="32">
        <v>1226.93</v>
      </c>
      <c r="I123" s="32">
        <f>H123*G7</f>
        <v>1573.4150320000001</v>
      </c>
      <c r="J123" s="32">
        <f t="shared" ref="J123:J124" si="33">TRUNC(G123*H123,2)</f>
        <v>1226.93</v>
      </c>
      <c r="K123" s="33">
        <f t="shared" ref="K123:K124" si="34">G123*I123</f>
        <v>1573.4150320000001</v>
      </c>
    </row>
    <row r="124" spans="2:13" ht="24.75">
      <c r="B124" s="44" t="s">
        <v>103</v>
      </c>
      <c r="C124" s="41">
        <v>102513</v>
      </c>
      <c r="D124" s="48" t="s">
        <v>25</v>
      </c>
      <c r="E124" s="53" t="s">
        <v>153</v>
      </c>
      <c r="F124" s="50" t="s">
        <v>74</v>
      </c>
      <c r="G124" s="31">
        <v>0.36</v>
      </c>
      <c r="H124" s="32">
        <v>37.79</v>
      </c>
      <c r="I124" s="32">
        <f>H124*G7</f>
        <v>48.461895999999996</v>
      </c>
      <c r="J124" s="32">
        <f t="shared" si="33"/>
        <v>13.6</v>
      </c>
      <c r="K124" s="33">
        <f t="shared" si="34"/>
        <v>17.446282559999997</v>
      </c>
    </row>
    <row r="125" spans="2:13">
      <c r="B125" s="90"/>
      <c r="C125" s="91"/>
      <c r="D125" s="91"/>
      <c r="E125" s="91"/>
      <c r="F125" s="91"/>
      <c r="G125" s="91"/>
      <c r="H125" s="92"/>
      <c r="I125" s="252" t="s">
        <v>246</v>
      </c>
      <c r="J125" s="252"/>
      <c r="K125" s="36">
        <f>K126*15</f>
        <v>23862.919718400004</v>
      </c>
    </row>
    <row r="126" spans="2:13">
      <c r="B126" s="45" t="s">
        <v>104</v>
      </c>
      <c r="C126" s="87"/>
      <c r="D126" s="89"/>
      <c r="E126" s="87" t="s">
        <v>38</v>
      </c>
      <c r="F126" s="88"/>
      <c r="G126" s="88"/>
      <c r="H126" s="89"/>
      <c r="I126" s="252" t="s">
        <v>247</v>
      </c>
      <c r="J126" s="252"/>
      <c r="K126" s="36">
        <f>SUM(K127:K128)</f>
        <v>1590.8613145600002</v>
      </c>
    </row>
    <row r="127" spans="2:13" ht="33">
      <c r="B127" s="44" t="s">
        <v>105</v>
      </c>
      <c r="C127" s="41">
        <v>103304</v>
      </c>
      <c r="D127" s="48" t="s">
        <v>25</v>
      </c>
      <c r="E127" s="53" t="s">
        <v>151</v>
      </c>
      <c r="F127" s="50" t="s">
        <v>152</v>
      </c>
      <c r="G127" s="31">
        <v>1</v>
      </c>
      <c r="H127" s="32">
        <v>1226.93</v>
      </c>
      <c r="I127" s="32">
        <f>H127*G7</f>
        <v>1573.4150320000001</v>
      </c>
      <c r="J127" s="32">
        <f t="shared" ref="J127:J128" si="35">TRUNC(G127*H127,2)</f>
        <v>1226.93</v>
      </c>
      <c r="K127" s="33">
        <f t="shared" ref="K127:K128" si="36">G127*I127</f>
        <v>1573.4150320000001</v>
      </c>
    </row>
    <row r="128" spans="2:13" ht="24.75">
      <c r="B128" s="44" t="s">
        <v>106</v>
      </c>
      <c r="C128" s="41">
        <v>102513</v>
      </c>
      <c r="D128" s="48" t="s">
        <v>25</v>
      </c>
      <c r="E128" s="53" t="s">
        <v>153</v>
      </c>
      <c r="F128" s="50" t="s">
        <v>74</v>
      </c>
      <c r="G128" s="31">
        <v>0.36</v>
      </c>
      <c r="H128" s="32">
        <v>37.79</v>
      </c>
      <c r="I128" s="32">
        <f>H128*G7</f>
        <v>48.461895999999996</v>
      </c>
      <c r="J128" s="32">
        <f t="shared" si="35"/>
        <v>13.6</v>
      </c>
      <c r="K128" s="33">
        <f t="shared" si="36"/>
        <v>17.446282559999997</v>
      </c>
    </row>
    <row r="129" spans="2:11">
      <c r="B129" s="90"/>
      <c r="C129" s="91"/>
      <c r="D129" s="91"/>
      <c r="E129" s="91"/>
      <c r="F129" s="91"/>
      <c r="G129" s="91"/>
      <c r="H129" s="92"/>
      <c r="I129" s="252" t="s">
        <v>246</v>
      </c>
      <c r="J129" s="252"/>
      <c r="K129" s="36">
        <f>K130*14</f>
        <v>131465.85360383999</v>
      </c>
    </row>
    <row r="130" spans="2:11">
      <c r="B130" s="45" t="s">
        <v>107</v>
      </c>
      <c r="C130" s="87"/>
      <c r="D130" s="89"/>
      <c r="E130" s="87" t="s">
        <v>41</v>
      </c>
      <c r="F130" s="88"/>
      <c r="G130" s="88"/>
      <c r="H130" s="89"/>
      <c r="I130" s="252" t="s">
        <v>247</v>
      </c>
      <c r="J130" s="252"/>
      <c r="K130" s="36">
        <f>SUM(K131:K135)</f>
        <v>9390.4181145599996</v>
      </c>
    </row>
    <row r="131" spans="2:11" ht="42.75" customHeight="1">
      <c r="B131" s="44" t="s">
        <v>108</v>
      </c>
      <c r="C131" s="41">
        <v>103304</v>
      </c>
      <c r="D131" s="48" t="s">
        <v>25</v>
      </c>
      <c r="E131" s="53" t="s">
        <v>151</v>
      </c>
      <c r="F131" s="50" t="s">
        <v>152</v>
      </c>
      <c r="G131" s="31">
        <v>2</v>
      </c>
      <c r="H131" s="32">
        <v>1226.93</v>
      </c>
      <c r="I131" s="32">
        <f>H131*G7</f>
        <v>1573.4150320000001</v>
      </c>
      <c r="J131" s="32">
        <f t="shared" ref="J131:J135" si="37">TRUNC(G131*H131,2)</f>
        <v>2453.86</v>
      </c>
      <c r="K131" s="33">
        <f t="shared" ref="K131:K135" si="38">G131*I131</f>
        <v>3146.8300640000002</v>
      </c>
    </row>
    <row r="132" spans="2:11" ht="41.25">
      <c r="B132" s="44" t="s">
        <v>109</v>
      </c>
      <c r="C132" s="41">
        <v>103307</v>
      </c>
      <c r="D132" s="48" t="s">
        <v>25</v>
      </c>
      <c r="E132" s="53" t="s">
        <v>154</v>
      </c>
      <c r="F132" s="50" t="s">
        <v>152</v>
      </c>
      <c r="G132" s="31">
        <v>2</v>
      </c>
      <c r="H132" s="32">
        <v>1302.3800000000001</v>
      </c>
      <c r="I132" s="32">
        <f>H132*G7</f>
        <v>1670.1721120000002</v>
      </c>
      <c r="J132" s="32">
        <f t="shared" si="37"/>
        <v>2604.7600000000002</v>
      </c>
      <c r="K132" s="33">
        <f t="shared" si="38"/>
        <v>3340.3442240000004</v>
      </c>
    </row>
    <row r="133" spans="2:11" ht="16.5">
      <c r="B133" s="44" t="s">
        <v>110</v>
      </c>
      <c r="C133" s="41">
        <v>101094</v>
      </c>
      <c r="D133" s="48" t="s">
        <v>25</v>
      </c>
      <c r="E133" s="53" t="s">
        <v>155</v>
      </c>
      <c r="F133" s="50" t="s">
        <v>147</v>
      </c>
      <c r="G133" s="31">
        <v>6</v>
      </c>
      <c r="H133" s="32">
        <v>206.45</v>
      </c>
      <c r="I133" s="32">
        <f>H133*G7</f>
        <v>264.75147999999996</v>
      </c>
      <c r="J133" s="32">
        <f t="shared" si="37"/>
        <v>1238.7</v>
      </c>
      <c r="K133" s="33">
        <f t="shared" si="38"/>
        <v>1588.5088799999999</v>
      </c>
    </row>
    <row r="134" spans="2:11" ht="24.75">
      <c r="B134" s="44" t="s">
        <v>111</v>
      </c>
      <c r="C134" s="41">
        <v>102513</v>
      </c>
      <c r="D134" s="48" t="s">
        <v>25</v>
      </c>
      <c r="E134" s="53" t="s">
        <v>153</v>
      </c>
      <c r="F134" s="50" t="s">
        <v>74</v>
      </c>
      <c r="G134" s="31">
        <v>0.36</v>
      </c>
      <c r="H134" s="32">
        <v>37.79</v>
      </c>
      <c r="I134" s="32">
        <f>H134*G7</f>
        <v>48.461895999999996</v>
      </c>
      <c r="J134" s="32">
        <f t="shared" si="37"/>
        <v>13.6</v>
      </c>
      <c r="K134" s="33">
        <f t="shared" si="38"/>
        <v>17.446282559999997</v>
      </c>
    </row>
    <row r="135" spans="2:11" ht="16.5">
      <c r="B135" s="44" t="s">
        <v>112</v>
      </c>
      <c r="C135" s="41" t="s">
        <v>113</v>
      </c>
      <c r="D135" s="48" t="s">
        <v>28</v>
      </c>
      <c r="E135" s="53" t="s">
        <v>114</v>
      </c>
      <c r="F135" s="50" t="s">
        <v>30</v>
      </c>
      <c r="G135" s="31">
        <v>1</v>
      </c>
      <c r="H135" s="32">
        <v>1011.61</v>
      </c>
      <c r="I135" s="32">
        <f>H135*G7</f>
        <v>1297.2886639999999</v>
      </c>
      <c r="J135" s="32">
        <f t="shared" si="37"/>
        <v>1011.61</v>
      </c>
      <c r="K135" s="33">
        <f t="shared" si="38"/>
        <v>1297.2886639999999</v>
      </c>
    </row>
    <row r="136" spans="2:11">
      <c r="B136" s="90"/>
      <c r="C136" s="91"/>
      <c r="D136" s="91"/>
      <c r="E136" s="91"/>
      <c r="F136" s="91"/>
      <c r="G136" s="91"/>
      <c r="H136" s="92"/>
      <c r="I136" s="252" t="s">
        <v>246</v>
      </c>
      <c r="J136" s="252"/>
      <c r="K136" s="36">
        <f>K137*5</f>
        <v>138610.05578560001</v>
      </c>
    </row>
    <row r="137" spans="2:11">
      <c r="B137" s="45" t="s">
        <v>115</v>
      </c>
      <c r="C137" s="87"/>
      <c r="D137" s="89"/>
      <c r="E137" s="87" t="s">
        <v>45</v>
      </c>
      <c r="F137" s="88"/>
      <c r="G137" s="88"/>
      <c r="H137" s="89"/>
      <c r="I137" s="252" t="s">
        <v>247</v>
      </c>
      <c r="J137" s="252"/>
      <c r="K137" s="36">
        <f>SUM(K138:K142)</f>
        <v>27722.01115712</v>
      </c>
    </row>
    <row r="138" spans="2:11" ht="33">
      <c r="B138" s="44" t="s">
        <v>116</v>
      </c>
      <c r="C138" s="41">
        <v>103304</v>
      </c>
      <c r="D138" s="48" t="s">
        <v>25</v>
      </c>
      <c r="E138" s="53" t="s">
        <v>151</v>
      </c>
      <c r="F138" s="50" t="s">
        <v>152</v>
      </c>
      <c r="G138" s="31">
        <v>8</v>
      </c>
      <c r="H138" s="32">
        <v>1226.93</v>
      </c>
      <c r="I138" s="32">
        <f>H138*G7</f>
        <v>1573.4150320000001</v>
      </c>
      <c r="J138" s="32">
        <f t="shared" ref="J138:J142" si="39">TRUNC(G138*H138,2)</f>
        <v>9815.44</v>
      </c>
      <c r="K138" s="33">
        <f t="shared" ref="K138:K142" si="40">G138*I138</f>
        <v>12587.320256000001</v>
      </c>
    </row>
    <row r="139" spans="2:11" ht="45" customHeight="1">
      <c r="B139" s="44" t="s">
        <v>117</v>
      </c>
      <c r="C139" s="41">
        <v>103307</v>
      </c>
      <c r="D139" s="48" t="s">
        <v>25</v>
      </c>
      <c r="E139" s="53" t="s">
        <v>154</v>
      </c>
      <c r="F139" s="50" t="s">
        <v>152</v>
      </c>
      <c r="G139" s="31">
        <v>4</v>
      </c>
      <c r="H139" s="32">
        <v>1302.3800000000001</v>
      </c>
      <c r="I139" s="32">
        <f>H139*G7</f>
        <v>1670.1721120000002</v>
      </c>
      <c r="J139" s="32">
        <f t="shared" si="39"/>
        <v>5209.5200000000004</v>
      </c>
      <c r="K139" s="33">
        <f t="shared" si="40"/>
        <v>6680.6884480000008</v>
      </c>
    </row>
    <row r="140" spans="2:11" ht="16.5">
      <c r="B140" s="44" t="s">
        <v>118</v>
      </c>
      <c r="C140" s="41">
        <v>101094</v>
      </c>
      <c r="D140" s="48" t="s">
        <v>25</v>
      </c>
      <c r="E140" s="53" t="s">
        <v>155</v>
      </c>
      <c r="F140" s="50" t="s">
        <v>147</v>
      </c>
      <c r="G140" s="31">
        <v>22</v>
      </c>
      <c r="H140" s="32">
        <v>206.45</v>
      </c>
      <c r="I140" s="32">
        <f>H140*G7</f>
        <v>264.75147999999996</v>
      </c>
      <c r="J140" s="32">
        <f t="shared" si="39"/>
        <v>4541.8999999999996</v>
      </c>
      <c r="K140" s="33">
        <f t="shared" si="40"/>
        <v>5824.5325599999987</v>
      </c>
    </row>
    <row r="141" spans="2:11" ht="24.75">
      <c r="B141" s="44" t="s">
        <v>119</v>
      </c>
      <c r="C141" s="41">
        <v>102513</v>
      </c>
      <c r="D141" s="48" t="s">
        <v>25</v>
      </c>
      <c r="E141" s="53" t="s">
        <v>153</v>
      </c>
      <c r="F141" s="50" t="s">
        <v>74</v>
      </c>
      <c r="G141" s="31">
        <v>0.72</v>
      </c>
      <c r="H141" s="32">
        <v>37.79</v>
      </c>
      <c r="I141" s="32">
        <f>H141*G7</f>
        <v>48.461895999999996</v>
      </c>
      <c r="J141" s="32">
        <f t="shared" si="39"/>
        <v>27.2</v>
      </c>
      <c r="K141" s="33">
        <f t="shared" si="40"/>
        <v>34.892565119999993</v>
      </c>
    </row>
    <row r="142" spans="2:11" ht="16.5">
      <c r="B142" s="44" t="s">
        <v>120</v>
      </c>
      <c r="C142" s="41" t="s">
        <v>113</v>
      </c>
      <c r="D142" s="48" t="s">
        <v>28</v>
      </c>
      <c r="E142" s="53" t="s">
        <v>114</v>
      </c>
      <c r="F142" s="50" t="s">
        <v>30</v>
      </c>
      <c r="G142" s="31">
        <v>2</v>
      </c>
      <c r="H142" s="32">
        <v>1011.61</v>
      </c>
      <c r="I142" s="32">
        <f>H142*G7</f>
        <v>1297.2886639999999</v>
      </c>
      <c r="J142" s="32">
        <f t="shared" si="39"/>
        <v>2023.22</v>
      </c>
      <c r="K142" s="33">
        <f t="shared" si="40"/>
        <v>2594.5773279999999</v>
      </c>
    </row>
    <row r="143" spans="2:11">
      <c r="B143" s="90"/>
      <c r="C143" s="91"/>
      <c r="D143" s="91"/>
      <c r="E143" s="91"/>
      <c r="F143" s="91"/>
      <c r="G143" s="91"/>
      <c r="H143" s="92"/>
      <c r="I143" s="252" t="s">
        <v>246</v>
      </c>
      <c r="J143" s="252"/>
      <c r="K143" s="36">
        <f>K144*1</f>
        <v>52849.44498624</v>
      </c>
    </row>
    <row r="144" spans="2:11">
      <c r="B144" s="45" t="s">
        <v>121</v>
      </c>
      <c r="C144" s="87"/>
      <c r="D144" s="89"/>
      <c r="E144" s="87" t="s">
        <v>49</v>
      </c>
      <c r="F144" s="88"/>
      <c r="G144" s="88"/>
      <c r="H144" s="89"/>
      <c r="I144" s="252" t="s">
        <v>247</v>
      </c>
      <c r="J144" s="252"/>
      <c r="K144" s="36">
        <f>SUM(K145:K149)</f>
        <v>52849.44498624</v>
      </c>
    </row>
    <row r="145" spans="2:13" ht="33">
      <c r="B145" s="44" t="s">
        <v>122</v>
      </c>
      <c r="C145" s="41">
        <v>103304</v>
      </c>
      <c r="D145" s="48" t="s">
        <v>25</v>
      </c>
      <c r="E145" s="53" t="s">
        <v>151</v>
      </c>
      <c r="F145" s="50" t="s">
        <v>152</v>
      </c>
      <c r="G145" s="31">
        <v>16</v>
      </c>
      <c r="H145" s="32">
        <v>1226.93</v>
      </c>
      <c r="I145" s="32">
        <f>H145*G7</f>
        <v>1573.4150320000001</v>
      </c>
      <c r="J145" s="32">
        <f t="shared" ref="J145:J149" si="41">TRUNC(G145*H145,2)</f>
        <v>19630.88</v>
      </c>
      <c r="K145" s="33">
        <f t="shared" ref="K145:K149" si="42">G145*I145</f>
        <v>25174.640512000002</v>
      </c>
    </row>
    <row r="146" spans="2:13" ht="41.25">
      <c r="B146" s="44" t="s">
        <v>123</v>
      </c>
      <c r="C146" s="41">
        <v>103307</v>
      </c>
      <c r="D146" s="48" t="s">
        <v>25</v>
      </c>
      <c r="E146" s="53" t="s">
        <v>154</v>
      </c>
      <c r="F146" s="50" t="s">
        <v>152</v>
      </c>
      <c r="G146" s="31">
        <v>8</v>
      </c>
      <c r="H146" s="32">
        <v>1302.3800000000001</v>
      </c>
      <c r="I146" s="32">
        <f>H146*G7</f>
        <v>1670.1721120000002</v>
      </c>
      <c r="J146" s="32">
        <f t="shared" si="41"/>
        <v>10419.040000000001</v>
      </c>
      <c r="K146" s="33">
        <f t="shared" si="42"/>
        <v>13361.376896000002</v>
      </c>
    </row>
    <row r="147" spans="2:13" ht="16.5">
      <c r="B147" s="44" t="s">
        <v>124</v>
      </c>
      <c r="C147" s="41">
        <v>101094</v>
      </c>
      <c r="D147" s="48" t="s">
        <v>25</v>
      </c>
      <c r="E147" s="53" t="s">
        <v>155</v>
      </c>
      <c r="F147" s="50" t="s">
        <v>147</v>
      </c>
      <c r="G147" s="31">
        <v>44</v>
      </c>
      <c r="H147" s="32">
        <v>206.45</v>
      </c>
      <c r="I147" s="32">
        <f>H147*G7</f>
        <v>264.75147999999996</v>
      </c>
      <c r="J147" s="32">
        <f t="shared" si="41"/>
        <v>9083.7999999999993</v>
      </c>
      <c r="K147" s="33">
        <f t="shared" si="42"/>
        <v>11649.065119999997</v>
      </c>
    </row>
    <row r="148" spans="2:13" ht="24.75">
      <c r="B148" s="44" t="s">
        <v>125</v>
      </c>
      <c r="C148" s="41">
        <v>102513</v>
      </c>
      <c r="D148" s="48" t="s">
        <v>25</v>
      </c>
      <c r="E148" s="53" t="s">
        <v>153</v>
      </c>
      <c r="F148" s="50" t="s">
        <v>74</v>
      </c>
      <c r="G148" s="31">
        <v>1.44</v>
      </c>
      <c r="H148" s="32">
        <v>37.79</v>
      </c>
      <c r="I148" s="32">
        <f>H148*G7</f>
        <v>48.461895999999996</v>
      </c>
      <c r="J148" s="32">
        <f t="shared" si="41"/>
        <v>54.41</v>
      </c>
      <c r="K148" s="33">
        <f t="shared" si="42"/>
        <v>69.785130239999987</v>
      </c>
    </row>
    <row r="149" spans="2:13" ht="16.5">
      <c r="B149" s="44" t="s">
        <v>126</v>
      </c>
      <c r="C149" s="41" t="s">
        <v>113</v>
      </c>
      <c r="D149" s="48" t="s">
        <v>28</v>
      </c>
      <c r="E149" s="53" t="s">
        <v>114</v>
      </c>
      <c r="F149" s="50" t="s">
        <v>30</v>
      </c>
      <c r="G149" s="31">
        <v>2</v>
      </c>
      <c r="H149" s="32">
        <v>1011.61</v>
      </c>
      <c r="I149" s="32">
        <f>H149*G7</f>
        <v>1297.2886639999999</v>
      </c>
      <c r="J149" s="32">
        <f t="shared" si="41"/>
        <v>2023.22</v>
      </c>
      <c r="K149" s="33">
        <f t="shared" si="42"/>
        <v>2594.5773279999999</v>
      </c>
    </row>
    <row r="150" spans="2:13" ht="12.75" customHeight="1">
      <c r="B150" s="90"/>
      <c r="C150" s="91"/>
      <c r="D150" s="91"/>
      <c r="E150" s="91"/>
      <c r="F150" s="91"/>
      <c r="G150" s="91"/>
      <c r="H150" s="92"/>
      <c r="I150" s="252" t="s">
        <v>246</v>
      </c>
      <c r="J150" s="252"/>
      <c r="K150" s="36">
        <f>K151*6</f>
        <v>153732.26534399998</v>
      </c>
    </row>
    <row r="151" spans="2:13" ht="14.25" customHeight="1">
      <c r="B151" s="45" t="s">
        <v>127</v>
      </c>
      <c r="C151" s="87"/>
      <c r="D151" s="89"/>
      <c r="E151" s="87" t="s">
        <v>53</v>
      </c>
      <c r="F151" s="88"/>
      <c r="G151" s="88"/>
      <c r="H151" s="89"/>
      <c r="I151" s="252" t="s">
        <v>247</v>
      </c>
      <c r="J151" s="252"/>
      <c r="K151" s="36">
        <f>SUM(K152:K154)</f>
        <v>25622.044223999997</v>
      </c>
    </row>
    <row r="152" spans="2:13" ht="33">
      <c r="B152" s="44" t="s">
        <v>128</v>
      </c>
      <c r="C152" s="41">
        <v>103304</v>
      </c>
      <c r="D152" s="48" t="s">
        <v>25</v>
      </c>
      <c r="E152" s="53" t="s">
        <v>151</v>
      </c>
      <c r="F152" s="50" t="s">
        <v>152</v>
      </c>
      <c r="G152" s="31">
        <v>8</v>
      </c>
      <c r="H152" s="32">
        <v>1226.93</v>
      </c>
      <c r="I152" s="32">
        <f>H152*G7</f>
        <v>1573.4150320000001</v>
      </c>
      <c r="J152" s="32">
        <f t="shared" ref="J152:J154" si="43">TRUNC(G152*H152,2)</f>
        <v>9815.44</v>
      </c>
      <c r="K152" s="33">
        <f t="shared" ref="K152:K154" si="44">G152*I152</f>
        <v>12587.320256000001</v>
      </c>
    </row>
    <row r="153" spans="2:13" ht="41.25">
      <c r="B153" s="44" t="s">
        <v>129</v>
      </c>
      <c r="C153" s="41">
        <v>103307</v>
      </c>
      <c r="D153" s="48" t="s">
        <v>25</v>
      </c>
      <c r="E153" s="53" t="s">
        <v>154</v>
      </c>
      <c r="F153" s="50" t="s">
        <v>152</v>
      </c>
      <c r="G153" s="31">
        <v>4</v>
      </c>
      <c r="H153" s="32">
        <v>1302.3800000000001</v>
      </c>
      <c r="I153" s="32">
        <f>H153*G7</f>
        <v>1670.1721120000002</v>
      </c>
      <c r="J153" s="32">
        <f t="shared" si="43"/>
        <v>5209.5200000000004</v>
      </c>
      <c r="K153" s="33">
        <f t="shared" si="44"/>
        <v>6680.6884480000008</v>
      </c>
    </row>
    <row r="154" spans="2:13" ht="23.25" customHeight="1">
      <c r="B154" s="44" t="s">
        <v>130</v>
      </c>
      <c r="C154" s="41">
        <v>101094</v>
      </c>
      <c r="D154" s="48" t="s">
        <v>25</v>
      </c>
      <c r="E154" s="53" t="s">
        <v>155</v>
      </c>
      <c r="F154" s="50" t="s">
        <v>147</v>
      </c>
      <c r="G154" s="31">
        <v>24</v>
      </c>
      <c r="H154" s="32">
        <v>206.45</v>
      </c>
      <c r="I154" s="32">
        <f>H154*G7</f>
        <v>264.75147999999996</v>
      </c>
      <c r="J154" s="32">
        <f t="shared" si="43"/>
        <v>4954.8</v>
      </c>
      <c r="K154" s="33">
        <f t="shared" si="44"/>
        <v>6354.0355199999995</v>
      </c>
    </row>
    <row r="155" spans="2:13" s="5" customFormat="1" ht="12">
      <c r="B155" s="256"/>
      <c r="C155" s="257"/>
      <c r="D155" s="257"/>
      <c r="E155" s="257"/>
      <c r="F155" s="257"/>
      <c r="G155" s="257"/>
      <c r="H155" s="257"/>
      <c r="I155" s="258"/>
      <c r="J155" s="34"/>
      <c r="K155" s="35">
        <f>SUM(K150+K143+K136+K129+K125+K121)</f>
        <v>524383.45915648004</v>
      </c>
      <c r="L155" s="114"/>
      <c r="M155" s="114"/>
    </row>
    <row r="156" spans="2:13" s="5" customFormat="1" ht="10.5" customHeight="1">
      <c r="B156" s="107"/>
      <c r="C156" s="96"/>
      <c r="D156" s="96"/>
      <c r="E156" s="96"/>
      <c r="F156" s="96"/>
      <c r="G156" s="96"/>
      <c r="H156" s="96"/>
      <c r="I156" s="96"/>
      <c r="J156" s="96"/>
      <c r="K156" s="97"/>
      <c r="L156" s="114"/>
      <c r="M156" s="114"/>
    </row>
    <row r="157" spans="2:13" s="8" customFormat="1" ht="12.75" customHeight="1">
      <c r="B157" s="43" t="s">
        <v>10</v>
      </c>
      <c r="C157" s="40"/>
      <c r="D157" s="47"/>
      <c r="E157" s="52" t="s">
        <v>131</v>
      </c>
      <c r="F157" s="49"/>
      <c r="G157" s="28"/>
      <c r="H157" s="29"/>
      <c r="I157" s="29"/>
      <c r="J157" s="29"/>
      <c r="K157" s="30"/>
      <c r="L157" s="116"/>
      <c r="M157" s="116"/>
    </row>
    <row r="158" spans="2:13" ht="18.75" customHeight="1">
      <c r="B158" s="44" t="s">
        <v>132</v>
      </c>
      <c r="C158" s="41">
        <v>99814</v>
      </c>
      <c r="D158" s="48" t="s">
        <v>25</v>
      </c>
      <c r="E158" s="53" t="s">
        <v>156</v>
      </c>
      <c r="F158" s="50" t="s">
        <v>74</v>
      </c>
      <c r="G158" s="31">
        <f>(6*15)+(8.8*15)+(18*14)+(72*5)+(144*1)+(72*6)</f>
        <v>1410</v>
      </c>
      <c r="H158" s="32">
        <v>1.48</v>
      </c>
      <c r="I158" s="32">
        <f>H158*G7</f>
        <v>1.8979519999999999</v>
      </c>
      <c r="J158" s="32">
        <f t="shared" ref="J158" si="45">TRUNC(G158*H158,2)</f>
        <v>2086.8000000000002</v>
      </c>
      <c r="K158" s="33">
        <f t="shared" ref="K158:K159" si="46">G158*I158</f>
        <v>2676.1123199999997</v>
      </c>
    </row>
    <row r="159" spans="2:13" ht="28.5" customHeight="1">
      <c r="B159" s="50" t="s">
        <v>262</v>
      </c>
      <c r="C159" s="41">
        <v>97637</v>
      </c>
      <c r="D159" s="48" t="s">
        <v>25</v>
      </c>
      <c r="E159" s="53" t="s">
        <v>263</v>
      </c>
      <c r="F159" s="50" t="s">
        <v>74</v>
      </c>
      <c r="G159" s="31">
        <f>(7*15)+(9.8*15)+(19*14)+(73*5)+(145*1)+(73*6)</f>
        <v>1466</v>
      </c>
      <c r="H159" s="32">
        <v>1.86</v>
      </c>
      <c r="I159" s="32">
        <f>H159*G7</f>
        <v>2.3852640000000003</v>
      </c>
      <c r="J159" s="32">
        <f t="shared" ref="J159" si="47">TRUNC(G159*H159,2)</f>
        <v>2726.76</v>
      </c>
      <c r="K159" s="32">
        <f t="shared" si="46"/>
        <v>3496.7970240000004</v>
      </c>
    </row>
    <row r="160" spans="2:13" s="5" customFormat="1" ht="13.5" customHeight="1">
      <c r="B160" s="75"/>
      <c r="C160" s="76"/>
      <c r="D160" s="76"/>
      <c r="E160" s="76"/>
      <c r="F160" s="76"/>
      <c r="G160" s="76"/>
      <c r="H160" s="76"/>
      <c r="I160" s="267" t="s">
        <v>31</v>
      </c>
      <c r="J160" s="268"/>
      <c r="K160" s="35">
        <f>SUM(K158:K159)</f>
        <v>6172.9093439999997</v>
      </c>
      <c r="L160" s="114"/>
      <c r="M160" s="114"/>
    </row>
    <row r="161" spans="2:11" ht="17.25" customHeight="1" thickBot="1">
      <c r="B161" s="264" t="s">
        <v>133</v>
      </c>
      <c r="C161" s="265"/>
      <c r="D161" s="265"/>
      <c r="E161" s="265"/>
      <c r="F161" s="265"/>
      <c r="G161" s="265"/>
      <c r="H161" s="265"/>
      <c r="I161" s="266"/>
      <c r="J161" s="253">
        <f>(K15+K18+K26+K34+K42+K50+K58+K69+K75+K81+K92+K102+K112+K121+K125+K129+K136+K143+K150+K160)-0.12</f>
        <v>4364593.8489279198</v>
      </c>
      <c r="K161" s="254"/>
    </row>
    <row r="162" spans="2:11" ht="18.75" hidden="1" customHeight="1" thickBot="1">
      <c r="B162" s="261"/>
      <c r="C162" s="262"/>
      <c r="D162" s="262"/>
      <c r="E162" s="262"/>
      <c r="F162" s="262"/>
      <c r="G162" s="262"/>
      <c r="H162" s="262"/>
      <c r="I162" s="263"/>
      <c r="J162" s="259"/>
      <c r="K162" s="260"/>
    </row>
    <row r="163" spans="2:11" ht="6" customHeight="1">
      <c r="G163" s="37"/>
      <c r="H163" s="38"/>
      <c r="I163" s="38"/>
      <c r="J163" s="255"/>
      <c r="K163" s="255"/>
    </row>
    <row r="164" spans="2:11" ht="9.75" customHeight="1">
      <c r="B164" s="229" t="s">
        <v>135</v>
      </c>
      <c r="C164" s="229"/>
      <c r="D164" s="229"/>
      <c r="E164" s="229"/>
    </row>
    <row r="165" spans="2:11" ht="10.5" customHeight="1">
      <c r="B165" s="229" t="s">
        <v>136</v>
      </c>
      <c r="C165" s="229"/>
      <c r="D165" s="229"/>
      <c r="E165" s="229"/>
    </row>
  </sheetData>
  <mergeCells count="62">
    <mergeCell ref="M9:N9"/>
    <mergeCell ref="I136:J136"/>
    <mergeCell ref="I122:J122"/>
    <mergeCell ref="I125:J125"/>
    <mergeCell ref="I126:J126"/>
    <mergeCell ref="I103:J103"/>
    <mergeCell ref="I112:J112"/>
    <mergeCell ref="I113:J113"/>
    <mergeCell ref="I121:J121"/>
    <mergeCell ref="I66:J66"/>
    <mergeCell ref="I70:J70"/>
    <mergeCell ref="I59:J59"/>
    <mergeCell ref="I69:J69"/>
    <mergeCell ref="E17:K17"/>
    <mergeCell ref="I43:J43"/>
    <mergeCell ref="B50:E50"/>
    <mergeCell ref="B58:E58"/>
    <mergeCell ref="I58:J58"/>
    <mergeCell ref="I151:J151"/>
    <mergeCell ref="I143:J143"/>
    <mergeCell ref="I81:J81"/>
    <mergeCell ref="I82:J82"/>
    <mergeCell ref="I92:J92"/>
    <mergeCell ref="I93:J93"/>
    <mergeCell ref="I102:J102"/>
    <mergeCell ref="I144:J144"/>
    <mergeCell ref="I129:J129"/>
    <mergeCell ref="I130:J130"/>
    <mergeCell ref="I137:J137"/>
    <mergeCell ref="I75:J75"/>
    <mergeCell ref="B7:F7"/>
    <mergeCell ref="B8:K8"/>
    <mergeCell ref="I15:J15"/>
    <mergeCell ref="B42:E42"/>
    <mergeCell ref="I42:J42"/>
    <mergeCell ref="B34:E34"/>
    <mergeCell ref="B18:E18"/>
    <mergeCell ref="I34:J34"/>
    <mergeCell ref="I35:J35"/>
    <mergeCell ref="B26:E26"/>
    <mergeCell ref="B2:K2"/>
    <mergeCell ref="B3:K3"/>
    <mergeCell ref="B4:K4"/>
    <mergeCell ref="B5:K5"/>
    <mergeCell ref="B6:K6"/>
    <mergeCell ref="B165:E165"/>
    <mergeCell ref="B164:E164"/>
    <mergeCell ref="J161:K161"/>
    <mergeCell ref="J163:K163"/>
    <mergeCell ref="B155:I155"/>
    <mergeCell ref="J162:K162"/>
    <mergeCell ref="B162:I162"/>
    <mergeCell ref="B161:I161"/>
    <mergeCell ref="I160:J160"/>
    <mergeCell ref="I76:J76"/>
    <mergeCell ref="I150:J150"/>
    <mergeCell ref="I19:J19"/>
    <mergeCell ref="I18:J18"/>
    <mergeCell ref="I26:J26"/>
    <mergeCell ref="I27:J27"/>
    <mergeCell ref="I50:J50"/>
    <mergeCell ref="I51:J51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view="pageBreakPreview" topLeftCell="A19" zoomScale="110" zoomScaleNormal="100" zoomScaleSheetLayoutView="110" workbookViewId="0">
      <selection activeCell="K48" sqref="K48"/>
    </sheetView>
  </sheetViews>
  <sheetFormatPr defaultRowHeight="15"/>
  <cols>
    <col min="1" max="1" width="3.85546875" style="42" customWidth="1"/>
    <col min="2" max="2" width="5.7109375" style="39" customWidth="1"/>
    <col min="3" max="3" width="4.85546875" style="46" customWidth="1"/>
    <col min="4" max="4" width="26.85546875" style="51" customWidth="1"/>
    <col min="5" max="5" width="3.85546875" style="42" customWidth="1"/>
    <col min="6" max="6" width="6.42578125" style="26" customWidth="1"/>
    <col min="7" max="7" width="10.42578125" style="27" customWidth="1"/>
    <col min="8" max="8" width="11" style="27" customWidth="1"/>
    <col min="9" max="9" width="11.42578125" style="27" customWidth="1"/>
    <col min="10" max="10" width="15.140625" style="27" customWidth="1"/>
    <col min="11" max="11" width="27" customWidth="1"/>
    <col min="12" max="12" width="9.140625" customWidth="1"/>
  </cols>
  <sheetData>
    <row r="1" spans="1:10" ht="12" customHeight="1" thickBot="1"/>
    <row r="2" spans="1:10" ht="59.25" customHeight="1">
      <c r="A2" s="269"/>
      <c r="B2" s="270"/>
      <c r="C2" s="270"/>
      <c r="D2" s="270"/>
      <c r="E2" s="270"/>
      <c r="F2" s="270"/>
      <c r="G2" s="270"/>
      <c r="H2" s="270"/>
      <c r="I2" s="270"/>
      <c r="J2" s="271"/>
    </row>
    <row r="3" spans="1:10">
      <c r="A3" s="272" t="s">
        <v>250</v>
      </c>
      <c r="B3" s="273"/>
      <c r="C3" s="273"/>
      <c r="D3" s="273"/>
      <c r="E3" s="273"/>
      <c r="F3" s="273"/>
      <c r="G3" s="273"/>
      <c r="H3" s="273"/>
      <c r="I3" s="273"/>
      <c r="J3" s="274"/>
    </row>
    <row r="4" spans="1:10">
      <c r="A4" s="272" t="s">
        <v>202</v>
      </c>
      <c r="B4" s="273"/>
      <c r="C4" s="273"/>
      <c r="D4" s="273"/>
      <c r="E4" s="273"/>
      <c r="F4" s="273"/>
      <c r="G4" s="273"/>
      <c r="H4" s="273"/>
      <c r="I4" s="273"/>
      <c r="J4" s="274"/>
    </row>
    <row r="5" spans="1:10">
      <c r="A5" s="272" t="s">
        <v>248</v>
      </c>
      <c r="B5" s="273"/>
      <c r="C5" s="273"/>
      <c r="D5" s="273"/>
      <c r="E5" s="273"/>
      <c r="F5" s="273"/>
      <c r="G5" s="273"/>
      <c r="H5" s="273"/>
      <c r="I5" s="273"/>
      <c r="J5" s="274"/>
    </row>
    <row r="6" spans="1:10">
      <c r="A6" s="272" t="s">
        <v>203</v>
      </c>
      <c r="B6" s="273"/>
      <c r="C6" s="273"/>
      <c r="D6" s="273"/>
      <c r="E6" s="273"/>
      <c r="F6" s="273"/>
      <c r="G6" s="273"/>
      <c r="H6" s="273"/>
      <c r="I6" s="273"/>
      <c r="J6" s="274"/>
    </row>
    <row r="7" spans="1:10" ht="15.75" thickBot="1">
      <c r="A7" s="286" t="s">
        <v>306</v>
      </c>
      <c r="B7" s="287"/>
      <c r="C7" s="287"/>
      <c r="D7" s="287"/>
      <c r="E7" s="287"/>
      <c r="F7" s="287"/>
      <c r="G7" s="287"/>
      <c r="H7" s="287"/>
      <c r="I7" s="287"/>
      <c r="J7" s="288"/>
    </row>
    <row r="8" spans="1:10" ht="17.25" customHeight="1" thickBot="1">
      <c r="A8" s="277" t="s">
        <v>255</v>
      </c>
      <c r="B8" s="278"/>
      <c r="C8" s="278"/>
      <c r="D8" s="278"/>
      <c r="E8" s="278"/>
      <c r="F8" s="278"/>
      <c r="G8" s="278"/>
      <c r="H8" s="278"/>
      <c r="I8" s="278"/>
      <c r="J8" s="279"/>
    </row>
    <row r="9" spans="1:10" ht="19.5" customHeight="1">
      <c r="A9" s="81" t="s">
        <v>1</v>
      </c>
      <c r="B9" s="82" t="s">
        <v>13</v>
      </c>
      <c r="C9" s="82" t="s">
        <v>14</v>
      </c>
      <c r="D9" s="83" t="s">
        <v>15</v>
      </c>
      <c r="E9" s="82" t="s">
        <v>245</v>
      </c>
      <c r="F9" s="84" t="s">
        <v>17</v>
      </c>
      <c r="G9" s="85" t="s">
        <v>18</v>
      </c>
      <c r="H9" s="85" t="s">
        <v>19</v>
      </c>
      <c r="I9" s="85" t="s">
        <v>20</v>
      </c>
      <c r="J9" s="86" t="s">
        <v>21</v>
      </c>
    </row>
    <row r="10" spans="1:10" ht="14.25" customHeight="1">
      <c r="A10" s="43" t="s">
        <v>22</v>
      </c>
      <c r="B10" s="40"/>
      <c r="C10" s="47"/>
      <c r="D10" s="52" t="s">
        <v>23</v>
      </c>
      <c r="E10" s="49"/>
      <c r="F10" s="28"/>
      <c r="G10" s="29"/>
      <c r="H10" s="29"/>
      <c r="I10" s="29"/>
      <c r="J10" s="30"/>
    </row>
    <row r="11" spans="1:10" ht="14.25" customHeight="1">
      <c r="A11" s="280"/>
      <c r="B11" s="281"/>
      <c r="C11" s="281"/>
      <c r="D11" s="281"/>
      <c r="E11" s="88"/>
      <c r="F11" s="88"/>
      <c r="G11" s="88"/>
      <c r="H11" s="252" t="s">
        <v>246</v>
      </c>
      <c r="I11" s="252"/>
      <c r="J11" s="36">
        <f>J12*15</f>
        <v>58666.942079999993</v>
      </c>
    </row>
    <row r="12" spans="1:10" ht="14.25" customHeight="1">
      <c r="A12" s="109"/>
      <c r="B12" s="91"/>
      <c r="C12" s="92"/>
      <c r="D12" s="87"/>
      <c r="E12" s="88"/>
      <c r="F12" s="88"/>
      <c r="G12" s="88"/>
      <c r="H12" s="252" t="s">
        <v>247</v>
      </c>
      <c r="I12" s="252"/>
      <c r="J12" s="36">
        <f>SUM(J13:J16)</f>
        <v>3911.1294719999996</v>
      </c>
    </row>
    <row r="13" spans="1:10" ht="19.5" customHeight="1">
      <c r="A13" s="44" t="s">
        <v>24</v>
      </c>
      <c r="B13" s="41">
        <v>90777</v>
      </c>
      <c r="C13" s="48" t="s">
        <v>25</v>
      </c>
      <c r="D13" s="53" t="s">
        <v>137</v>
      </c>
      <c r="E13" s="50" t="s">
        <v>138</v>
      </c>
      <c r="F13" s="31">
        <f>543/56</f>
        <v>9.6964285714285712</v>
      </c>
      <c r="G13" s="32">
        <v>89.11</v>
      </c>
      <c r="H13" s="32">
        <v>114.274664</v>
      </c>
      <c r="I13" s="32">
        <f t="shared" ref="I13:I14" si="0">TRUNC(F13*G13,2)</f>
        <v>864.04</v>
      </c>
      <c r="J13" s="33">
        <f>F13*H13</f>
        <v>1108.0561170000001</v>
      </c>
    </row>
    <row r="14" spans="1:10" ht="18" customHeight="1">
      <c r="A14" s="44" t="s">
        <v>26</v>
      </c>
      <c r="B14" s="41">
        <v>90776</v>
      </c>
      <c r="C14" s="48" t="s">
        <v>25</v>
      </c>
      <c r="D14" s="53" t="s">
        <v>139</v>
      </c>
      <c r="E14" s="50" t="s">
        <v>138</v>
      </c>
      <c r="F14" s="31">
        <f>905/56</f>
        <v>16.160714285714285</v>
      </c>
      <c r="G14" s="32">
        <v>22.23</v>
      </c>
      <c r="H14" s="32">
        <v>28.507752</v>
      </c>
      <c r="I14" s="32">
        <f t="shared" si="0"/>
        <v>359.25</v>
      </c>
      <c r="J14" s="33">
        <f t="shared" ref="J14:J16" si="1">F14*H14</f>
        <v>460.70563499999997</v>
      </c>
    </row>
    <row r="15" spans="1:10" ht="16.5">
      <c r="A15" s="44" t="s">
        <v>229</v>
      </c>
      <c r="B15" s="41" t="s">
        <v>27</v>
      </c>
      <c r="C15" s="48" t="s">
        <v>28</v>
      </c>
      <c r="D15" s="53" t="s">
        <v>29</v>
      </c>
      <c r="E15" s="50" t="s">
        <v>30</v>
      </c>
      <c r="F15" s="31">
        <v>1</v>
      </c>
      <c r="G15" s="32">
        <v>1115.28</v>
      </c>
      <c r="H15" s="32">
        <v>1430.2350719999999</v>
      </c>
      <c r="I15" s="32">
        <f>TRUNC(F15*G15,2)</f>
        <v>1115.28</v>
      </c>
      <c r="J15" s="33">
        <f t="shared" si="1"/>
        <v>1430.2350719999999</v>
      </c>
    </row>
    <row r="16" spans="1:10" ht="16.5">
      <c r="A16" s="44" t="s">
        <v>312</v>
      </c>
      <c r="B16" s="117">
        <v>98459</v>
      </c>
      <c r="C16" s="118" t="s">
        <v>25</v>
      </c>
      <c r="D16" s="119" t="s">
        <v>261</v>
      </c>
      <c r="E16" s="122" t="s">
        <v>74</v>
      </c>
      <c r="F16" s="31">
        <f>7</f>
        <v>7</v>
      </c>
      <c r="G16" s="120">
        <v>101.61</v>
      </c>
      <c r="H16" s="121">
        <v>130.304664</v>
      </c>
      <c r="I16" s="32">
        <f>G16*F16</f>
        <v>711.27</v>
      </c>
      <c r="J16" s="33">
        <f t="shared" si="1"/>
        <v>912.13264800000002</v>
      </c>
    </row>
    <row r="17" spans="1:11" s="5" customFormat="1" ht="9" customHeight="1">
      <c r="A17" s="93"/>
      <c r="B17" s="96"/>
      <c r="C17" s="96"/>
      <c r="D17" s="96"/>
      <c r="E17" s="96"/>
      <c r="F17" s="96"/>
      <c r="G17" s="96"/>
      <c r="H17" s="96"/>
      <c r="I17" s="96"/>
      <c r="J17" s="97"/>
    </row>
    <row r="18" spans="1:11" ht="15.75" customHeight="1">
      <c r="A18" s="43" t="s">
        <v>7</v>
      </c>
      <c r="B18" s="98"/>
      <c r="C18" s="99"/>
      <c r="D18" s="283" t="s">
        <v>32</v>
      </c>
      <c r="E18" s="284"/>
      <c r="F18" s="284"/>
      <c r="G18" s="284"/>
      <c r="H18" s="284"/>
      <c r="I18" s="284"/>
      <c r="J18" s="285"/>
    </row>
    <row r="19" spans="1:11" ht="12.75" customHeight="1">
      <c r="A19" s="280"/>
      <c r="B19" s="281"/>
      <c r="C19" s="281"/>
      <c r="D19" s="281"/>
      <c r="E19" s="88"/>
      <c r="F19" s="88"/>
      <c r="G19" s="88"/>
      <c r="H19" s="252" t="s">
        <v>246</v>
      </c>
      <c r="I19" s="252"/>
      <c r="J19" s="36">
        <f>J20*15</f>
        <v>214744.30995359999</v>
      </c>
    </row>
    <row r="20" spans="1:11" ht="12" customHeight="1">
      <c r="A20" s="45" t="s">
        <v>33</v>
      </c>
      <c r="B20" s="91"/>
      <c r="C20" s="92"/>
      <c r="D20" s="87" t="s">
        <v>34</v>
      </c>
      <c r="E20" s="88"/>
      <c r="F20" s="88"/>
      <c r="G20" s="88"/>
      <c r="H20" s="252" t="s">
        <v>247</v>
      </c>
      <c r="I20" s="252"/>
      <c r="J20" s="36">
        <f>SUM(J21:J26)</f>
        <v>14316.28733024</v>
      </c>
    </row>
    <row r="21" spans="1:11" ht="35.25" customHeight="1">
      <c r="A21" s="44" t="s">
        <v>35</v>
      </c>
      <c r="B21" s="41">
        <v>96522</v>
      </c>
      <c r="C21" s="48" t="s">
        <v>25</v>
      </c>
      <c r="D21" s="53" t="s">
        <v>265</v>
      </c>
      <c r="E21" s="50" t="s">
        <v>140</v>
      </c>
      <c r="F21" s="31">
        <v>0.34</v>
      </c>
      <c r="G21" s="32">
        <v>113.6</v>
      </c>
      <c r="H21" s="32">
        <v>145.68063999999998</v>
      </c>
      <c r="I21" s="32">
        <f>TRUNC(F21*G21,2)</f>
        <v>38.619999999999997</v>
      </c>
      <c r="J21" s="33">
        <f>F21*H21</f>
        <v>49.531417599999997</v>
      </c>
    </row>
    <row r="22" spans="1:11" ht="20.25" customHeight="1">
      <c r="A22" s="44" t="s">
        <v>217</v>
      </c>
      <c r="B22" s="41">
        <v>92799</v>
      </c>
      <c r="C22" s="48" t="s">
        <v>25</v>
      </c>
      <c r="D22" s="53" t="s">
        <v>142</v>
      </c>
      <c r="E22" s="50" t="s">
        <v>141</v>
      </c>
      <c r="F22" s="31">
        <v>17.41</v>
      </c>
      <c r="G22" s="32">
        <v>14.18</v>
      </c>
      <c r="H22" s="32">
        <v>18.184432000000001</v>
      </c>
      <c r="I22" s="32">
        <f t="shared" ref="I22:I26" si="2">TRUNC(F22*G22,2)</f>
        <v>246.87</v>
      </c>
      <c r="J22" s="33">
        <f t="shared" ref="J22:J26" si="3">F22*H22</f>
        <v>316.59096112000003</v>
      </c>
    </row>
    <row r="23" spans="1:11" ht="24.75">
      <c r="A23" s="44" t="s">
        <v>218</v>
      </c>
      <c r="B23" s="41">
        <v>96544</v>
      </c>
      <c r="C23" s="48" t="s">
        <v>25</v>
      </c>
      <c r="D23" s="53" t="s">
        <v>264</v>
      </c>
      <c r="E23" s="50" t="s">
        <v>141</v>
      </c>
      <c r="F23" s="31">
        <v>39.17</v>
      </c>
      <c r="G23" s="32">
        <v>18.809999999999999</v>
      </c>
      <c r="H23" s="32">
        <v>24.121943999999999</v>
      </c>
      <c r="I23" s="32">
        <f t="shared" si="2"/>
        <v>736.78</v>
      </c>
      <c r="J23" s="33">
        <f t="shared" si="3"/>
        <v>944.85654648000002</v>
      </c>
    </row>
    <row r="24" spans="1:11" ht="36" customHeight="1">
      <c r="A24" s="44" t="s">
        <v>219</v>
      </c>
      <c r="B24" s="41">
        <v>96556</v>
      </c>
      <c r="C24" s="48" t="s">
        <v>25</v>
      </c>
      <c r="D24" s="53" t="s">
        <v>143</v>
      </c>
      <c r="E24" s="50" t="s">
        <v>140</v>
      </c>
      <c r="F24" s="31">
        <v>0.34</v>
      </c>
      <c r="G24" s="32">
        <v>778.89</v>
      </c>
      <c r="H24" s="32">
        <v>998.84853599999997</v>
      </c>
      <c r="I24" s="32">
        <f t="shared" si="2"/>
        <v>264.82</v>
      </c>
      <c r="J24" s="33">
        <f t="shared" si="3"/>
        <v>339.60850224000001</v>
      </c>
    </row>
    <row r="25" spans="1:11" s="55" customFormat="1" ht="16.5">
      <c r="A25" s="44" t="s">
        <v>36</v>
      </c>
      <c r="B25" s="170" t="s">
        <v>282</v>
      </c>
      <c r="C25" s="58" t="s">
        <v>283</v>
      </c>
      <c r="D25" s="59" t="s">
        <v>275</v>
      </c>
      <c r="E25" s="60" t="s">
        <v>30</v>
      </c>
      <c r="F25" s="61">
        <v>1</v>
      </c>
      <c r="G25" s="62">
        <v>9851.68</v>
      </c>
      <c r="H25" s="32">
        <v>12633.794432000001</v>
      </c>
      <c r="I25" s="32">
        <v>9851.68</v>
      </c>
      <c r="J25" s="33">
        <v>12633.794432000001</v>
      </c>
      <c r="K25"/>
    </row>
    <row r="26" spans="1:11" s="54" customFormat="1" ht="24.75">
      <c r="A26" s="44" t="s">
        <v>220</v>
      </c>
      <c r="B26" s="41">
        <v>95241</v>
      </c>
      <c r="C26" s="48" t="s">
        <v>25</v>
      </c>
      <c r="D26" s="53" t="s">
        <v>144</v>
      </c>
      <c r="E26" s="50" t="s">
        <v>74</v>
      </c>
      <c r="F26" s="31">
        <v>0.85</v>
      </c>
      <c r="G26" s="32">
        <v>29.27</v>
      </c>
      <c r="H26" s="32">
        <v>37.535848000000001</v>
      </c>
      <c r="I26" s="32">
        <f t="shared" si="2"/>
        <v>24.87</v>
      </c>
      <c r="J26" s="33">
        <f t="shared" si="3"/>
        <v>31.9054708</v>
      </c>
      <c r="K26"/>
    </row>
    <row r="27" spans="1:11" s="5" customFormat="1" ht="9" customHeight="1">
      <c r="A27" s="100"/>
      <c r="B27" s="101"/>
      <c r="C27" s="101"/>
      <c r="D27" s="101"/>
      <c r="E27" s="101"/>
      <c r="F27" s="101"/>
      <c r="G27" s="101"/>
      <c r="H27" s="102"/>
      <c r="I27" s="96"/>
      <c r="J27" s="97"/>
    </row>
    <row r="28" spans="1:11">
      <c r="A28" s="43" t="s">
        <v>8</v>
      </c>
      <c r="B28" s="105"/>
      <c r="C28" s="106"/>
      <c r="D28" s="98" t="s">
        <v>56</v>
      </c>
      <c r="E28" s="103"/>
      <c r="F28" s="103"/>
      <c r="G28" s="103"/>
      <c r="H28" s="103"/>
      <c r="I28" s="103"/>
      <c r="J28" s="104"/>
    </row>
    <row r="29" spans="1:11" ht="12.75" customHeight="1">
      <c r="A29" s="90"/>
      <c r="B29" s="91"/>
      <c r="C29" s="91"/>
      <c r="D29" s="91"/>
      <c r="E29" s="91"/>
      <c r="F29" s="91"/>
      <c r="G29" s="92"/>
      <c r="H29" s="252" t="s">
        <v>246</v>
      </c>
      <c r="I29" s="252"/>
      <c r="J29" s="36">
        <f>J30*15</f>
        <v>40970.2485696</v>
      </c>
    </row>
    <row r="30" spans="1:11" ht="12.75" customHeight="1">
      <c r="A30" s="45"/>
      <c r="B30" s="87"/>
      <c r="C30" s="89"/>
      <c r="D30" s="87" t="s">
        <v>34</v>
      </c>
      <c r="E30" s="88"/>
      <c r="F30" s="88"/>
      <c r="G30" s="89"/>
      <c r="H30" s="252" t="s">
        <v>247</v>
      </c>
      <c r="I30" s="252"/>
      <c r="J30" s="36">
        <f>SUM(J31:J34)</f>
        <v>2731.3499046400002</v>
      </c>
    </row>
    <row r="31" spans="1:11" s="54" customFormat="1" ht="30.75" customHeight="1">
      <c r="A31" s="44" t="s">
        <v>57</v>
      </c>
      <c r="B31" s="41">
        <v>94213</v>
      </c>
      <c r="C31" s="48" t="s">
        <v>25</v>
      </c>
      <c r="D31" s="53" t="s">
        <v>204</v>
      </c>
      <c r="E31" s="50" t="s">
        <v>74</v>
      </c>
      <c r="F31" s="31">
        <v>6.8</v>
      </c>
      <c r="G31" s="32">
        <v>70.5</v>
      </c>
      <c r="H31" s="32">
        <v>90.409199999999998</v>
      </c>
      <c r="I31" s="32">
        <v>477.12</v>
      </c>
      <c r="J31" s="33">
        <f>F31*H31</f>
        <v>614.78255999999999</v>
      </c>
      <c r="K31"/>
    </row>
    <row r="32" spans="1:11" s="54" customFormat="1" ht="24.75">
      <c r="A32" s="44" t="s">
        <v>62</v>
      </c>
      <c r="B32" s="41">
        <v>100327</v>
      </c>
      <c r="C32" s="48" t="s">
        <v>25</v>
      </c>
      <c r="D32" s="53" t="s">
        <v>146</v>
      </c>
      <c r="E32" s="50" t="s">
        <v>147</v>
      </c>
      <c r="F32" s="31">
        <v>11</v>
      </c>
      <c r="G32" s="32">
        <v>67.91</v>
      </c>
      <c r="H32" s="32">
        <v>87.087783999999999</v>
      </c>
      <c r="I32" s="32">
        <v>464.57</v>
      </c>
      <c r="J32" s="33">
        <f t="shared" ref="J32:J34" si="4">F32*H32</f>
        <v>957.96562399999993</v>
      </c>
      <c r="K32"/>
    </row>
    <row r="33" spans="1:11" ht="51.75" customHeight="1">
      <c r="A33" s="44" t="s">
        <v>66</v>
      </c>
      <c r="B33" s="41">
        <v>100757</v>
      </c>
      <c r="C33" s="48" t="s">
        <v>25</v>
      </c>
      <c r="D33" s="53" t="s">
        <v>266</v>
      </c>
      <c r="E33" s="50" t="s">
        <v>74</v>
      </c>
      <c r="F33" s="31">
        <f>(13.82+6.8)+10%</f>
        <v>20.720000000000002</v>
      </c>
      <c r="G33" s="32">
        <v>38.630000000000003</v>
      </c>
      <c r="H33" s="32">
        <v>49.539112000000003</v>
      </c>
      <c r="I33" s="32">
        <f>TRUNC(F33*G33,2)</f>
        <v>800.41</v>
      </c>
      <c r="J33" s="33">
        <f t="shared" si="4"/>
        <v>1026.4504006400002</v>
      </c>
    </row>
    <row r="34" spans="1:11" ht="21" customHeight="1">
      <c r="A34" s="44" t="s">
        <v>77</v>
      </c>
      <c r="B34" s="41">
        <v>88311</v>
      </c>
      <c r="C34" s="48" t="s">
        <v>25</v>
      </c>
      <c r="D34" s="53" t="s">
        <v>149</v>
      </c>
      <c r="E34" s="50" t="s">
        <v>138</v>
      </c>
      <c r="F34" s="31">
        <v>5</v>
      </c>
      <c r="G34" s="32">
        <v>20.61</v>
      </c>
      <c r="H34" s="32">
        <v>26.430263999999998</v>
      </c>
      <c r="I34" s="32">
        <f>TRUNC(F34*G34,2)</f>
        <v>103.05</v>
      </c>
      <c r="J34" s="33">
        <f t="shared" si="4"/>
        <v>132.15132</v>
      </c>
    </row>
    <row r="35" spans="1:11" ht="9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1"/>
    </row>
    <row r="36" spans="1:11">
      <c r="A36" s="43" t="s">
        <v>9</v>
      </c>
      <c r="B36" s="40"/>
      <c r="C36" s="47"/>
      <c r="D36" s="52" t="s">
        <v>100</v>
      </c>
      <c r="E36" s="49"/>
      <c r="F36" s="28"/>
      <c r="G36" s="29"/>
      <c r="H36" s="29"/>
      <c r="I36" s="29"/>
      <c r="J36" s="30"/>
    </row>
    <row r="37" spans="1:11">
      <c r="A37" s="90"/>
      <c r="B37" s="91"/>
      <c r="C37" s="91"/>
      <c r="D37" s="91"/>
      <c r="E37" s="91"/>
      <c r="F37" s="91"/>
      <c r="G37" s="92"/>
      <c r="H37" s="252" t="s">
        <v>246</v>
      </c>
      <c r="I37" s="252"/>
      <c r="J37" s="36">
        <f>J38*15</f>
        <v>23862.919718400004</v>
      </c>
    </row>
    <row r="38" spans="1:11">
      <c r="A38" s="45"/>
      <c r="B38" s="87"/>
      <c r="C38" s="89"/>
      <c r="D38" s="87" t="s">
        <v>34</v>
      </c>
      <c r="E38" s="88"/>
      <c r="F38" s="88"/>
      <c r="G38" s="89"/>
      <c r="H38" s="252" t="s">
        <v>247</v>
      </c>
      <c r="I38" s="252"/>
      <c r="J38" s="36">
        <f>SUM(J39:J40)</f>
        <v>1590.8613145600002</v>
      </c>
    </row>
    <row r="39" spans="1:11" ht="44.25" customHeight="1">
      <c r="A39" s="44" t="s">
        <v>101</v>
      </c>
      <c r="B39" s="41">
        <v>103304</v>
      </c>
      <c r="C39" s="48" t="s">
        <v>25</v>
      </c>
      <c r="D39" s="53" t="s">
        <v>151</v>
      </c>
      <c r="E39" s="50" t="s">
        <v>152</v>
      </c>
      <c r="F39" s="31">
        <v>1</v>
      </c>
      <c r="G39" s="32">
        <v>1226.93</v>
      </c>
      <c r="H39" s="32">
        <v>1573.4150320000001</v>
      </c>
      <c r="I39" s="32">
        <f t="shared" ref="I39:I40" si="5">TRUNC(F39*G39,2)</f>
        <v>1226.93</v>
      </c>
      <c r="J39" s="66">
        <f t="shared" ref="J39:J40" si="6">F39*H39</f>
        <v>1573.4150320000001</v>
      </c>
    </row>
    <row r="40" spans="1:11" ht="31.5" customHeight="1">
      <c r="A40" s="44" t="s">
        <v>104</v>
      </c>
      <c r="B40" s="41">
        <v>102513</v>
      </c>
      <c r="C40" s="48" t="s">
        <v>25</v>
      </c>
      <c r="D40" s="53" t="s">
        <v>153</v>
      </c>
      <c r="E40" s="50" t="s">
        <v>74</v>
      </c>
      <c r="F40" s="31">
        <v>0.36</v>
      </c>
      <c r="G40" s="32">
        <v>37.79</v>
      </c>
      <c r="H40" s="32">
        <v>48.461895999999996</v>
      </c>
      <c r="I40" s="32">
        <f t="shared" si="5"/>
        <v>13.6</v>
      </c>
      <c r="J40" s="33">
        <f t="shared" si="6"/>
        <v>17.446282559999997</v>
      </c>
    </row>
    <row r="41" spans="1:11" ht="11.25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1"/>
    </row>
    <row r="42" spans="1:11" s="8" customFormat="1">
      <c r="A42" s="43" t="s">
        <v>10</v>
      </c>
      <c r="B42" s="40"/>
      <c r="C42" s="47"/>
      <c r="D42" s="52" t="s">
        <v>131</v>
      </c>
      <c r="E42" s="49"/>
      <c r="F42" s="28"/>
      <c r="G42" s="29"/>
      <c r="H42" s="29"/>
      <c r="I42" s="29"/>
      <c r="J42" s="30"/>
    </row>
    <row r="43" spans="1:11" s="8" customFormat="1">
      <c r="A43" s="90"/>
      <c r="B43" s="91"/>
      <c r="C43" s="91"/>
      <c r="D43" s="91"/>
      <c r="E43" s="91"/>
      <c r="F43" s="91"/>
      <c r="G43" s="92"/>
      <c r="H43" s="252" t="s">
        <v>246</v>
      </c>
      <c r="I43" s="252"/>
      <c r="J43" s="36">
        <f>J44*15</f>
        <v>421.26840000000004</v>
      </c>
    </row>
    <row r="44" spans="1:11" s="8" customFormat="1">
      <c r="A44" s="45"/>
      <c r="B44" s="87"/>
      <c r="C44" s="89"/>
      <c r="D44" s="87"/>
      <c r="E44" s="88"/>
      <c r="F44" s="88"/>
      <c r="G44" s="89"/>
      <c r="H44" s="252" t="s">
        <v>247</v>
      </c>
      <c r="I44" s="252"/>
      <c r="J44" s="36">
        <f>SUM(J45:J46)</f>
        <v>28.084560000000003</v>
      </c>
    </row>
    <row r="45" spans="1:11" s="8" customFormat="1" ht="18.75" customHeight="1">
      <c r="A45" s="44" t="s">
        <v>132</v>
      </c>
      <c r="B45" s="41">
        <v>99814</v>
      </c>
      <c r="C45" s="48" t="s">
        <v>25</v>
      </c>
      <c r="D45" s="53" t="s">
        <v>156</v>
      </c>
      <c r="E45" s="50" t="s">
        <v>74</v>
      </c>
      <c r="F45" s="31">
        <v>6</v>
      </c>
      <c r="G45" s="32">
        <v>1.48</v>
      </c>
      <c r="H45" s="32">
        <v>1.8979519999999999</v>
      </c>
      <c r="I45" s="32">
        <f t="shared" ref="I45:I46" si="7">TRUNC(F45*G45,2)</f>
        <v>8.8800000000000008</v>
      </c>
      <c r="J45" s="33">
        <f t="shared" ref="J45:J46" si="8">F45*H45</f>
        <v>11.387711999999999</v>
      </c>
    </row>
    <row r="46" spans="1:11" s="8" customFormat="1" ht="37.5" customHeight="1">
      <c r="A46" s="44" t="s">
        <v>262</v>
      </c>
      <c r="B46" s="41">
        <v>97637</v>
      </c>
      <c r="C46" s="48" t="s">
        <v>25</v>
      </c>
      <c r="D46" s="53" t="s">
        <v>263</v>
      </c>
      <c r="E46" s="50" t="s">
        <v>74</v>
      </c>
      <c r="F46" s="31">
        <f>7</f>
        <v>7</v>
      </c>
      <c r="G46" s="32">
        <v>1.86</v>
      </c>
      <c r="H46" s="32">
        <v>2.3852640000000003</v>
      </c>
      <c r="I46" s="32">
        <f t="shared" si="7"/>
        <v>13.02</v>
      </c>
      <c r="J46" s="33">
        <f t="shared" si="8"/>
        <v>16.696848000000003</v>
      </c>
    </row>
    <row r="47" spans="1:11" s="5" customFormat="1" ht="9.75" customHeight="1">
      <c r="A47" s="292"/>
      <c r="B47" s="293"/>
      <c r="C47" s="293"/>
      <c r="D47" s="293"/>
      <c r="E47" s="293"/>
      <c r="F47" s="293"/>
      <c r="G47" s="293"/>
      <c r="H47" s="293"/>
      <c r="I47" s="293"/>
      <c r="J47" s="294"/>
    </row>
    <row r="48" spans="1:11">
      <c r="A48" s="295" t="s">
        <v>251</v>
      </c>
      <c r="B48" s="296"/>
      <c r="C48" s="296"/>
      <c r="D48" s="296"/>
      <c r="E48" s="296"/>
      <c r="F48" s="296"/>
      <c r="G48" s="296"/>
      <c r="H48" s="296"/>
      <c r="I48" s="297">
        <f>J12+J20+J30+J38+J44</f>
        <v>22577.712581439999</v>
      </c>
      <c r="J48" s="298"/>
      <c r="K48" s="225"/>
    </row>
    <row r="49" spans="1:10">
      <c r="A49" s="295" t="s">
        <v>253</v>
      </c>
      <c r="B49" s="296"/>
      <c r="C49" s="296"/>
      <c r="D49" s="296"/>
      <c r="E49" s="296"/>
      <c r="F49" s="296"/>
      <c r="G49" s="296"/>
      <c r="H49" s="296"/>
      <c r="I49" s="297">
        <f>22577.71*15</f>
        <v>338665.64999999997</v>
      </c>
      <c r="J49" s="298"/>
    </row>
    <row r="50" spans="1:10" ht="7.5" customHeight="1">
      <c r="A50" s="110"/>
      <c r="B50" s="110"/>
      <c r="C50" s="110"/>
      <c r="D50" s="110"/>
      <c r="E50" s="110"/>
      <c r="F50" s="110"/>
      <c r="G50" s="110"/>
      <c r="H50" s="110"/>
      <c r="I50" s="111"/>
      <c r="J50" s="111"/>
    </row>
    <row r="51" spans="1:10" ht="11.25" customHeight="1">
      <c r="A51" s="229" t="s">
        <v>135</v>
      </c>
      <c r="B51" s="229"/>
      <c r="C51" s="229"/>
      <c r="D51" s="229"/>
    </row>
    <row r="52" spans="1:10" ht="12" customHeight="1">
      <c r="A52" s="229" t="s">
        <v>136</v>
      </c>
      <c r="B52" s="229"/>
      <c r="C52" s="229"/>
      <c r="D52" s="229"/>
    </row>
  </sheetData>
  <mergeCells count="29">
    <mergeCell ref="A52:D52"/>
    <mergeCell ref="A48:H48"/>
    <mergeCell ref="I48:J48"/>
    <mergeCell ref="A49:H49"/>
    <mergeCell ref="I49:J49"/>
    <mergeCell ref="A19:D19"/>
    <mergeCell ref="H19:I19"/>
    <mergeCell ref="H20:I20"/>
    <mergeCell ref="A35:J35"/>
    <mergeCell ref="A51:D51"/>
    <mergeCell ref="A47:J47"/>
    <mergeCell ref="A41:J41"/>
    <mergeCell ref="H43:I43"/>
    <mergeCell ref="H44:I44"/>
    <mergeCell ref="H37:I37"/>
    <mergeCell ref="H38:I38"/>
    <mergeCell ref="H29:I29"/>
    <mergeCell ref="H30:I30"/>
    <mergeCell ref="A8:J8"/>
    <mergeCell ref="D18:J18"/>
    <mergeCell ref="A2:J2"/>
    <mergeCell ref="A3:J3"/>
    <mergeCell ref="A4:J4"/>
    <mergeCell ref="A5:J5"/>
    <mergeCell ref="A6:J6"/>
    <mergeCell ref="A7:J7"/>
    <mergeCell ref="H12:I12"/>
    <mergeCell ref="A11:D11"/>
    <mergeCell ref="H11:I11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view="pageBreakPreview" topLeftCell="A33" zoomScale="110" zoomScaleNormal="100" zoomScaleSheetLayoutView="110" workbookViewId="0">
      <selection activeCell="J61" sqref="J61"/>
    </sheetView>
  </sheetViews>
  <sheetFormatPr defaultRowHeight="15"/>
  <cols>
    <col min="1" max="1" width="3.85546875" style="42" customWidth="1"/>
    <col min="2" max="2" width="5.7109375" style="39" customWidth="1"/>
    <col min="3" max="3" width="4.85546875" style="46" customWidth="1"/>
    <col min="4" max="4" width="26.85546875" style="51" customWidth="1"/>
    <col min="5" max="5" width="3.85546875" style="42" customWidth="1"/>
    <col min="6" max="6" width="6" style="26" customWidth="1"/>
    <col min="7" max="7" width="10.42578125" style="27" customWidth="1"/>
    <col min="8" max="8" width="11" style="27" customWidth="1"/>
    <col min="9" max="9" width="10.85546875" style="27" customWidth="1"/>
    <col min="10" max="10" width="13" style="27" customWidth="1"/>
    <col min="11" max="12" width="9.140625" customWidth="1"/>
  </cols>
  <sheetData>
    <row r="1" spans="1:10" ht="8.25" customHeight="1" thickBot="1"/>
    <row r="2" spans="1:10" ht="72" customHeight="1">
      <c r="A2" s="269"/>
      <c r="B2" s="270"/>
      <c r="C2" s="270"/>
      <c r="D2" s="270"/>
      <c r="E2" s="270"/>
      <c r="F2" s="270"/>
      <c r="G2" s="270"/>
      <c r="H2" s="270"/>
      <c r="I2" s="270"/>
      <c r="J2" s="271"/>
    </row>
    <row r="3" spans="1:10">
      <c r="A3" s="272" t="s">
        <v>250</v>
      </c>
      <c r="B3" s="273"/>
      <c r="C3" s="273"/>
      <c r="D3" s="273"/>
      <c r="E3" s="273"/>
      <c r="F3" s="273"/>
      <c r="G3" s="273"/>
      <c r="H3" s="273"/>
      <c r="I3" s="273"/>
      <c r="J3" s="274"/>
    </row>
    <row r="4" spans="1:10">
      <c r="A4" s="272" t="s">
        <v>202</v>
      </c>
      <c r="B4" s="273"/>
      <c r="C4" s="273"/>
      <c r="D4" s="273"/>
      <c r="E4" s="273"/>
      <c r="F4" s="273"/>
      <c r="G4" s="273"/>
      <c r="H4" s="273"/>
      <c r="I4" s="273"/>
      <c r="J4" s="274"/>
    </row>
    <row r="5" spans="1:10">
      <c r="A5" s="272" t="s">
        <v>248</v>
      </c>
      <c r="B5" s="273"/>
      <c r="C5" s="273"/>
      <c r="D5" s="273"/>
      <c r="E5" s="273"/>
      <c r="F5" s="273"/>
      <c r="G5" s="273"/>
      <c r="H5" s="273"/>
      <c r="I5" s="273"/>
      <c r="J5" s="274"/>
    </row>
    <row r="6" spans="1:10">
      <c r="A6" s="272" t="s">
        <v>203</v>
      </c>
      <c r="B6" s="273"/>
      <c r="C6" s="273"/>
      <c r="D6" s="273"/>
      <c r="E6" s="273"/>
      <c r="F6" s="273"/>
      <c r="G6" s="273"/>
      <c r="H6" s="273"/>
      <c r="I6" s="273"/>
      <c r="J6" s="274"/>
    </row>
    <row r="7" spans="1:10" ht="15.75" thickBot="1">
      <c r="A7" s="286" t="s">
        <v>306</v>
      </c>
      <c r="B7" s="287"/>
      <c r="C7" s="287"/>
      <c r="D7" s="287"/>
      <c r="E7" s="287"/>
      <c r="F7" s="287"/>
      <c r="G7" s="287"/>
      <c r="H7" s="287"/>
      <c r="I7" s="287"/>
      <c r="J7" s="288"/>
    </row>
    <row r="8" spans="1:10" ht="14.25" customHeight="1" thickBot="1">
      <c r="A8" s="277" t="s">
        <v>256</v>
      </c>
      <c r="B8" s="278"/>
      <c r="C8" s="278"/>
      <c r="D8" s="278"/>
      <c r="E8" s="278"/>
      <c r="F8" s="278"/>
      <c r="G8" s="278"/>
      <c r="H8" s="278"/>
      <c r="I8" s="278"/>
      <c r="J8" s="279"/>
    </row>
    <row r="9" spans="1:10" ht="19.5" customHeight="1">
      <c r="A9" s="81" t="s">
        <v>1</v>
      </c>
      <c r="B9" s="82" t="s">
        <v>13</v>
      </c>
      <c r="C9" s="82" t="s">
        <v>14</v>
      </c>
      <c r="D9" s="83" t="s">
        <v>15</v>
      </c>
      <c r="E9" s="82" t="s">
        <v>245</v>
      </c>
      <c r="F9" s="84" t="s">
        <v>17</v>
      </c>
      <c r="G9" s="85" t="s">
        <v>18</v>
      </c>
      <c r="H9" s="85" t="s">
        <v>19</v>
      </c>
      <c r="I9" s="85" t="s">
        <v>20</v>
      </c>
      <c r="J9" s="86" t="s">
        <v>21</v>
      </c>
    </row>
    <row r="10" spans="1:10" ht="13.5" customHeight="1">
      <c r="A10" s="43" t="s">
        <v>22</v>
      </c>
      <c r="B10" s="40"/>
      <c r="C10" s="47"/>
      <c r="D10" s="52" t="s">
        <v>23</v>
      </c>
      <c r="E10" s="49"/>
      <c r="F10" s="28"/>
      <c r="G10" s="29"/>
      <c r="H10" s="29"/>
      <c r="I10" s="29"/>
      <c r="J10" s="30"/>
    </row>
    <row r="11" spans="1:10" ht="13.5" customHeight="1">
      <c r="A11" s="280"/>
      <c r="B11" s="281"/>
      <c r="C11" s="281"/>
      <c r="D11" s="281"/>
      <c r="E11" s="88"/>
      <c r="F11" s="88"/>
      <c r="G11" s="88"/>
      <c r="H11" s="252" t="s">
        <v>246</v>
      </c>
      <c r="I11" s="252"/>
      <c r="J11" s="36">
        <f>J12*15</f>
        <v>64139.737968000001</v>
      </c>
    </row>
    <row r="12" spans="1:10" ht="15" customHeight="1">
      <c r="A12" s="109"/>
      <c r="B12" s="91"/>
      <c r="C12" s="92"/>
      <c r="D12" s="87"/>
      <c r="E12" s="88"/>
      <c r="F12" s="88"/>
      <c r="G12" s="88"/>
      <c r="H12" s="252" t="s">
        <v>247</v>
      </c>
      <c r="I12" s="252"/>
      <c r="J12" s="36">
        <f>SUM(J13:J16)</f>
        <v>4275.9825312000003</v>
      </c>
    </row>
    <row r="13" spans="1:10" ht="16.5">
      <c r="A13" s="44" t="s">
        <v>24</v>
      </c>
      <c r="B13" s="41">
        <v>90777</v>
      </c>
      <c r="C13" s="48" t="s">
        <v>25</v>
      </c>
      <c r="D13" s="53" t="s">
        <v>137</v>
      </c>
      <c r="E13" s="50" t="s">
        <v>138</v>
      </c>
      <c r="F13" s="31">
        <v>9.6964285714285712</v>
      </c>
      <c r="G13" s="32">
        <v>89.11</v>
      </c>
      <c r="H13" s="32">
        <v>114.274664</v>
      </c>
      <c r="I13" s="32">
        <f t="shared" ref="I13:I14" si="0">TRUNC(F13*G13,2)</f>
        <v>864.04</v>
      </c>
      <c r="J13" s="33">
        <f>F13*H13</f>
        <v>1108.0561170000001</v>
      </c>
    </row>
    <row r="14" spans="1:10" ht="16.5">
      <c r="A14" s="44" t="s">
        <v>26</v>
      </c>
      <c r="B14" s="41">
        <v>90776</v>
      </c>
      <c r="C14" s="48" t="s">
        <v>25</v>
      </c>
      <c r="D14" s="53" t="s">
        <v>139</v>
      </c>
      <c r="E14" s="50" t="s">
        <v>138</v>
      </c>
      <c r="F14" s="31">
        <v>16.160714285714285</v>
      </c>
      <c r="G14" s="32">
        <v>22.23</v>
      </c>
      <c r="H14" s="32">
        <v>28.507752</v>
      </c>
      <c r="I14" s="32">
        <f t="shared" si="0"/>
        <v>359.25</v>
      </c>
      <c r="J14" s="33">
        <f t="shared" ref="J14:J16" si="1">F14*H14</f>
        <v>460.70563499999997</v>
      </c>
    </row>
    <row r="15" spans="1:10" ht="16.5">
      <c r="A15" s="44" t="s">
        <v>229</v>
      </c>
      <c r="B15" s="41" t="s">
        <v>27</v>
      </c>
      <c r="C15" s="48" t="s">
        <v>28</v>
      </c>
      <c r="D15" s="53" t="s">
        <v>29</v>
      </c>
      <c r="E15" s="50" t="s">
        <v>30</v>
      </c>
      <c r="F15" s="31">
        <v>1</v>
      </c>
      <c r="G15" s="32">
        <v>1115.28</v>
      </c>
      <c r="H15" s="32">
        <v>1430.2350719999999</v>
      </c>
      <c r="I15" s="32">
        <f>TRUNC(F15*G15,2)</f>
        <v>1115.28</v>
      </c>
      <c r="J15" s="33">
        <f t="shared" si="1"/>
        <v>1430.2350719999999</v>
      </c>
    </row>
    <row r="16" spans="1:10" ht="17.25" customHeight="1">
      <c r="A16" s="44" t="s">
        <v>312</v>
      </c>
      <c r="B16" s="117">
        <v>98459</v>
      </c>
      <c r="C16" s="118" t="s">
        <v>25</v>
      </c>
      <c r="D16" s="119" t="s">
        <v>261</v>
      </c>
      <c r="E16" s="122" t="s">
        <v>74</v>
      </c>
      <c r="F16" s="31">
        <v>9.8000000000000007</v>
      </c>
      <c r="G16" s="120">
        <v>101.61</v>
      </c>
      <c r="H16" s="121">
        <v>130.304664</v>
      </c>
      <c r="I16" s="32">
        <f>G16*F16</f>
        <v>995.77800000000002</v>
      </c>
      <c r="J16" s="33">
        <f t="shared" si="1"/>
        <v>1276.9857072000002</v>
      </c>
    </row>
    <row r="17" spans="1:11" s="5" customFormat="1" ht="9.75" customHeight="1">
      <c r="A17" s="93"/>
      <c r="B17" s="96"/>
      <c r="C17" s="96"/>
      <c r="D17" s="96"/>
      <c r="E17" s="96"/>
      <c r="F17" s="96"/>
      <c r="G17" s="96"/>
      <c r="H17" s="96"/>
      <c r="I17" s="96"/>
      <c r="J17" s="97"/>
    </row>
    <row r="18" spans="1:11" ht="15.75" customHeight="1">
      <c r="A18" s="43" t="s">
        <v>7</v>
      </c>
      <c r="B18" s="98"/>
      <c r="C18" s="99"/>
      <c r="D18" s="283" t="s">
        <v>32</v>
      </c>
      <c r="E18" s="284"/>
      <c r="F18" s="284"/>
      <c r="G18" s="284"/>
      <c r="H18" s="284"/>
      <c r="I18" s="284"/>
      <c r="J18" s="285"/>
    </row>
    <row r="19" spans="1:11" s="54" customFormat="1" ht="14.25" customHeight="1">
      <c r="A19" s="280"/>
      <c r="B19" s="281"/>
      <c r="C19" s="281"/>
      <c r="D19" s="281"/>
      <c r="E19" s="88"/>
      <c r="F19" s="88"/>
      <c r="G19" s="88"/>
      <c r="H19" s="252" t="s">
        <v>246</v>
      </c>
      <c r="I19" s="252"/>
      <c r="J19" s="36">
        <f>J20*15</f>
        <v>231168.96855360002</v>
      </c>
      <c r="K19"/>
    </row>
    <row r="20" spans="1:11" ht="12.75" customHeight="1">
      <c r="A20" s="45" t="s">
        <v>37</v>
      </c>
      <c r="B20" s="91"/>
      <c r="C20" s="92"/>
      <c r="D20" s="87" t="s">
        <v>38</v>
      </c>
      <c r="E20" s="88"/>
      <c r="F20" s="88"/>
      <c r="G20" s="88"/>
      <c r="H20" s="252" t="s">
        <v>247</v>
      </c>
      <c r="I20" s="252"/>
      <c r="J20" s="36">
        <f>SUM(J21:J26)</f>
        <v>15411.26457024</v>
      </c>
    </row>
    <row r="21" spans="1:11" ht="33.75" customHeight="1">
      <c r="A21" s="44" t="s">
        <v>39</v>
      </c>
      <c r="B21" s="41">
        <v>96522</v>
      </c>
      <c r="C21" s="48" t="s">
        <v>25</v>
      </c>
      <c r="D21" s="53" t="s">
        <v>265</v>
      </c>
      <c r="E21" s="50" t="s">
        <v>140</v>
      </c>
      <c r="F21" s="31">
        <v>0.34</v>
      </c>
      <c r="G21" s="32">
        <v>113.6</v>
      </c>
      <c r="H21" s="32">
        <v>145.68063999999998</v>
      </c>
      <c r="I21" s="32">
        <f t="shared" ref="I21:I26" si="2">TRUNC(F21*G21,2)</f>
        <v>38.619999999999997</v>
      </c>
      <c r="J21" s="33">
        <f t="shared" ref="J21:J26" si="3">F21*H21</f>
        <v>49.531417599999997</v>
      </c>
    </row>
    <row r="22" spans="1:11" ht="19.5" customHeight="1">
      <c r="A22" s="44" t="s">
        <v>225</v>
      </c>
      <c r="B22" s="41">
        <v>92799</v>
      </c>
      <c r="C22" s="48" t="s">
        <v>25</v>
      </c>
      <c r="D22" s="53" t="s">
        <v>142</v>
      </c>
      <c r="E22" s="50" t="s">
        <v>141</v>
      </c>
      <c r="F22" s="31">
        <v>17.41</v>
      </c>
      <c r="G22" s="32">
        <v>14.18</v>
      </c>
      <c r="H22" s="32">
        <v>18.184432000000001</v>
      </c>
      <c r="I22" s="32">
        <f t="shared" si="2"/>
        <v>246.87</v>
      </c>
      <c r="J22" s="33">
        <f t="shared" si="3"/>
        <v>316.59096112000003</v>
      </c>
    </row>
    <row r="23" spans="1:11" ht="24.75">
      <c r="A23" s="44" t="s">
        <v>226</v>
      </c>
      <c r="B23" s="41">
        <v>96544</v>
      </c>
      <c r="C23" s="48" t="s">
        <v>25</v>
      </c>
      <c r="D23" s="53" t="s">
        <v>264</v>
      </c>
      <c r="E23" s="50" t="s">
        <v>141</v>
      </c>
      <c r="F23" s="31">
        <v>39.17</v>
      </c>
      <c r="G23" s="32">
        <v>18.809999999999999</v>
      </c>
      <c r="H23" s="32">
        <v>24.121943999999999</v>
      </c>
      <c r="I23" s="32">
        <f t="shared" si="2"/>
        <v>736.78</v>
      </c>
      <c r="J23" s="33">
        <f t="shared" si="3"/>
        <v>944.85654648000002</v>
      </c>
    </row>
    <row r="24" spans="1:11" ht="33">
      <c r="A24" s="44" t="s">
        <v>227</v>
      </c>
      <c r="B24" s="41">
        <v>96556</v>
      </c>
      <c r="C24" s="48" t="s">
        <v>25</v>
      </c>
      <c r="D24" s="53" t="s">
        <v>143</v>
      </c>
      <c r="E24" s="50" t="s">
        <v>140</v>
      </c>
      <c r="F24" s="31">
        <v>0.34</v>
      </c>
      <c r="G24" s="32">
        <v>778.89</v>
      </c>
      <c r="H24" s="32">
        <v>998.84853599999997</v>
      </c>
      <c r="I24" s="32">
        <f t="shared" si="2"/>
        <v>264.82</v>
      </c>
      <c r="J24" s="33">
        <f t="shared" si="3"/>
        <v>339.60850224000001</v>
      </c>
    </row>
    <row r="25" spans="1:11" ht="16.5">
      <c r="A25" s="44" t="s">
        <v>40</v>
      </c>
      <c r="B25" s="170" t="s">
        <v>284</v>
      </c>
      <c r="C25" s="58" t="s">
        <v>268</v>
      </c>
      <c r="D25" s="53" t="s">
        <v>292</v>
      </c>
      <c r="E25" s="50" t="s">
        <v>30</v>
      </c>
      <c r="F25" s="31">
        <v>1</v>
      </c>
      <c r="G25" s="62">
        <f>COMPOSIÇÃO!G47</f>
        <v>17</v>
      </c>
      <c r="H25" s="32">
        <v>13728.771672000001</v>
      </c>
      <c r="I25" s="32">
        <f t="shared" si="2"/>
        <v>17</v>
      </c>
      <c r="J25" s="33">
        <f t="shared" si="3"/>
        <v>13728.771672000001</v>
      </c>
    </row>
    <row r="26" spans="1:11" ht="27" customHeight="1">
      <c r="A26" s="44" t="s">
        <v>228</v>
      </c>
      <c r="B26" s="41">
        <v>95241</v>
      </c>
      <c r="C26" s="48" t="s">
        <v>25</v>
      </c>
      <c r="D26" s="53" t="s">
        <v>144</v>
      </c>
      <c r="E26" s="50" t="s">
        <v>74</v>
      </c>
      <c r="F26" s="31">
        <v>0.85</v>
      </c>
      <c r="G26" s="32">
        <v>29.27</v>
      </c>
      <c r="H26" s="32">
        <v>37.535848000000001</v>
      </c>
      <c r="I26" s="32">
        <f t="shared" si="2"/>
        <v>24.87</v>
      </c>
      <c r="J26" s="33">
        <f t="shared" si="3"/>
        <v>31.9054708</v>
      </c>
    </row>
    <row r="27" spans="1:11" ht="9.75" customHeight="1">
      <c r="A27" s="289"/>
      <c r="B27" s="290"/>
      <c r="C27" s="290"/>
      <c r="D27" s="290"/>
      <c r="E27" s="290"/>
      <c r="F27" s="290"/>
      <c r="G27" s="290"/>
      <c r="H27" s="290"/>
      <c r="I27" s="290"/>
      <c r="J27" s="291"/>
    </row>
    <row r="28" spans="1:11">
      <c r="A28" s="43" t="s">
        <v>8</v>
      </c>
      <c r="B28" s="105"/>
      <c r="C28" s="106"/>
      <c r="D28" s="98" t="s">
        <v>56</v>
      </c>
      <c r="E28" s="103"/>
      <c r="F28" s="103"/>
      <c r="G28" s="103"/>
      <c r="H28" s="103"/>
      <c r="I28" s="103"/>
      <c r="J28" s="104"/>
    </row>
    <row r="29" spans="1:11" ht="15" customHeight="1">
      <c r="A29" s="90"/>
      <c r="B29" s="91"/>
      <c r="C29" s="91"/>
      <c r="D29" s="91"/>
      <c r="E29" s="91"/>
      <c r="F29" s="91"/>
      <c r="G29" s="92"/>
      <c r="H29" s="252" t="s">
        <v>246</v>
      </c>
      <c r="I29" s="252"/>
      <c r="J29" s="36">
        <f>J30*15</f>
        <v>48595.177755600002</v>
      </c>
    </row>
    <row r="30" spans="1:11" ht="15" customHeight="1">
      <c r="A30" s="45"/>
      <c r="B30" s="87"/>
      <c r="C30" s="89"/>
      <c r="D30" s="87" t="s">
        <v>38</v>
      </c>
      <c r="E30" s="88"/>
      <c r="F30" s="88"/>
      <c r="G30" s="89"/>
      <c r="H30" s="252" t="s">
        <v>247</v>
      </c>
      <c r="I30" s="252"/>
      <c r="J30" s="36">
        <f>SUM(J31:J34)</f>
        <v>3239.6785170400003</v>
      </c>
    </row>
    <row r="31" spans="1:11" ht="28.5" customHeight="1">
      <c r="A31" s="44" t="s">
        <v>57</v>
      </c>
      <c r="B31" s="41">
        <v>94213</v>
      </c>
      <c r="C31" s="48" t="s">
        <v>25</v>
      </c>
      <c r="D31" s="53" t="s">
        <v>204</v>
      </c>
      <c r="E31" s="50" t="s">
        <v>74</v>
      </c>
      <c r="F31" s="31">
        <v>8.8000000000000007</v>
      </c>
      <c r="G31" s="32">
        <v>70.5</v>
      </c>
      <c r="H31" s="32">
        <v>90.409199999999998</v>
      </c>
      <c r="I31" s="32">
        <v>699.77</v>
      </c>
      <c r="J31" s="33">
        <f t="shared" ref="J31:J34" si="4">F31*H31</f>
        <v>795.6009600000001</v>
      </c>
    </row>
    <row r="32" spans="1:11" ht="27.75" customHeight="1">
      <c r="A32" s="44" t="s">
        <v>62</v>
      </c>
      <c r="B32" s="41">
        <v>100327</v>
      </c>
      <c r="C32" s="48" t="s">
        <v>25</v>
      </c>
      <c r="D32" s="53" t="s">
        <v>146</v>
      </c>
      <c r="E32" s="50" t="s">
        <v>147</v>
      </c>
      <c r="F32" s="31">
        <v>12.4</v>
      </c>
      <c r="G32" s="32">
        <v>67.91</v>
      </c>
      <c r="H32" s="32">
        <v>87.087783999999999</v>
      </c>
      <c r="I32" s="32">
        <v>560.22</v>
      </c>
      <c r="J32" s="33">
        <f t="shared" si="4"/>
        <v>1079.8885216000001</v>
      </c>
    </row>
    <row r="33" spans="1:10" ht="42.75" customHeight="1">
      <c r="A33" s="44" t="s">
        <v>66</v>
      </c>
      <c r="B33" s="41">
        <v>100743</v>
      </c>
      <c r="C33" s="48" t="s">
        <v>25</v>
      </c>
      <c r="D33" s="53" t="s">
        <v>148</v>
      </c>
      <c r="E33" s="50" t="s">
        <v>74</v>
      </c>
      <c r="F33" s="31">
        <f>(15.97+8.8)+10%</f>
        <v>24.870000000000005</v>
      </c>
      <c r="G33" s="32">
        <v>38.630000000000003</v>
      </c>
      <c r="H33" s="32">
        <v>49.539112000000003</v>
      </c>
      <c r="I33" s="32">
        <f>TRUNC(F33*G33,2)</f>
        <v>960.72</v>
      </c>
      <c r="J33" s="33">
        <f t="shared" si="4"/>
        <v>1232.0377154400003</v>
      </c>
    </row>
    <row r="34" spans="1:10" ht="19.5" customHeight="1">
      <c r="A34" s="44" t="s">
        <v>77</v>
      </c>
      <c r="B34" s="41">
        <v>88311</v>
      </c>
      <c r="C34" s="48" t="s">
        <v>25</v>
      </c>
      <c r="D34" s="53" t="s">
        <v>149</v>
      </c>
      <c r="E34" s="50" t="s">
        <v>138</v>
      </c>
      <c r="F34" s="31">
        <v>5</v>
      </c>
      <c r="G34" s="32">
        <v>20.61</v>
      </c>
      <c r="H34" s="32">
        <v>26.430263999999998</v>
      </c>
      <c r="I34" s="32">
        <f>TRUNC(F34*G34,2)</f>
        <v>103.05</v>
      </c>
      <c r="J34" s="33">
        <f t="shared" si="4"/>
        <v>132.15132</v>
      </c>
    </row>
    <row r="35" spans="1:10" ht="9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1"/>
    </row>
    <row r="36" spans="1:10" ht="12" customHeight="1">
      <c r="A36" s="43" t="s">
        <v>9</v>
      </c>
      <c r="B36" s="40"/>
      <c r="C36" s="47"/>
      <c r="D36" s="52" t="s">
        <v>100</v>
      </c>
      <c r="E36" s="49"/>
      <c r="F36" s="28"/>
      <c r="G36" s="29"/>
      <c r="H36" s="29"/>
      <c r="I36" s="29"/>
      <c r="J36" s="30"/>
    </row>
    <row r="37" spans="1:10" ht="15" customHeight="1">
      <c r="A37" s="90"/>
      <c r="B37" s="91"/>
      <c r="C37" s="91"/>
      <c r="D37" s="91"/>
      <c r="E37" s="91"/>
      <c r="F37" s="91"/>
      <c r="G37" s="92"/>
      <c r="H37" s="252" t="s">
        <v>246</v>
      </c>
      <c r="I37" s="252"/>
      <c r="J37" s="36">
        <f>J38*15</f>
        <v>23862.919718400004</v>
      </c>
    </row>
    <row r="38" spans="1:10" ht="15" customHeight="1">
      <c r="A38" s="45"/>
      <c r="B38" s="87"/>
      <c r="C38" s="89"/>
      <c r="D38" s="87" t="s">
        <v>38</v>
      </c>
      <c r="E38" s="88"/>
      <c r="F38" s="88"/>
      <c r="G38" s="89"/>
      <c r="H38" s="252" t="s">
        <v>247</v>
      </c>
      <c r="I38" s="252"/>
      <c r="J38" s="36">
        <f>SUM(J39:J40)</f>
        <v>1590.8613145600002</v>
      </c>
    </row>
    <row r="39" spans="1:10" ht="41.25">
      <c r="A39" s="44" t="s">
        <v>101</v>
      </c>
      <c r="B39" s="41">
        <v>103304</v>
      </c>
      <c r="C39" s="48" t="s">
        <v>25</v>
      </c>
      <c r="D39" s="53" t="s">
        <v>151</v>
      </c>
      <c r="E39" s="50" t="s">
        <v>152</v>
      </c>
      <c r="F39" s="31">
        <v>1</v>
      </c>
      <c r="G39" s="32">
        <v>1226.93</v>
      </c>
      <c r="H39" s="32">
        <v>1573.4150320000001</v>
      </c>
      <c r="I39" s="32">
        <f t="shared" ref="I39:I40" si="5">TRUNC(F39*G39,2)</f>
        <v>1226.93</v>
      </c>
      <c r="J39" s="33">
        <f t="shared" ref="J39:J40" si="6">F39*H39</f>
        <v>1573.4150320000001</v>
      </c>
    </row>
    <row r="40" spans="1:10" ht="33">
      <c r="A40" s="44" t="s">
        <v>104</v>
      </c>
      <c r="B40" s="41">
        <v>102513</v>
      </c>
      <c r="C40" s="48" t="s">
        <v>25</v>
      </c>
      <c r="D40" s="53" t="s">
        <v>153</v>
      </c>
      <c r="E40" s="50" t="s">
        <v>74</v>
      </c>
      <c r="F40" s="31">
        <v>0.36</v>
      </c>
      <c r="G40" s="32">
        <v>37.79</v>
      </c>
      <c r="H40" s="32">
        <v>48.461895999999996</v>
      </c>
      <c r="I40" s="32">
        <f t="shared" si="5"/>
        <v>13.6</v>
      </c>
      <c r="J40" s="33">
        <f t="shared" si="6"/>
        <v>17.446282559999997</v>
      </c>
    </row>
    <row r="41" spans="1:10" ht="9.75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1"/>
    </row>
    <row r="42" spans="1:10" s="8" customFormat="1" ht="12.75" customHeight="1">
      <c r="A42" s="43" t="s">
        <v>10</v>
      </c>
      <c r="B42" s="40"/>
      <c r="C42" s="47"/>
      <c r="D42" s="52" t="s">
        <v>131</v>
      </c>
      <c r="E42" s="49"/>
      <c r="F42" s="28"/>
      <c r="G42" s="29"/>
      <c r="H42" s="29"/>
      <c r="I42" s="29"/>
      <c r="J42" s="30"/>
    </row>
    <row r="43" spans="1:10" s="8" customFormat="1" ht="13.5" customHeight="1">
      <c r="A43" s="90"/>
      <c r="B43" s="91"/>
      <c r="C43" s="91"/>
      <c r="D43" s="91"/>
      <c r="E43" s="91"/>
      <c r="F43" s="91"/>
      <c r="G43" s="92"/>
      <c r="H43" s="252" t="s">
        <v>246</v>
      </c>
      <c r="I43" s="252"/>
      <c r="J43" s="36">
        <f>J44*15</f>
        <v>601.16347200000007</v>
      </c>
    </row>
    <row r="44" spans="1:10" s="8" customFormat="1" ht="13.5" customHeight="1">
      <c r="A44" s="45"/>
      <c r="B44" s="87"/>
      <c r="C44" s="89"/>
      <c r="D44" s="87"/>
      <c r="E44" s="88"/>
      <c r="F44" s="88"/>
      <c r="G44" s="89"/>
      <c r="H44" s="252" t="s">
        <v>247</v>
      </c>
      <c r="I44" s="252"/>
      <c r="J44" s="36">
        <f>SUM(J45:J46)</f>
        <v>40.077564800000005</v>
      </c>
    </row>
    <row r="45" spans="1:10" ht="18.75" customHeight="1">
      <c r="A45" s="44" t="s">
        <v>132</v>
      </c>
      <c r="B45" s="41">
        <v>99814</v>
      </c>
      <c r="C45" s="48" t="s">
        <v>25</v>
      </c>
      <c r="D45" s="53" t="s">
        <v>156</v>
      </c>
      <c r="E45" s="50" t="s">
        <v>74</v>
      </c>
      <c r="F45" s="31">
        <v>8.8000000000000007</v>
      </c>
      <c r="G45" s="32">
        <v>1.48</v>
      </c>
      <c r="H45" s="32">
        <v>1.8979519999999999</v>
      </c>
      <c r="I45" s="32">
        <f t="shared" ref="I45:I46" si="7">TRUNC(F45*G45,2)</f>
        <v>13.02</v>
      </c>
      <c r="J45" s="33">
        <f t="shared" ref="J45:J46" si="8">F45*H45</f>
        <v>16.701977599999999</v>
      </c>
    </row>
    <row r="46" spans="1:10" s="5" customFormat="1" ht="33">
      <c r="A46" s="44" t="s">
        <v>262</v>
      </c>
      <c r="B46" s="41">
        <v>97637</v>
      </c>
      <c r="C46" s="48" t="s">
        <v>25</v>
      </c>
      <c r="D46" s="53" t="s">
        <v>263</v>
      </c>
      <c r="E46" s="50" t="s">
        <v>74</v>
      </c>
      <c r="F46" s="31">
        <f>9.8</f>
        <v>9.8000000000000007</v>
      </c>
      <c r="G46" s="32">
        <v>1.86</v>
      </c>
      <c r="H46" s="32">
        <v>2.3852640000000003</v>
      </c>
      <c r="I46" s="32">
        <f t="shared" si="7"/>
        <v>18.22</v>
      </c>
      <c r="J46" s="33">
        <f t="shared" si="8"/>
        <v>23.375587200000005</v>
      </c>
    </row>
    <row r="47" spans="1:10" s="5" customFormat="1" ht="8.25" customHeight="1">
      <c r="A47" s="194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0">
      <c r="A48" s="295" t="s">
        <v>251</v>
      </c>
      <c r="B48" s="296"/>
      <c r="C48" s="296"/>
      <c r="D48" s="296"/>
      <c r="E48" s="296"/>
      <c r="F48" s="296"/>
      <c r="G48" s="296"/>
      <c r="H48" s="296"/>
      <c r="I48" s="297">
        <f>J12+J20+J30+J38+J44</f>
        <v>24557.864497840001</v>
      </c>
      <c r="J48" s="298"/>
    </row>
    <row r="49" spans="1:10">
      <c r="A49" s="295" t="s">
        <v>253</v>
      </c>
      <c r="B49" s="296"/>
      <c r="C49" s="296"/>
      <c r="D49" s="296"/>
      <c r="E49" s="296"/>
      <c r="F49" s="296"/>
      <c r="G49" s="296"/>
      <c r="H49" s="296"/>
      <c r="I49" s="297">
        <f>24557.86*15</f>
        <v>368367.9</v>
      </c>
      <c r="J49" s="298"/>
    </row>
    <row r="50" spans="1:10" ht="8.25" customHeight="1">
      <c r="A50" s="299"/>
      <c r="B50" s="299"/>
      <c r="C50" s="299"/>
      <c r="D50" s="299"/>
    </row>
    <row r="51" spans="1:10" ht="12" customHeight="1">
      <c r="A51" s="229" t="s">
        <v>135</v>
      </c>
      <c r="B51" s="229"/>
      <c r="C51" s="229"/>
      <c r="D51" s="229"/>
    </row>
    <row r="52" spans="1:10" ht="12" customHeight="1">
      <c r="A52" s="229" t="s">
        <v>136</v>
      </c>
      <c r="B52" s="229"/>
      <c r="C52" s="229"/>
      <c r="D52" s="229"/>
    </row>
  </sheetData>
  <mergeCells count="30">
    <mergeCell ref="H37:I37"/>
    <mergeCell ref="H38:I38"/>
    <mergeCell ref="A41:J41"/>
    <mergeCell ref="I48:J48"/>
    <mergeCell ref="A48:H48"/>
    <mergeCell ref="A19:D19"/>
    <mergeCell ref="H19:I19"/>
    <mergeCell ref="H20:I20"/>
    <mergeCell ref="A27:J27"/>
    <mergeCell ref="A35:J35"/>
    <mergeCell ref="H29:I29"/>
    <mergeCell ref="H30:I30"/>
    <mergeCell ref="D18:J18"/>
    <mergeCell ref="A2:J2"/>
    <mergeCell ref="A3:J3"/>
    <mergeCell ref="A4:J4"/>
    <mergeCell ref="A5:J5"/>
    <mergeCell ref="A6:J6"/>
    <mergeCell ref="A7:J7"/>
    <mergeCell ref="H12:I12"/>
    <mergeCell ref="A8:J8"/>
    <mergeCell ref="A11:D11"/>
    <mergeCell ref="H11:I11"/>
    <mergeCell ref="A51:D51"/>
    <mergeCell ref="A52:D52"/>
    <mergeCell ref="H43:I43"/>
    <mergeCell ref="H44:I44"/>
    <mergeCell ref="A50:D50"/>
    <mergeCell ref="A49:H49"/>
    <mergeCell ref="I49:J49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view="pageBreakPreview" topLeftCell="A37" zoomScale="115" zoomScaleNormal="100" zoomScaleSheetLayoutView="115" workbookViewId="0">
      <selection activeCell="J59" sqref="J59"/>
    </sheetView>
  </sheetViews>
  <sheetFormatPr defaultRowHeight="15"/>
  <cols>
    <col min="1" max="1" width="3.85546875" style="42" customWidth="1"/>
    <col min="2" max="2" width="5.7109375" style="39" customWidth="1"/>
    <col min="3" max="3" width="4.85546875" style="46" customWidth="1"/>
    <col min="4" max="4" width="26.85546875" style="51" customWidth="1"/>
    <col min="5" max="5" width="3.85546875" style="42" customWidth="1"/>
    <col min="6" max="6" width="6" style="26" customWidth="1"/>
    <col min="7" max="7" width="10.42578125" style="27" customWidth="1"/>
    <col min="8" max="8" width="11" style="27" customWidth="1"/>
    <col min="9" max="9" width="10.85546875" style="27" customWidth="1"/>
    <col min="10" max="10" width="13" style="27" customWidth="1"/>
    <col min="11" max="11" width="9.140625" customWidth="1"/>
    <col min="12" max="12" width="14.5703125" customWidth="1"/>
  </cols>
  <sheetData>
    <row r="1" spans="1:12" ht="9" customHeight="1" thickBot="1"/>
    <row r="2" spans="1:12" ht="72" customHeight="1">
      <c r="A2" s="269"/>
      <c r="B2" s="270"/>
      <c r="C2" s="270"/>
      <c r="D2" s="270"/>
      <c r="E2" s="270"/>
      <c r="F2" s="270"/>
      <c r="G2" s="270"/>
      <c r="H2" s="270"/>
      <c r="I2" s="270"/>
      <c r="J2" s="271"/>
    </row>
    <row r="3" spans="1:12" ht="12.75" customHeight="1">
      <c r="A3" s="272" t="s">
        <v>250</v>
      </c>
      <c r="B3" s="273"/>
      <c r="C3" s="273"/>
      <c r="D3" s="273"/>
      <c r="E3" s="273"/>
      <c r="F3" s="273"/>
      <c r="G3" s="273"/>
      <c r="H3" s="273"/>
      <c r="I3" s="273"/>
      <c r="J3" s="274"/>
    </row>
    <row r="4" spans="1:12" ht="13.5" customHeight="1">
      <c r="A4" s="272" t="s">
        <v>202</v>
      </c>
      <c r="B4" s="273"/>
      <c r="C4" s="273"/>
      <c r="D4" s="273"/>
      <c r="E4" s="273"/>
      <c r="F4" s="273"/>
      <c r="G4" s="273"/>
      <c r="H4" s="273"/>
      <c r="I4" s="273"/>
      <c r="J4" s="274"/>
    </row>
    <row r="5" spans="1:12" ht="12.75" customHeight="1">
      <c r="A5" s="272" t="s">
        <v>248</v>
      </c>
      <c r="B5" s="273"/>
      <c r="C5" s="273"/>
      <c r="D5" s="273"/>
      <c r="E5" s="273"/>
      <c r="F5" s="273"/>
      <c r="G5" s="273"/>
      <c r="H5" s="273"/>
      <c r="I5" s="273"/>
      <c r="J5" s="274"/>
    </row>
    <row r="6" spans="1:12" ht="12.75" customHeight="1">
      <c r="A6" s="272" t="s">
        <v>203</v>
      </c>
      <c r="B6" s="273"/>
      <c r="C6" s="273"/>
      <c r="D6" s="273"/>
      <c r="E6" s="273"/>
      <c r="F6" s="273"/>
      <c r="G6" s="273"/>
      <c r="H6" s="273"/>
      <c r="I6" s="273"/>
      <c r="J6" s="274"/>
    </row>
    <row r="7" spans="1:12" ht="14.25" customHeight="1" thickBot="1">
      <c r="A7" s="286" t="s">
        <v>306</v>
      </c>
      <c r="B7" s="287"/>
      <c r="C7" s="287"/>
      <c r="D7" s="287"/>
      <c r="E7" s="287"/>
      <c r="F7" s="287"/>
      <c r="G7" s="287"/>
      <c r="H7" s="287"/>
      <c r="I7" s="287"/>
      <c r="J7" s="288"/>
    </row>
    <row r="8" spans="1:12" ht="14.25" customHeight="1" thickBot="1">
      <c r="A8" s="277" t="s">
        <v>257</v>
      </c>
      <c r="B8" s="278"/>
      <c r="C8" s="278"/>
      <c r="D8" s="278"/>
      <c r="E8" s="278"/>
      <c r="F8" s="278"/>
      <c r="G8" s="278"/>
      <c r="H8" s="278"/>
      <c r="I8" s="278"/>
      <c r="J8" s="279"/>
    </row>
    <row r="9" spans="1:12" ht="19.5" customHeight="1">
      <c r="A9" s="81" t="s">
        <v>1</v>
      </c>
      <c r="B9" s="82" t="s">
        <v>13</v>
      </c>
      <c r="C9" s="82" t="s">
        <v>14</v>
      </c>
      <c r="D9" s="83" t="s">
        <v>15</v>
      </c>
      <c r="E9" s="82" t="s">
        <v>245</v>
      </c>
      <c r="F9" s="84" t="s">
        <v>17</v>
      </c>
      <c r="G9" s="85" t="s">
        <v>18</v>
      </c>
      <c r="H9" s="85" t="s">
        <v>19</v>
      </c>
      <c r="I9" s="85" t="s">
        <v>20</v>
      </c>
      <c r="J9" s="86" t="s">
        <v>21</v>
      </c>
    </row>
    <row r="10" spans="1:12" ht="15.75" customHeight="1">
      <c r="A10" s="43" t="s">
        <v>22</v>
      </c>
      <c r="B10" s="40"/>
      <c r="C10" s="47"/>
      <c r="D10" s="52" t="s">
        <v>23</v>
      </c>
      <c r="E10" s="49"/>
      <c r="F10" s="28"/>
      <c r="G10" s="29"/>
      <c r="H10" s="29"/>
      <c r="I10" s="29"/>
      <c r="J10" s="30"/>
    </row>
    <row r="11" spans="1:12" ht="15.75" customHeight="1">
      <c r="A11" s="280"/>
      <c r="B11" s="281"/>
      <c r="C11" s="281"/>
      <c r="D11" s="281"/>
      <c r="E11" s="88"/>
      <c r="F11" s="88"/>
      <c r="G11" s="88"/>
      <c r="H11" s="252" t="s">
        <v>246</v>
      </c>
      <c r="I11" s="252"/>
      <c r="J11" s="36">
        <f>J12*14</f>
        <v>76646.996159999995</v>
      </c>
    </row>
    <row r="12" spans="1:12" ht="18.75" customHeight="1">
      <c r="A12" s="109"/>
      <c r="B12" s="91"/>
      <c r="C12" s="92"/>
      <c r="D12" s="87"/>
      <c r="E12" s="88"/>
      <c r="F12" s="88"/>
      <c r="G12" s="88"/>
      <c r="H12" s="252" t="s">
        <v>247</v>
      </c>
      <c r="I12" s="252"/>
      <c r="J12" s="36">
        <f>SUM(J13:J16)</f>
        <v>5474.7854399999997</v>
      </c>
    </row>
    <row r="13" spans="1:12" ht="18.75" customHeight="1">
      <c r="A13" s="44" t="s">
        <v>24</v>
      </c>
      <c r="B13" s="41">
        <v>90777</v>
      </c>
      <c r="C13" s="48" t="s">
        <v>25</v>
      </c>
      <c r="D13" s="53" t="s">
        <v>137</v>
      </c>
      <c r="E13" s="50" t="s">
        <v>138</v>
      </c>
      <c r="F13" s="31">
        <v>9.6964285714285712</v>
      </c>
      <c r="G13" s="32">
        <v>89.11</v>
      </c>
      <c r="H13" s="32">
        <v>114.274664</v>
      </c>
      <c r="I13" s="32">
        <f t="shared" ref="I13:I14" si="0">TRUNC(F13*G13,2)</f>
        <v>864.04</v>
      </c>
      <c r="J13" s="33">
        <f>F13*H13</f>
        <v>1108.0561170000001</v>
      </c>
    </row>
    <row r="14" spans="1:12" ht="16.5">
      <c r="A14" s="44" t="s">
        <v>26</v>
      </c>
      <c r="B14" s="41">
        <v>90776</v>
      </c>
      <c r="C14" s="48" t="s">
        <v>25</v>
      </c>
      <c r="D14" s="53" t="s">
        <v>139</v>
      </c>
      <c r="E14" s="50" t="s">
        <v>138</v>
      </c>
      <c r="F14" s="31">
        <v>16.160714285714285</v>
      </c>
      <c r="G14" s="32">
        <v>22.23</v>
      </c>
      <c r="H14" s="32">
        <v>28.507752</v>
      </c>
      <c r="I14" s="32">
        <f t="shared" si="0"/>
        <v>359.25</v>
      </c>
      <c r="J14" s="33">
        <f t="shared" ref="J14:J16" si="1">F14*H14</f>
        <v>460.70563499999997</v>
      </c>
    </row>
    <row r="15" spans="1:12" ht="16.5">
      <c r="A15" s="44" t="s">
        <v>229</v>
      </c>
      <c r="B15" s="41" t="s">
        <v>27</v>
      </c>
      <c r="C15" s="48" t="s">
        <v>28</v>
      </c>
      <c r="D15" s="53" t="s">
        <v>29</v>
      </c>
      <c r="E15" s="50" t="s">
        <v>30</v>
      </c>
      <c r="F15" s="31">
        <v>1</v>
      </c>
      <c r="G15" s="32">
        <v>1115.28</v>
      </c>
      <c r="H15" s="32">
        <v>1430.2350719999999</v>
      </c>
      <c r="I15" s="32">
        <f>TRUNC(F15*G15,2)</f>
        <v>1115.28</v>
      </c>
      <c r="J15" s="33">
        <f t="shared" si="1"/>
        <v>1430.2350719999999</v>
      </c>
      <c r="L15">
        <v>1430.24</v>
      </c>
    </row>
    <row r="16" spans="1:12" ht="17.25" customHeight="1">
      <c r="A16" s="44" t="s">
        <v>312</v>
      </c>
      <c r="B16" s="117">
        <v>98459</v>
      </c>
      <c r="C16" s="118" t="s">
        <v>25</v>
      </c>
      <c r="D16" s="119" t="s">
        <v>261</v>
      </c>
      <c r="E16" s="122" t="s">
        <v>74</v>
      </c>
      <c r="F16" s="31">
        <v>19</v>
      </c>
      <c r="G16" s="120">
        <v>101.61</v>
      </c>
      <c r="H16" s="121">
        <v>130.304664</v>
      </c>
      <c r="I16" s="32">
        <f>G16*F16</f>
        <v>1930.59</v>
      </c>
      <c r="J16" s="33">
        <f t="shared" si="1"/>
        <v>2475.7886159999998</v>
      </c>
    </row>
    <row r="17" spans="1:10" s="5" customFormat="1" ht="12" customHeight="1">
      <c r="A17" s="93"/>
      <c r="B17" s="96"/>
      <c r="C17" s="96"/>
      <c r="D17" s="96"/>
      <c r="E17" s="96"/>
      <c r="F17" s="96"/>
      <c r="G17" s="96"/>
      <c r="H17" s="96"/>
      <c r="I17" s="96"/>
      <c r="J17" s="97"/>
    </row>
    <row r="18" spans="1:10" ht="15.75" customHeight="1">
      <c r="A18" s="43" t="s">
        <v>7</v>
      </c>
      <c r="B18" s="98"/>
      <c r="C18" s="99"/>
      <c r="D18" s="283" t="s">
        <v>32</v>
      </c>
      <c r="E18" s="284"/>
      <c r="F18" s="284"/>
      <c r="G18" s="284"/>
      <c r="H18" s="284"/>
      <c r="I18" s="284"/>
      <c r="J18" s="285"/>
    </row>
    <row r="19" spans="1:10" ht="15" customHeight="1">
      <c r="A19" s="280"/>
      <c r="B19" s="281"/>
      <c r="C19" s="281"/>
      <c r="D19" s="281"/>
      <c r="E19" s="88"/>
      <c r="F19" s="88"/>
      <c r="G19" s="88"/>
      <c r="H19" s="252" t="s">
        <v>246</v>
      </c>
      <c r="I19" s="252"/>
      <c r="J19" s="36">
        <f>J20*14</f>
        <v>392090.62554703996</v>
      </c>
    </row>
    <row r="20" spans="1:10" ht="15" customHeight="1">
      <c r="A20" s="45" t="s">
        <v>254</v>
      </c>
      <c r="B20" s="91"/>
      <c r="C20" s="92"/>
      <c r="D20" s="87" t="s">
        <v>41</v>
      </c>
      <c r="E20" s="88"/>
      <c r="F20" s="88"/>
      <c r="G20" s="88"/>
      <c r="H20" s="252" t="s">
        <v>247</v>
      </c>
      <c r="I20" s="252"/>
      <c r="J20" s="36">
        <f>SUM(J21:J26)</f>
        <v>28006.473253359996</v>
      </c>
    </row>
    <row r="21" spans="1:10" ht="36" customHeight="1">
      <c r="A21" s="44" t="s">
        <v>42</v>
      </c>
      <c r="B21" s="41">
        <v>96522</v>
      </c>
      <c r="C21" s="48" t="s">
        <v>25</v>
      </c>
      <c r="D21" s="53" t="s">
        <v>265</v>
      </c>
      <c r="E21" s="50" t="s">
        <v>140</v>
      </c>
      <c r="F21" s="31">
        <v>0.9</v>
      </c>
      <c r="G21" s="32">
        <v>113.6</v>
      </c>
      <c r="H21" s="32">
        <v>145.68063999999998</v>
      </c>
      <c r="I21" s="32">
        <f t="shared" ref="I21:I26" si="2">TRUNC(F21*G21,2)</f>
        <v>102.24</v>
      </c>
      <c r="J21" s="33">
        <f t="shared" ref="J21:J26" si="3">F21*H21</f>
        <v>131.11257599999999</v>
      </c>
    </row>
    <row r="22" spans="1:10" ht="16.5">
      <c r="A22" s="44" t="s">
        <v>221</v>
      </c>
      <c r="B22" s="41">
        <v>92799</v>
      </c>
      <c r="C22" s="48" t="s">
        <v>25</v>
      </c>
      <c r="D22" s="53" t="s">
        <v>142</v>
      </c>
      <c r="E22" s="50" t="s">
        <v>141</v>
      </c>
      <c r="F22" s="31">
        <v>45.39</v>
      </c>
      <c r="G22" s="32">
        <v>14.18</v>
      </c>
      <c r="H22" s="32">
        <v>18.184432000000001</v>
      </c>
      <c r="I22" s="32">
        <f t="shared" si="2"/>
        <v>643.63</v>
      </c>
      <c r="J22" s="33">
        <f t="shared" si="3"/>
        <v>825.3913684800001</v>
      </c>
    </row>
    <row r="23" spans="1:10" ht="24.75">
      <c r="A23" s="44" t="s">
        <v>222</v>
      </c>
      <c r="B23" s="41">
        <v>96544</v>
      </c>
      <c r="C23" s="48" t="s">
        <v>25</v>
      </c>
      <c r="D23" s="53" t="s">
        <v>264</v>
      </c>
      <c r="E23" s="50" t="s">
        <v>141</v>
      </c>
      <c r="F23" s="31">
        <v>102.14</v>
      </c>
      <c r="G23" s="32">
        <v>18.809999999999999</v>
      </c>
      <c r="H23" s="32">
        <v>24.121943999999999</v>
      </c>
      <c r="I23" s="32">
        <f t="shared" si="2"/>
        <v>1921.25</v>
      </c>
      <c r="J23" s="33">
        <f t="shared" si="3"/>
        <v>2463.8153601599997</v>
      </c>
    </row>
    <row r="24" spans="1:10" ht="33">
      <c r="A24" s="44" t="s">
        <v>223</v>
      </c>
      <c r="B24" s="41">
        <v>96556</v>
      </c>
      <c r="C24" s="48" t="s">
        <v>25</v>
      </c>
      <c r="D24" s="53" t="s">
        <v>143</v>
      </c>
      <c r="E24" s="50" t="s">
        <v>140</v>
      </c>
      <c r="F24" s="31">
        <v>1.02</v>
      </c>
      <c r="G24" s="32">
        <v>778.89</v>
      </c>
      <c r="H24" s="32">
        <v>998.84853599999997</v>
      </c>
      <c r="I24" s="32">
        <f t="shared" si="2"/>
        <v>794.46</v>
      </c>
      <c r="J24" s="33">
        <f t="shared" si="3"/>
        <v>1018.82550672</v>
      </c>
    </row>
    <row r="25" spans="1:10" ht="16.5">
      <c r="A25" s="44" t="s">
        <v>43</v>
      </c>
      <c r="B25" s="57" t="s">
        <v>285</v>
      </c>
      <c r="C25" s="58" t="s">
        <v>268</v>
      </c>
      <c r="D25" s="53" t="s">
        <v>291</v>
      </c>
      <c r="E25" s="50" t="s">
        <v>30</v>
      </c>
      <c r="F25" s="31">
        <v>1</v>
      </c>
      <c r="G25" s="62">
        <f>COMPOSIÇÃO!G49</f>
        <v>14.42</v>
      </c>
      <c r="H25" s="32">
        <v>23482.872783999999</v>
      </c>
      <c r="I25" s="32">
        <f t="shared" si="2"/>
        <v>14.42</v>
      </c>
      <c r="J25" s="33">
        <f t="shared" si="3"/>
        <v>23482.872783999999</v>
      </c>
    </row>
    <row r="26" spans="1:10" ht="24.75">
      <c r="A26" s="44" t="s">
        <v>224</v>
      </c>
      <c r="B26" s="41">
        <v>95241</v>
      </c>
      <c r="C26" s="48" t="s">
        <v>25</v>
      </c>
      <c r="D26" s="53" t="s">
        <v>144</v>
      </c>
      <c r="E26" s="50" t="s">
        <v>74</v>
      </c>
      <c r="F26" s="31">
        <v>2.25</v>
      </c>
      <c r="G26" s="32">
        <v>29.27</v>
      </c>
      <c r="H26" s="32">
        <v>37.535848000000001</v>
      </c>
      <c r="I26" s="32">
        <f t="shared" si="2"/>
        <v>65.849999999999994</v>
      </c>
      <c r="J26" s="33">
        <f t="shared" si="3"/>
        <v>84.455658</v>
      </c>
    </row>
    <row r="27" spans="1:10">
      <c r="A27" s="289"/>
      <c r="B27" s="290"/>
      <c r="C27" s="290"/>
      <c r="D27" s="290"/>
      <c r="E27" s="290"/>
      <c r="F27" s="290"/>
      <c r="G27" s="290"/>
      <c r="H27" s="290"/>
      <c r="I27" s="290"/>
      <c r="J27" s="291"/>
    </row>
    <row r="28" spans="1:10">
      <c r="A28" s="43" t="s">
        <v>8</v>
      </c>
      <c r="B28" s="105"/>
      <c r="C28" s="106"/>
      <c r="D28" s="98" t="s">
        <v>56</v>
      </c>
      <c r="E28" s="103"/>
      <c r="F28" s="103"/>
      <c r="G28" s="103"/>
      <c r="H28" s="103"/>
      <c r="I28" s="103"/>
      <c r="J28" s="104"/>
    </row>
    <row r="29" spans="1:10" ht="15" customHeight="1">
      <c r="A29" s="90"/>
      <c r="B29" s="91"/>
      <c r="C29" s="91"/>
      <c r="D29" s="91"/>
      <c r="E29" s="91"/>
      <c r="F29" s="91"/>
      <c r="G29" s="92"/>
      <c r="H29" s="252" t="s">
        <v>246</v>
      </c>
      <c r="I29" s="252"/>
      <c r="J29" s="36">
        <f>J30*14</f>
        <v>411886.90345674666</v>
      </c>
    </row>
    <row r="30" spans="1:10" ht="15" customHeight="1">
      <c r="A30" s="45" t="s">
        <v>66</v>
      </c>
      <c r="B30" s="87"/>
      <c r="C30" s="89"/>
      <c r="D30" s="87" t="s">
        <v>41</v>
      </c>
      <c r="E30" s="88"/>
      <c r="F30" s="88"/>
      <c r="G30" s="89"/>
      <c r="H30" s="252" t="s">
        <v>247</v>
      </c>
      <c r="I30" s="252"/>
      <c r="J30" s="36">
        <f>SUM(J31:J39)</f>
        <v>29420.493104053334</v>
      </c>
    </row>
    <row r="31" spans="1:10" ht="17.25" customHeight="1">
      <c r="A31" s="44" t="s">
        <v>67</v>
      </c>
      <c r="B31" s="41" t="s">
        <v>68</v>
      </c>
      <c r="C31" s="48" t="s">
        <v>28</v>
      </c>
      <c r="D31" s="53" t="s">
        <v>301</v>
      </c>
      <c r="E31" s="50" t="s">
        <v>30</v>
      </c>
      <c r="F31" s="31">
        <v>1</v>
      </c>
      <c r="G31" s="32">
        <v>2670.4559999999997</v>
      </c>
      <c r="H31" s="32">
        <v>3424.5927743999996</v>
      </c>
      <c r="I31" s="32">
        <v>2670.45</v>
      </c>
      <c r="J31" s="33">
        <f t="shared" ref="J31:J39" si="4">F31*H31</f>
        <v>3424.5927743999996</v>
      </c>
    </row>
    <row r="32" spans="1:10" ht="26.25" customHeight="1">
      <c r="A32" s="44" t="s">
        <v>69</v>
      </c>
      <c r="B32" s="41">
        <v>94216</v>
      </c>
      <c r="C32" s="48" t="s">
        <v>25</v>
      </c>
      <c r="D32" s="53" t="s">
        <v>145</v>
      </c>
      <c r="E32" s="50" t="s">
        <v>74</v>
      </c>
      <c r="F32" s="31">
        <v>18</v>
      </c>
      <c r="G32" s="32">
        <v>204.27</v>
      </c>
      <c r="H32" s="32">
        <v>261.955848</v>
      </c>
      <c r="I32" s="32">
        <v>4210.92</v>
      </c>
      <c r="J32" s="33">
        <f t="shared" si="4"/>
        <v>4715.2052640000002</v>
      </c>
    </row>
    <row r="33" spans="1:10" ht="27" customHeight="1">
      <c r="A33" s="44" t="s">
        <v>70</v>
      </c>
      <c r="B33" s="41">
        <v>100327</v>
      </c>
      <c r="C33" s="48" t="s">
        <v>25</v>
      </c>
      <c r="D33" s="53" t="s">
        <v>146</v>
      </c>
      <c r="E33" s="50" t="s">
        <v>147</v>
      </c>
      <c r="F33" s="31">
        <v>11.1</v>
      </c>
      <c r="G33" s="32">
        <v>67.91</v>
      </c>
      <c r="H33" s="32">
        <v>87.087783999999999</v>
      </c>
      <c r="I33" s="32">
        <v>758.35</v>
      </c>
      <c r="J33" s="33">
        <f t="shared" si="4"/>
        <v>966.67440239999996</v>
      </c>
    </row>
    <row r="34" spans="1:10" ht="33">
      <c r="A34" s="44" t="s">
        <v>71</v>
      </c>
      <c r="B34" s="41">
        <v>94227</v>
      </c>
      <c r="C34" s="48" t="s">
        <v>25</v>
      </c>
      <c r="D34" s="53" t="s">
        <v>150</v>
      </c>
      <c r="E34" s="50" t="s">
        <v>147</v>
      </c>
      <c r="F34" s="31">
        <v>17.7</v>
      </c>
      <c r="G34" s="32">
        <v>75.48</v>
      </c>
      <c r="H34" s="32">
        <v>96.795552000000001</v>
      </c>
      <c r="I34" s="32">
        <v>1354.05</v>
      </c>
      <c r="J34" s="33">
        <f t="shared" si="4"/>
        <v>1713.2812704</v>
      </c>
    </row>
    <row r="35" spans="1:10" ht="16.5">
      <c r="A35" s="44" t="s">
        <v>72</v>
      </c>
      <c r="B35" s="41" t="s">
        <v>297</v>
      </c>
      <c r="C35" s="48" t="s">
        <v>295</v>
      </c>
      <c r="D35" s="53" t="s">
        <v>296</v>
      </c>
      <c r="E35" s="50" t="s">
        <v>74</v>
      </c>
      <c r="F35" s="31">
        <f>7.65*2</f>
        <v>15.3</v>
      </c>
      <c r="G35" s="32">
        <v>234.17</v>
      </c>
      <c r="H35" s="32">
        <v>300.29960799999998</v>
      </c>
      <c r="I35" s="32">
        <v>1151.5999999999999</v>
      </c>
      <c r="J35" s="33">
        <f t="shared" si="4"/>
        <v>4594.5840023999999</v>
      </c>
    </row>
    <row r="36" spans="1:10" ht="18.75" customHeight="1">
      <c r="A36" s="44" t="s">
        <v>73</v>
      </c>
      <c r="B36" s="41" t="s">
        <v>300</v>
      </c>
      <c r="C36" s="48" t="s">
        <v>299</v>
      </c>
      <c r="D36" s="53" t="s">
        <v>298</v>
      </c>
      <c r="E36" s="50" t="s">
        <v>74</v>
      </c>
      <c r="F36" s="31">
        <v>12.299999999999999</v>
      </c>
      <c r="G36" s="32">
        <v>280.08</v>
      </c>
      <c r="H36" s="32">
        <v>359.17459199999996</v>
      </c>
      <c r="I36" s="32">
        <v>5304.62</v>
      </c>
      <c r="J36" s="33">
        <f t="shared" si="4"/>
        <v>4417.8474815999989</v>
      </c>
    </row>
    <row r="37" spans="1:10" ht="41.25">
      <c r="A37" s="44" t="s">
        <v>75</v>
      </c>
      <c r="B37" s="41">
        <v>100743</v>
      </c>
      <c r="C37" s="48" t="s">
        <v>25</v>
      </c>
      <c r="D37" s="53" t="s">
        <v>148</v>
      </c>
      <c r="E37" s="50" t="s">
        <v>74</v>
      </c>
      <c r="F37" s="31">
        <f>(34.83+18)+10%</f>
        <v>52.93</v>
      </c>
      <c r="G37" s="32">
        <v>8.86</v>
      </c>
      <c r="H37" s="32">
        <v>11.362063999999998</v>
      </c>
      <c r="I37" s="32">
        <f>TRUNC(F37*G37,2)</f>
        <v>468.95</v>
      </c>
      <c r="J37" s="33">
        <f t="shared" si="4"/>
        <v>601.39404751999996</v>
      </c>
    </row>
    <row r="38" spans="1:10" ht="18.75" customHeight="1">
      <c r="A38" s="44" t="s">
        <v>76</v>
      </c>
      <c r="B38" s="41">
        <v>88311</v>
      </c>
      <c r="C38" s="48" t="s">
        <v>25</v>
      </c>
      <c r="D38" s="53" t="s">
        <v>149</v>
      </c>
      <c r="E38" s="50" t="s">
        <v>138</v>
      </c>
      <c r="F38" s="31">
        <v>2</v>
      </c>
      <c r="G38" s="32">
        <v>20.61</v>
      </c>
      <c r="H38" s="32">
        <v>26.430263999999998</v>
      </c>
      <c r="I38" s="32">
        <f>TRUNC(F38*G38,2)</f>
        <v>41.22</v>
      </c>
      <c r="J38" s="33">
        <f t="shared" si="4"/>
        <v>52.860527999999995</v>
      </c>
    </row>
    <row r="39" spans="1:10" ht="16.5">
      <c r="A39" s="44" t="s">
        <v>212</v>
      </c>
      <c r="B39" s="41" t="s">
        <v>213</v>
      </c>
      <c r="C39" s="48" t="s">
        <v>214</v>
      </c>
      <c r="D39" s="53" t="s">
        <v>206</v>
      </c>
      <c r="E39" s="50" t="s">
        <v>30</v>
      </c>
      <c r="F39" s="31">
        <v>1</v>
      </c>
      <c r="G39" s="32">
        <v>6966.666666666667</v>
      </c>
      <c r="H39" s="32">
        <v>8934.0533333333333</v>
      </c>
      <c r="I39" s="32">
        <v>6966.66</v>
      </c>
      <c r="J39" s="33">
        <f t="shared" si="4"/>
        <v>8934.0533333333333</v>
      </c>
    </row>
    <row r="40" spans="1:10">
      <c r="A40" s="289"/>
      <c r="B40" s="290"/>
      <c r="C40" s="290"/>
      <c r="D40" s="290"/>
      <c r="E40" s="290"/>
      <c r="F40" s="290"/>
      <c r="G40" s="290"/>
      <c r="H40" s="290"/>
      <c r="I40" s="290"/>
      <c r="J40" s="291"/>
    </row>
    <row r="41" spans="1:10" ht="12" customHeight="1">
      <c r="A41" s="43" t="s">
        <v>9</v>
      </c>
      <c r="B41" s="40"/>
      <c r="C41" s="47"/>
      <c r="D41" s="52" t="s">
        <v>100</v>
      </c>
      <c r="E41" s="49"/>
      <c r="F41" s="28"/>
      <c r="G41" s="29"/>
      <c r="H41" s="29"/>
      <c r="I41" s="29"/>
      <c r="J41" s="30"/>
    </row>
    <row r="42" spans="1:10" ht="15" customHeight="1">
      <c r="A42" s="90"/>
      <c r="B42" s="91"/>
      <c r="C42" s="91"/>
      <c r="D42" s="91"/>
      <c r="E42" s="91"/>
      <c r="F42" s="91"/>
      <c r="G42" s="92"/>
      <c r="H42" s="252" t="s">
        <v>246</v>
      </c>
      <c r="I42" s="252"/>
      <c r="J42" s="36">
        <f>J43*14</f>
        <v>131465.85360383999</v>
      </c>
    </row>
    <row r="43" spans="1:10" ht="15" customHeight="1">
      <c r="A43" s="45" t="s">
        <v>107</v>
      </c>
      <c r="B43" s="87"/>
      <c r="C43" s="89"/>
      <c r="D43" s="87" t="s">
        <v>41</v>
      </c>
      <c r="E43" s="88"/>
      <c r="F43" s="88"/>
      <c r="G43" s="89"/>
      <c r="H43" s="252" t="s">
        <v>247</v>
      </c>
      <c r="I43" s="252"/>
      <c r="J43" s="36">
        <f>SUM(J44:J48)</f>
        <v>9390.4181145599996</v>
      </c>
    </row>
    <row r="44" spans="1:10" ht="42.75" customHeight="1">
      <c r="A44" s="44" t="s">
        <v>108</v>
      </c>
      <c r="B44" s="41">
        <v>103304</v>
      </c>
      <c r="C44" s="48" t="s">
        <v>25</v>
      </c>
      <c r="D44" s="53" t="s">
        <v>151</v>
      </c>
      <c r="E44" s="50" t="s">
        <v>152</v>
      </c>
      <c r="F44" s="31">
        <v>2</v>
      </c>
      <c r="G44" s="32">
        <v>1226.93</v>
      </c>
      <c r="H44" s="32">
        <v>1573.4150320000001</v>
      </c>
      <c r="I44" s="32">
        <f t="shared" ref="I44:I48" si="5">TRUNC(F44*G44,2)</f>
        <v>2453.86</v>
      </c>
      <c r="J44" s="33">
        <f t="shared" ref="J44:J48" si="6">F44*H44</f>
        <v>3146.8300640000002</v>
      </c>
    </row>
    <row r="45" spans="1:10" ht="41.25">
      <c r="A45" s="44" t="s">
        <v>109</v>
      </c>
      <c r="B45" s="41">
        <v>103307</v>
      </c>
      <c r="C45" s="48" t="s">
        <v>25</v>
      </c>
      <c r="D45" s="53" t="s">
        <v>154</v>
      </c>
      <c r="E45" s="50" t="s">
        <v>152</v>
      </c>
      <c r="F45" s="31">
        <v>2</v>
      </c>
      <c r="G45" s="32">
        <v>1302.3800000000001</v>
      </c>
      <c r="H45" s="32">
        <v>1670.1721120000002</v>
      </c>
      <c r="I45" s="32">
        <f t="shared" si="5"/>
        <v>2604.7600000000002</v>
      </c>
      <c r="J45" s="33">
        <f t="shared" si="6"/>
        <v>3340.3442240000004</v>
      </c>
    </row>
    <row r="46" spans="1:10" ht="24.75">
      <c r="A46" s="44" t="s">
        <v>110</v>
      </c>
      <c r="B46" s="41">
        <v>101094</v>
      </c>
      <c r="C46" s="48" t="s">
        <v>25</v>
      </c>
      <c r="D46" s="53" t="s">
        <v>155</v>
      </c>
      <c r="E46" s="50" t="s">
        <v>147</v>
      </c>
      <c r="F46" s="31">
        <v>6</v>
      </c>
      <c r="G46" s="32">
        <v>206.45</v>
      </c>
      <c r="H46" s="32">
        <v>264.75147999999996</v>
      </c>
      <c r="I46" s="32">
        <f t="shared" si="5"/>
        <v>1238.7</v>
      </c>
      <c r="J46" s="33">
        <f t="shared" si="6"/>
        <v>1588.5088799999999</v>
      </c>
    </row>
    <row r="47" spans="1:10" ht="33">
      <c r="A47" s="44" t="s">
        <v>111</v>
      </c>
      <c r="B47" s="41">
        <v>102513</v>
      </c>
      <c r="C47" s="48" t="s">
        <v>25</v>
      </c>
      <c r="D47" s="53" t="s">
        <v>153</v>
      </c>
      <c r="E47" s="50" t="s">
        <v>74</v>
      </c>
      <c r="F47" s="31">
        <v>0.36</v>
      </c>
      <c r="G47" s="32">
        <v>37.79</v>
      </c>
      <c r="H47" s="32">
        <v>48.461895999999996</v>
      </c>
      <c r="I47" s="32">
        <f t="shared" si="5"/>
        <v>13.6</v>
      </c>
      <c r="J47" s="33">
        <f t="shared" si="6"/>
        <v>17.446282559999997</v>
      </c>
    </row>
    <row r="48" spans="1:10" ht="16.5">
      <c r="A48" s="44" t="s">
        <v>112</v>
      </c>
      <c r="B48" s="41" t="s">
        <v>113</v>
      </c>
      <c r="C48" s="48" t="s">
        <v>28</v>
      </c>
      <c r="D48" s="53" t="s">
        <v>114</v>
      </c>
      <c r="E48" s="50" t="s">
        <v>30</v>
      </c>
      <c r="F48" s="31">
        <v>1</v>
      </c>
      <c r="G48" s="32">
        <v>1011.61</v>
      </c>
      <c r="H48" s="32">
        <v>1297.2886639999999</v>
      </c>
      <c r="I48" s="32">
        <f t="shared" si="5"/>
        <v>1011.61</v>
      </c>
      <c r="J48" s="33">
        <f t="shared" si="6"/>
        <v>1297.2886639999999</v>
      </c>
    </row>
    <row r="49" spans="1:10">
      <c r="A49" s="289"/>
      <c r="B49" s="290"/>
      <c r="C49" s="290"/>
      <c r="D49" s="290"/>
      <c r="E49" s="290"/>
      <c r="F49" s="290"/>
      <c r="G49" s="290"/>
      <c r="H49" s="290"/>
      <c r="I49" s="290"/>
      <c r="J49" s="291"/>
    </row>
    <row r="50" spans="1:10" s="8" customFormat="1" ht="12.75" customHeight="1">
      <c r="A50" s="43" t="s">
        <v>10</v>
      </c>
      <c r="B50" s="40"/>
      <c r="C50" s="47"/>
      <c r="D50" s="52" t="s">
        <v>131</v>
      </c>
      <c r="E50" s="49"/>
      <c r="F50" s="28"/>
      <c r="G50" s="29"/>
      <c r="H50" s="29"/>
      <c r="I50" s="29"/>
      <c r="J50" s="30"/>
    </row>
    <row r="51" spans="1:10" s="8" customFormat="1" ht="12.75" customHeight="1">
      <c r="A51" s="90"/>
      <c r="B51" s="91"/>
      <c r="C51" s="91"/>
      <c r="D51" s="91"/>
      <c r="E51" s="91"/>
      <c r="F51" s="91"/>
      <c r="G51" s="92"/>
      <c r="H51" s="252" t="s">
        <v>246</v>
      </c>
      <c r="I51" s="252"/>
      <c r="J51" s="36">
        <f>J52*14</f>
        <v>1112.7641279999998</v>
      </c>
    </row>
    <row r="52" spans="1:10" s="8" customFormat="1" ht="12.75" customHeight="1">
      <c r="A52" s="45"/>
      <c r="B52" s="87"/>
      <c r="C52" s="89"/>
      <c r="D52" s="87"/>
      <c r="E52" s="88"/>
      <c r="F52" s="88"/>
      <c r="G52" s="89"/>
      <c r="H52" s="252" t="s">
        <v>247</v>
      </c>
      <c r="I52" s="252"/>
      <c r="J52" s="36">
        <f>SUM(J53:J54)</f>
        <v>79.48315199999999</v>
      </c>
    </row>
    <row r="53" spans="1:10" ht="18.75" customHeight="1">
      <c r="A53" s="44" t="s">
        <v>132</v>
      </c>
      <c r="B53" s="41">
        <v>99814</v>
      </c>
      <c r="C53" s="48" t="s">
        <v>25</v>
      </c>
      <c r="D53" s="53" t="s">
        <v>156</v>
      </c>
      <c r="E53" s="50" t="s">
        <v>74</v>
      </c>
      <c r="F53" s="31">
        <v>18</v>
      </c>
      <c r="G53" s="32">
        <v>1.48</v>
      </c>
      <c r="H53" s="32">
        <v>1.8979519999999999</v>
      </c>
      <c r="I53" s="32">
        <f t="shared" ref="I53:I54" si="7">TRUNC(F53*G53,2)</f>
        <v>26.64</v>
      </c>
      <c r="J53" s="33">
        <f t="shared" ref="J53:J54" si="8">F53*H53</f>
        <v>34.163135999999994</v>
      </c>
    </row>
    <row r="54" spans="1:10" s="5" customFormat="1" ht="33">
      <c r="A54" s="44" t="s">
        <v>262</v>
      </c>
      <c r="B54" s="41">
        <v>97637</v>
      </c>
      <c r="C54" s="48" t="s">
        <v>25</v>
      </c>
      <c r="D54" s="53" t="s">
        <v>263</v>
      </c>
      <c r="E54" s="50" t="s">
        <v>74</v>
      </c>
      <c r="F54" s="31">
        <f>19</f>
        <v>19</v>
      </c>
      <c r="G54" s="32">
        <v>1.86</v>
      </c>
      <c r="H54" s="32">
        <v>2.3852640000000003</v>
      </c>
      <c r="I54" s="32">
        <f t="shared" si="7"/>
        <v>35.340000000000003</v>
      </c>
      <c r="J54" s="33">
        <f t="shared" si="8"/>
        <v>45.320016000000003</v>
      </c>
    </row>
    <row r="55" spans="1:10" ht="17.25" customHeight="1">
      <c r="A55" s="264" t="s">
        <v>251</v>
      </c>
      <c r="B55" s="265"/>
      <c r="C55" s="265"/>
      <c r="D55" s="265"/>
      <c r="E55" s="265"/>
      <c r="F55" s="265"/>
      <c r="G55" s="265"/>
      <c r="H55" s="266"/>
      <c r="I55" s="253">
        <f>J12+J20+J30+J43+J52</f>
        <v>72371.653063973325</v>
      </c>
      <c r="J55" s="254"/>
    </row>
    <row r="56" spans="1:10" ht="15.75" thickBot="1">
      <c r="A56" s="261" t="s">
        <v>253</v>
      </c>
      <c r="B56" s="262"/>
      <c r="C56" s="262"/>
      <c r="D56" s="262"/>
      <c r="E56" s="262"/>
      <c r="F56" s="262"/>
      <c r="G56" s="262"/>
      <c r="H56" s="263"/>
      <c r="I56" s="259">
        <f>72371.65*14</f>
        <v>1013203.0999999999</v>
      </c>
      <c r="J56" s="260"/>
    </row>
    <row r="57" spans="1:10" ht="12" customHeight="1">
      <c r="A57" s="299"/>
      <c r="B57" s="299"/>
      <c r="C57" s="299"/>
      <c r="D57" s="299"/>
    </row>
    <row r="58" spans="1:10" ht="10.5" customHeight="1">
      <c r="A58" s="229" t="s">
        <v>135</v>
      </c>
      <c r="B58" s="229"/>
      <c r="C58" s="229"/>
      <c r="D58" s="229"/>
    </row>
    <row r="59" spans="1:10" ht="9.75" customHeight="1">
      <c r="A59" s="229" t="s">
        <v>136</v>
      </c>
      <c r="B59" s="229"/>
      <c r="C59" s="229"/>
      <c r="D59" s="229"/>
    </row>
  </sheetData>
  <mergeCells count="30">
    <mergeCell ref="A27:J27"/>
    <mergeCell ref="A40:J40"/>
    <mergeCell ref="A58:D58"/>
    <mergeCell ref="A59:D59"/>
    <mergeCell ref="I55:J55"/>
    <mergeCell ref="A57:D57"/>
    <mergeCell ref="A55:H55"/>
    <mergeCell ref="A56:H56"/>
    <mergeCell ref="I56:J56"/>
    <mergeCell ref="H43:I43"/>
    <mergeCell ref="H42:I42"/>
    <mergeCell ref="H51:I51"/>
    <mergeCell ref="H52:I52"/>
    <mergeCell ref="A49:J49"/>
    <mergeCell ref="H30:I30"/>
    <mergeCell ref="H29:I29"/>
    <mergeCell ref="A19:D19"/>
    <mergeCell ref="H19:I19"/>
    <mergeCell ref="H20:I20"/>
    <mergeCell ref="D18:J18"/>
    <mergeCell ref="A2:J2"/>
    <mergeCell ref="A3:J3"/>
    <mergeCell ref="A4:J4"/>
    <mergeCell ref="A5:J5"/>
    <mergeCell ref="A6:J6"/>
    <mergeCell ref="A7:J7"/>
    <mergeCell ref="A8:J8"/>
    <mergeCell ref="H12:I12"/>
    <mergeCell ref="A11:D11"/>
    <mergeCell ref="H11:I11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view="pageBreakPreview" topLeftCell="A46" zoomScale="115" zoomScaleNormal="100" zoomScaleSheetLayoutView="115" workbookViewId="0">
      <selection activeCell="I55" sqref="I55:J55"/>
    </sheetView>
  </sheetViews>
  <sheetFormatPr defaultRowHeight="15"/>
  <cols>
    <col min="1" max="1" width="3.85546875" style="42" customWidth="1"/>
    <col min="2" max="2" width="5.7109375" style="39" customWidth="1"/>
    <col min="3" max="3" width="4.85546875" style="46" customWidth="1"/>
    <col min="4" max="4" width="26.85546875" style="51" customWidth="1"/>
    <col min="5" max="5" width="3.85546875" style="42" customWidth="1"/>
    <col min="6" max="6" width="6" style="26" customWidth="1"/>
    <col min="7" max="7" width="10.42578125" style="27" customWidth="1"/>
    <col min="8" max="8" width="11" style="27" customWidth="1"/>
    <col min="9" max="9" width="10.85546875" style="27" customWidth="1"/>
    <col min="10" max="10" width="13" style="27" customWidth="1"/>
    <col min="11" max="11" width="3.42578125" customWidth="1"/>
    <col min="12" max="12" width="9.140625" customWidth="1"/>
  </cols>
  <sheetData>
    <row r="1" spans="1:10" ht="15.75" thickBot="1"/>
    <row r="2" spans="1:10" ht="72" customHeight="1">
      <c r="A2" s="269"/>
      <c r="B2" s="270"/>
      <c r="C2" s="270"/>
      <c r="D2" s="270"/>
      <c r="E2" s="270"/>
      <c r="F2" s="270"/>
      <c r="G2" s="270"/>
      <c r="H2" s="270"/>
      <c r="I2" s="270"/>
      <c r="J2" s="271"/>
    </row>
    <row r="3" spans="1:10">
      <c r="A3" s="272" t="s">
        <v>250</v>
      </c>
      <c r="B3" s="273"/>
      <c r="C3" s="273"/>
      <c r="D3" s="273"/>
      <c r="E3" s="273"/>
      <c r="F3" s="273"/>
      <c r="G3" s="273"/>
      <c r="H3" s="273"/>
      <c r="I3" s="273"/>
      <c r="J3" s="274"/>
    </row>
    <row r="4" spans="1:10">
      <c r="A4" s="272" t="s">
        <v>202</v>
      </c>
      <c r="B4" s="273"/>
      <c r="C4" s="273"/>
      <c r="D4" s="273"/>
      <c r="E4" s="273"/>
      <c r="F4" s="273"/>
      <c r="G4" s="273"/>
      <c r="H4" s="273"/>
      <c r="I4" s="273"/>
      <c r="J4" s="274"/>
    </row>
    <row r="5" spans="1:10">
      <c r="A5" s="272" t="s">
        <v>248</v>
      </c>
      <c r="B5" s="273"/>
      <c r="C5" s="273"/>
      <c r="D5" s="273"/>
      <c r="E5" s="273"/>
      <c r="F5" s="273"/>
      <c r="G5" s="273"/>
      <c r="H5" s="273"/>
      <c r="I5" s="273"/>
      <c r="J5" s="274"/>
    </row>
    <row r="6" spans="1:10">
      <c r="A6" s="272" t="s">
        <v>203</v>
      </c>
      <c r="B6" s="273"/>
      <c r="C6" s="273"/>
      <c r="D6" s="273"/>
      <c r="E6" s="273"/>
      <c r="F6" s="273"/>
      <c r="G6" s="273"/>
      <c r="H6" s="273"/>
      <c r="I6" s="273"/>
      <c r="J6" s="274"/>
    </row>
    <row r="7" spans="1:10" ht="15.75" thickBot="1">
      <c r="A7" s="286" t="s">
        <v>306</v>
      </c>
      <c r="B7" s="287"/>
      <c r="C7" s="287"/>
      <c r="D7" s="287"/>
      <c r="E7" s="287"/>
      <c r="F7" s="287"/>
      <c r="G7" s="287"/>
      <c r="H7" s="287"/>
      <c r="I7" s="287"/>
      <c r="J7" s="288"/>
    </row>
    <row r="8" spans="1:10" ht="14.25" customHeight="1" thickBot="1">
      <c r="A8" s="277" t="s">
        <v>258</v>
      </c>
      <c r="B8" s="278"/>
      <c r="C8" s="278"/>
      <c r="D8" s="278"/>
      <c r="E8" s="278"/>
      <c r="F8" s="278"/>
      <c r="G8" s="278"/>
      <c r="H8" s="278"/>
      <c r="I8" s="278"/>
      <c r="J8" s="279"/>
    </row>
    <row r="9" spans="1:10" ht="19.5" customHeight="1">
      <c r="A9" s="81" t="s">
        <v>1</v>
      </c>
      <c r="B9" s="82" t="s">
        <v>13</v>
      </c>
      <c r="C9" s="82" t="s">
        <v>14</v>
      </c>
      <c r="D9" s="83" t="s">
        <v>15</v>
      </c>
      <c r="E9" s="82" t="s">
        <v>245</v>
      </c>
      <c r="F9" s="84" t="s">
        <v>17</v>
      </c>
      <c r="G9" s="85" t="s">
        <v>18</v>
      </c>
      <c r="H9" s="85" t="s">
        <v>19</v>
      </c>
      <c r="I9" s="85" t="s">
        <v>20</v>
      </c>
      <c r="J9" s="86" t="s">
        <v>21</v>
      </c>
    </row>
    <row r="10" spans="1:10" ht="15.75" customHeight="1">
      <c r="A10" s="43" t="s">
        <v>22</v>
      </c>
      <c r="B10" s="40"/>
      <c r="C10" s="47"/>
      <c r="D10" s="52" t="s">
        <v>23</v>
      </c>
      <c r="E10" s="49"/>
      <c r="F10" s="28"/>
      <c r="G10" s="29"/>
      <c r="H10" s="29"/>
      <c r="I10" s="29"/>
      <c r="J10" s="30"/>
    </row>
    <row r="11" spans="1:10" ht="15.75" customHeight="1">
      <c r="A11" s="280"/>
      <c r="B11" s="281"/>
      <c r="C11" s="281"/>
      <c r="D11" s="281"/>
      <c r="E11" s="88"/>
      <c r="F11" s="88"/>
      <c r="G11" s="88"/>
      <c r="H11" s="252" t="s">
        <v>246</v>
      </c>
      <c r="I11" s="252"/>
      <c r="J11" s="36">
        <f>J12*5</f>
        <v>62556.186479999997</v>
      </c>
    </row>
    <row r="12" spans="1:10" ht="15.75" customHeight="1">
      <c r="A12" s="109"/>
      <c r="B12" s="91"/>
      <c r="C12" s="92"/>
      <c r="D12" s="87"/>
      <c r="E12" s="88"/>
      <c r="F12" s="88"/>
      <c r="G12" s="88"/>
      <c r="H12" s="252" t="s">
        <v>247</v>
      </c>
      <c r="I12" s="252"/>
      <c r="J12" s="36">
        <f>SUM(J13:J16)</f>
        <v>12511.237295999999</v>
      </c>
    </row>
    <row r="13" spans="1:10" ht="15.75" customHeight="1">
      <c r="A13" s="44" t="s">
        <v>24</v>
      </c>
      <c r="B13" s="41">
        <v>90777</v>
      </c>
      <c r="C13" s="48" t="s">
        <v>25</v>
      </c>
      <c r="D13" s="53" t="s">
        <v>137</v>
      </c>
      <c r="E13" s="50" t="s">
        <v>138</v>
      </c>
      <c r="F13" s="31">
        <v>9.6964285714285712</v>
      </c>
      <c r="G13" s="32">
        <v>89.11</v>
      </c>
      <c r="H13" s="32">
        <v>114.274664</v>
      </c>
      <c r="I13" s="32">
        <f t="shared" ref="I13:I14" si="0">TRUNC(F13*G13,2)</f>
        <v>864.04</v>
      </c>
      <c r="J13" s="33">
        <f>F13*H13</f>
        <v>1108.0561170000001</v>
      </c>
    </row>
    <row r="14" spans="1:10" ht="16.5">
      <c r="A14" s="44" t="s">
        <v>26</v>
      </c>
      <c r="B14" s="41">
        <v>90776</v>
      </c>
      <c r="C14" s="48" t="s">
        <v>25</v>
      </c>
      <c r="D14" s="53" t="s">
        <v>139</v>
      </c>
      <c r="E14" s="50" t="s">
        <v>138</v>
      </c>
      <c r="F14" s="31">
        <v>16.160714285714285</v>
      </c>
      <c r="G14" s="32">
        <v>22.23</v>
      </c>
      <c r="H14" s="32">
        <v>28.507752</v>
      </c>
      <c r="I14" s="32">
        <f t="shared" si="0"/>
        <v>359.25</v>
      </c>
      <c r="J14" s="33">
        <f t="shared" ref="J14:J16" si="1">F14*H14</f>
        <v>460.70563499999997</v>
      </c>
    </row>
    <row r="15" spans="1:10" ht="16.5">
      <c r="A15" s="44" t="s">
        <v>229</v>
      </c>
      <c r="B15" s="41" t="s">
        <v>27</v>
      </c>
      <c r="C15" s="48" t="s">
        <v>28</v>
      </c>
      <c r="D15" s="53" t="s">
        <v>29</v>
      </c>
      <c r="E15" s="50" t="s">
        <v>30</v>
      </c>
      <c r="F15" s="31">
        <v>1</v>
      </c>
      <c r="G15" s="32">
        <v>1115.28</v>
      </c>
      <c r="H15" s="32">
        <v>1430.2350719999999</v>
      </c>
      <c r="I15" s="32">
        <f>TRUNC(F15*G15,2)</f>
        <v>1115.28</v>
      </c>
      <c r="J15" s="33">
        <f t="shared" si="1"/>
        <v>1430.2350719999999</v>
      </c>
    </row>
    <row r="16" spans="1:10" ht="17.25" customHeight="1">
      <c r="A16" s="44" t="s">
        <v>312</v>
      </c>
      <c r="B16" s="117">
        <v>98459</v>
      </c>
      <c r="C16" s="118" t="s">
        <v>25</v>
      </c>
      <c r="D16" s="119" t="s">
        <v>261</v>
      </c>
      <c r="E16" s="122" t="s">
        <v>74</v>
      </c>
      <c r="F16" s="31">
        <v>73</v>
      </c>
      <c r="G16" s="120">
        <v>101.61</v>
      </c>
      <c r="H16" s="121">
        <v>130.304664</v>
      </c>
      <c r="I16" s="32">
        <f>G16*F16</f>
        <v>7417.53</v>
      </c>
      <c r="J16" s="33">
        <f t="shared" si="1"/>
        <v>9512.2404719999995</v>
      </c>
    </row>
    <row r="17" spans="1:10" s="5" customFormat="1" ht="12" customHeight="1">
      <c r="A17" s="93"/>
      <c r="B17" s="96"/>
      <c r="C17" s="96"/>
      <c r="D17" s="96"/>
      <c r="E17" s="96"/>
      <c r="F17" s="96"/>
      <c r="G17" s="96"/>
      <c r="H17" s="96"/>
      <c r="I17" s="96"/>
      <c r="J17" s="97"/>
    </row>
    <row r="18" spans="1:10" ht="15.75" customHeight="1">
      <c r="A18" s="43" t="s">
        <v>7</v>
      </c>
      <c r="B18" s="98"/>
      <c r="C18" s="99"/>
      <c r="D18" s="283" t="s">
        <v>32</v>
      </c>
      <c r="E18" s="284"/>
      <c r="F18" s="284"/>
      <c r="G18" s="284"/>
      <c r="H18" s="284"/>
      <c r="I18" s="284"/>
      <c r="J18" s="285"/>
    </row>
    <row r="19" spans="1:10" ht="15" customHeight="1">
      <c r="A19" s="280"/>
      <c r="B19" s="281"/>
      <c r="C19" s="281"/>
      <c r="D19" s="281"/>
      <c r="E19" s="88"/>
      <c r="F19" s="88"/>
      <c r="G19" s="88"/>
      <c r="H19" s="252" t="s">
        <v>246</v>
      </c>
      <c r="I19" s="252"/>
      <c r="J19" s="36">
        <f>J20*5</f>
        <v>548481.79648080003</v>
      </c>
    </row>
    <row r="20" spans="1:10" ht="15" customHeight="1">
      <c r="A20" s="45" t="s">
        <v>44</v>
      </c>
      <c r="B20" s="87"/>
      <c r="C20" s="89"/>
      <c r="D20" s="87" t="s">
        <v>45</v>
      </c>
      <c r="E20" s="88"/>
      <c r="F20" s="88"/>
      <c r="G20" s="89"/>
      <c r="H20" s="252" t="s">
        <v>247</v>
      </c>
      <c r="I20" s="252"/>
      <c r="J20" s="36">
        <f>SUM(J21:J26)</f>
        <v>109696.35929615999</v>
      </c>
    </row>
    <row r="21" spans="1:10" ht="33">
      <c r="A21" s="44" t="s">
        <v>46</v>
      </c>
      <c r="B21" s="41">
        <v>96522</v>
      </c>
      <c r="C21" s="48" t="s">
        <v>25</v>
      </c>
      <c r="D21" s="53" t="s">
        <v>265</v>
      </c>
      <c r="E21" s="50" t="s">
        <v>140</v>
      </c>
      <c r="F21" s="31">
        <v>3.8</v>
      </c>
      <c r="G21" s="32">
        <v>113.6</v>
      </c>
      <c r="H21" s="32">
        <v>145.68063999999998</v>
      </c>
      <c r="I21" s="32">
        <f t="shared" ref="I21:I26" si="2">TRUNC(F21*G21,2)</f>
        <v>431.68</v>
      </c>
      <c r="J21" s="33">
        <f t="shared" ref="J21:J26" si="3">F21*H21</f>
        <v>553.58643199999995</v>
      </c>
    </row>
    <row r="22" spans="1:10" ht="16.5">
      <c r="A22" s="44" t="s">
        <v>230</v>
      </c>
      <c r="B22" s="41">
        <v>92799</v>
      </c>
      <c r="C22" s="48" t="s">
        <v>25</v>
      </c>
      <c r="D22" s="53" t="s">
        <v>142</v>
      </c>
      <c r="E22" s="50" t="s">
        <v>141</v>
      </c>
      <c r="F22" s="31">
        <v>185.56</v>
      </c>
      <c r="G22" s="32">
        <v>14.18</v>
      </c>
      <c r="H22" s="32">
        <v>18.184432000000001</v>
      </c>
      <c r="I22" s="32">
        <f t="shared" si="2"/>
        <v>2631.24</v>
      </c>
      <c r="J22" s="33">
        <f t="shared" si="3"/>
        <v>3374.3032019200004</v>
      </c>
    </row>
    <row r="23" spans="1:10" ht="24.75">
      <c r="A23" s="44" t="s">
        <v>231</v>
      </c>
      <c r="B23" s="41">
        <v>96544</v>
      </c>
      <c r="C23" s="48" t="s">
        <v>25</v>
      </c>
      <c r="D23" s="53" t="s">
        <v>264</v>
      </c>
      <c r="E23" s="50" t="s">
        <v>141</v>
      </c>
      <c r="F23" s="31">
        <v>417.51</v>
      </c>
      <c r="G23" s="32">
        <v>18.809999999999999</v>
      </c>
      <c r="H23" s="32">
        <v>24.121943999999999</v>
      </c>
      <c r="I23" s="32">
        <f t="shared" si="2"/>
        <v>7853.36</v>
      </c>
      <c r="J23" s="33">
        <f t="shared" si="3"/>
        <v>10071.152839439999</v>
      </c>
    </row>
    <row r="24" spans="1:10" ht="33">
      <c r="A24" s="44" t="s">
        <v>232</v>
      </c>
      <c r="B24" s="41">
        <v>96556</v>
      </c>
      <c r="C24" s="48" t="s">
        <v>25</v>
      </c>
      <c r="D24" s="53" t="s">
        <v>143</v>
      </c>
      <c r="E24" s="50" t="s">
        <v>140</v>
      </c>
      <c r="F24" s="31">
        <v>3.8</v>
      </c>
      <c r="G24" s="32">
        <v>778.89</v>
      </c>
      <c r="H24" s="32">
        <v>998.84853599999997</v>
      </c>
      <c r="I24" s="32">
        <f t="shared" si="2"/>
        <v>2959.78</v>
      </c>
      <c r="J24" s="33">
        <f t="shared" si="3"/>
        <v>3795.6244367999998</v>
      </c>
    </row>
    <row r="25" spans="1:10" ht="16.5">
      <c r="A25" s="44" t="s">
        <v>47</v>
      </c>
      <c r="B25" s="57" t="s">
        <v>287</v>
      </c>
      <c r="C25" s="58" t="s">
        <v>268</v>
      </c>
      <c r="D25" s="53" t="s">
        <v>290</v>
      </c>
      <c r="E25" s="50" t="s">
        <v>30</v>
      </c>
      <c r="F25" s="31">
        <v>1</v>
      </c>
      <c r="G25" s="62">
        <f>COMPOSIÇÃO!G51</f>
        <v>7.49</v>
      </c>
      <c r="H25" s="32">
        <v>91216.663159999996</v>
      </c>
      <c r="I25" s="32">
        <f t="shared" si="2"/>
        <v>7.49</v>
      </c>
      <c r="J25" s="33">
        <f t="shared" si="3"/>
        <v>91216.663159999996</v>
      </c>
    </row>
    <row r="26" spans="1:10" ht="27" customHeight="1">
      <c r="A26" s="44" t="s">
        <v>233</v>
      </c>
      <c r="B26" s="41">
        <v>95241</v>
      </c>
      <c r="C26" s="48" t="s">
        <v>25</v>
      </c>
      <c r="D26" s="53" t="s">
        <v>144</v>
      </c>
      <c r="E26" s="50" t="s">
        <v>74</v>
      </c>
      <c r="F26" s="31">
        <v>18.25</v>
      </c>
      <c r="G26" s="32">
        <v>29.27</v>
      </c>
      <c r="H26" s="32">
        <v>37.535848000000001</v>
      </c>
      <c r="I26" s="32">
        <f t="shared" si="2"/>
        <v>534.16999999999996</v>
      </c>
      <c r="J26" s="33">
        <f t="shared" si="3"/>
        <v>685.02922599999999</v>
      </c>
    </row>
    <row r="27" spans="1:10" ht="9.75" customHeight="1">
      <c r="A27" s="289"/>
      <c r="B27" s="290"/>
      <c r="C27" s="290"/>
      <c r="D27" s="290"/>
      <c r="E27" s="290"/>
      <c r="F27" s="290"/>
      <c r="G27" s="290"/>
      <c r="H27" s="290"/>
      <c r="I27" s="290"/>
      <c r="J27" s="291"/>
    </row>
    <row r="28" spans="1:10">
      <c r="A28" s="43" t="s">
        <v>8</v>
      </c>
      <c r="B28" s="105"/>
      <c r="C28" s="106"/>
      <c r="D28" s="98" t="s">
        <v>56</v>
      </c>
      <c r="E28" s="103"/>
      <c r="F28" s="103"/>
      <c r="G28" s="103"/>
      <c r="H28" s="103"/>
      <c r="I28" s="103"/>
      <c r="J28" s="104"/>
    </row>
    <row r="29" spans="1:10" ht="15" customHeight="1">
      <c r="A29" s="90"/>
      <c r="B29" s="91"/>
      <c r="C29" s="91"/>
      <c r="D29" s="91"/>
      <c r="E29" s="91"/>
      <c r="F29" s="91"/>
      <c r="G29" s="92"/>
      <c r="H29" s="252" t="s">
        <v>246</v>
      </c>
      <c r="I29" s="252"/>
      <c r="J29" s="36">
        <f>J30*5</f>
        <v>461681.55356026668</v>
      </c>
    </row>
    <row r="30" spans="1:10" ht="15" customHeight="1">
      <c r="A30" s="45" t="s">
        <v>77</v>
      </c>
      <c r="B30" s="87"/>
      <c r="C30" s="89"/>
      <c r="D30" s="87" t="s">
        <v>45</v>
      </c>
      <c r="E30" s="88"/>
      <c r="F30" s="88"/>
      <c r="G30" s="89"/>
      <c r="H30" s="252" t="s">
        <v>247</v>
      </c>
      <c r="I30" s="252"/>
      <c r="J30" s="36">
        <f>SUM(J31:J38)</f>
        <v>92336.310712053339</v>
      </c>
    </row>
    <row r="31" spans="1:10" ht="16.5">
      <c r="A31" s="44" t="s">
        <v>78</v>
      </c>
      <c r="B31" s="41" t="s">
        <v>79</v>
      </c>
      <c r="C31" s="48" t="s">
        <v>28</v>
      </c>
      <c r="D31" s="53" t="s">
        <v>301</v>
      </c>
      <c r="E31" s="50" t="s">
        <v>30</v>
      </c>
      <c r="F31" s="31">
        <v>1</v>
      </c>
      <c r="G31" s="32">
        <v>10681.823999999999</v>
      </c>
      <c r="H31" s="32">
        <v>13698.371097599998</v>
      </c>
      <c r="I31" s="32">
        <v>10681.82</v>
      </c>
      <c r="J31" s="33">
        <v>13698.37</v>
      </c>
    </row>
    <row r="32" spans="1:10" ht="24.75">
      <c r="A32" s="44" t="s">
        <v>80</v>
      </c>
      <c r="B32" s="41">
        <v>94216</v>
      </c>
      <c r="C32" s="48" t="s">
        <v>25</v>
      </c>
      <c r="D32" s="53" t="s">
        <v>145</v>
      </c>
      <c r="E32" s="50" t="s">
        <v>74</v>
      </c>
      <c r="F32" s="31">
        <v>72</v>
      </c>
      <c r="G32" s="32">
        <v>204.27</v>
      </c>
      <c r="H32" s="32">
        <v>261.955848</v>
      </c>
      <c r="I32" s="32">
        <v>16843.68</v>
      </c>
      <c r="J32" s="33">
        <f t="shared" ref="J32:J38" si="4">F32*H32</f>
        <v>18860.821056000001</v>
      </c>
    </row>
    <row r="33" spans="1:10" ht="24.75">
      <c r="A33" s="44" t="s">
        <v>81</v>
      </c>
      <c r="B33" s="41">
        <v>100327</v>
      </c>
      <c r="C33" s="48" t="s">
        <v>25</v>
      </c>
      <c r="D33" s="53" t="s">
        <v>146</v>
      </c>
      <c r="E33" s="50" t="s">
        <v>147</v>
      </c>
      <c r="F33" s="31">
        <v>28.8</v>
      </c>
      <c r="G33" s="32">
        <v>67.91</v>
      </c>
      <c r="H33" s="32">
        <v>87.087783999999999</v>
      </c>
      <c r="I33" s="32">
        <v>1967.61</v>
      </c>
      <c r="J33" s="33">
        <f t="shared" si="4"/>
        <v>2508.1281792</v>
      </c>
    </row>
    <row r="34" spans="1:10" ht="33">
      <c r="A34" s="44" t="s">
        <v>82</v>
      </c>
      <c r="B34" s="41">
        <v>94227</v>
      </c>
      <c r="C34" s="48" t="s">
        <v>25</v>
      </c>
      <c r="D34" s="53" t="s">
        <v>150</v>
      </c>
      <c r="E34" s="50" t="s">
        <v>147</v>
      </c>
      <c r="F34" s="31">
        <v>35.700000000000003</v>
      </c>
      <c r="G34" s="32">
        <v>75.48</v>
      </c>
      <c r="H34" s="32">
        <v>96.795552000000001</v>
      </c>
      <c r="I34" s="32">
        <v>2731.05</v>
      </c>
      <c r="J34" s="33">
        <f t="shared" si="4"/>
        <v>3455.6012064000001</v>
      </c>
    </row>
    <row r="35" spans="1:10" ht="16.5">
      <c r="A35" s="44" t="s">
        <v>83</v>
      </c>
      <c r="B35" s="41" t="s">
        <v>300</v>
      </c>
      <c r="C35" s="48" t="s">
        <v>299</v>
      </c>
      <c r="D35" s="53" t="s">
        <v>298</v>
      </c>
      <c r="E35" s="50" t="s">
        <v>74</v>
      </c>
      <c r="F35" s="31">
        <v>46.8</v>
      </c>
      <c r="G35" s="32">
        <v>280.08</v>
      </c>
      <c r="H35" s="32">
        <v>359.17459199999996</v>
      </c>
      <c r="I35" s="32">
        <v>20183.43</v>
      </c>
      <c r="J35" s="33">
        <f t="shared" si="4"/>
        <v>16809.370905599997</v>
      </c>
    </row>
    <row r="36" spans="1:10" ht="41.25">
      <c r="A36" s="44" t="s">
        <v>84</v>
      </c>
      <c r="B36" s="41">
        <v>100743</v>
      </c>
      <c r="C36" s="48" t="s">
        <v>25</v>
      </c>
      <c r="D36" s="53" t="s">
        <v>148</v>
      </c>
      <c r="E36" s="50" t="s">
        <v>74</v>
      </c>
      <c r="F36" s="31">
        <v>106.93</v>
      </c>
      <c r="G36" s="32">
        <v>8.86</v>
      </c>
      <c r="H36" s="32">
        <v>11.362063999999998</v>
      </c>
      <c r="I36" s="32">
        <f t="shared" ref="I36:I37" si="5">TRUNC(F36*G36,2)</f>
        <v>947.39</v>
      </c>
      <c r="J36" s="33">
        <f t="shared" si="4"/>
        <v>1214.9455035199999</v>
      </c>
    </row>
    <row r="37" spans="1:10" ht="16.5">
      <c r="A37" s="44" t="s">
        <v>85</v>
      </c>
      <c r="B37" s="41">
        <v>88311</v>
      </c>
      <c r="C37" s="48" t="s">
        <v>25</v>
      </c>
      <c r="D37" s="53" t="s">
        <v>149</v>
      </c>
      <c r="E37" s="50" t="s">
        <v>138</v>
      </c>
      <c r="F37" s="31">
        <v>2</v>
      </c>
      <c r="G37" s="32">
        <v>20.61</v>
      </c>
      <c r="H37" s="32">
        <v>26.430263999999998</v>
      </c>
      <c r="I37" s="32">
        <f t="shared" si="5"/>
        <v>41.22</v>
      </c>
      <c r="J37" s="33">
        <f t="shared" si="4"/>
        <v>52.860527999999995</v>
      </c>
    </row>
    <row r="38" spans="1:10" ht="16.5">
      <c r="A38" s="44" t="s">
        <v>215</v>
      </c>
      <c r="B38" s="41" t="s">
        <v>213</v>
      </c>
      <c r="C38" s="48" t="s">
        <v>214</v>
      </c>
      <c r="D38" s="53" t="s">
        <v>206</v>
      </c>
      <c r="E38" s="50" t="s">
        <v>30</v>
      </c>
      <c r="F38" s="31">
        <v>4</v>
      </c>
      <c r="G38" s="32">
        <v>6966.666666666667</v>
      </c>
      <c r="H38" s="32">
        <v>8934.0533333333333</v>
      </c>
      <c r="I38" s="32">
        <v>27866.66</v>
      </c>
      <c r="J38" s="33">
        <f t="shared" si="4"/>
        <v>35736.213333333333</v>
      </c>
    </row>
    <row r="39" spans="1:10" ht="10.5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1"/>
    </row>
    <row r="40" spans="1:10" ht="12" customHeight="1">
      <c r="A40" s="43" t="s">
        <v>9</v>
      </c>
      <c r="B40" s="40"/>
      <c r="C40" s="47"/>
      <c r="D40" s="52" t="s">
        <v>100</v>
      </c>
      <c r="E40" s="49"/>
      <c r="F40" s="28"/>
      <c r="G40" s="29"/>
      <c r="H40" s="29"/>
      <c r="I40" s="29"/>
      <c r="J40" s="30"/>
    </row>
    <row r="41" spans="1:10" ht="15" customHeight="1">
      <c r="A41" s="90"/>
      <c r="B41" s="91"/>
      <c r="C41" s="91"/>
      <c r="D41" s="91"/>
      <c r="E41" s="91"/>
      <c r="F41" s="91"/>
      <c r="G41" s="92"/>
      <c r="H41" s="252" t="s">
        <v>246</v>
      </c>
      <c r="I41" s="252"/>
      <c r="J41" s="36">
        <f>J42*5</f>
        <v>138610.05578560001</v>
      </c>
    </row>
    <row r="42" spans="1:10" ht="15" customHeight="1">
      <c r="A42" s="45" t="s">
        <v>115</v>
      </c>
      <c r="B42" s="87"/>
      <c r="C42" s="89"/>
      <c r="D42" s="87" t="s">
        <v>45</v>
      </c>
      <c r="E42" s="88"/>
      <c r="F42" s="88"/>
      <c r="G42" s="89"/>
      <c r="H42" s="252" t="s">
        <v>247</v>
      </c>
      <c r="I42" s="252"/>
      <c r="J42" s="36">
        <f>SUM(J43:J47)</f>
        <v>27722.01115712</v>
      </c>
    </row>
    <row r="43" spans="1:10" ht="46.5" customHeight="1">
      <c r="A43" s="44" t="s">
        <v>116</v>
      </c>
      <c r="B43" s="41">
        <v>103304</v>
      </c>
      <c r="C43" s="48" t="s">
        <v>25</v>
      </c>
      <c r="D43" s="53" t="s">
        <v>151</v>
      </c>
      <c r="E43" s="50" t="s">
        <v>152</v>
      </c>
      <c r="F43" s="31">
        <v>8</v>
      </c>
      <c r="G43" s="32">
        <v>1226.93</v>
      </c>
      <c r="H43" s="32">
        <v>1573.4150320000001</v>
      </c>
      <c r="I43" s="32">
        <f t="shared" ref="I43:I47" si="6">TRUNC(F43*G43,2)</f>
        <v>9815.44</v>
      </c>
      <c r="J43" s="33">
        <f t="shared" ref="J43:J47" si="7">F43*H43</f>
        <v>12587.320256000001</v>
      </c>
    </row>
    <row r="44" spans="1:10" ht="48" customHeight="1">
      <c r="A44" s="44" t="s">
        <v>117</v>
      </c>
      <c r="B44" s="41">
        <v>103307</v>
      </c>
      <c r="C44" s="48" t="s">
        <v>25</v>
      </c>
      <c r="D44" s="53" t="s">
        <v>154</v>
      </c>
      <c r="E44" s="50" t="s">
        <v>152</v>
      </c>
      <c r="F44" s="31">
        <v>4</v>
      </c>
      <c r="G44" s="32">
        <v>1302.3800000000001</v>
      </c>
      <c r="H44" s="32">
        <v>1670.1721120000002</v>
      </c>
      <c r="I44" s="32">
        <f t="shared" si="6"/>
        <v>5209.5200000000004</v>
      </c>
      <c r="J44" s="33">
        <f t="shared" si="7"/>
        <v>6680.6884480000008</v>
      </c>
    </row>
    <row r="45" spans="1:10" ht="28.5" customHeight="1">
      <c r="A45" s="44" t="s">
        <v>118</v>
      </c>
      <c r="B45" s="41">
        <v>101094</v>
      </c>
      <c r="C45" s="48" t="s">
        <v>25</v>
      </c>
      <c r="D45" s="53" t="s">
        <v>155</v>
      </c>
      <c r="E45" s="50" t="s">
        <v>147</v>
      </c>
      <c r="F45" s="31">
        <v>22</v>
      </c>
      <c r="G45" s="32">
        <v>206.45</v>
      </c>
      <c r="H45" s="32">
        <v>264.75147999999996</v>
      </c>
      <c r="I45" s="32">
        <f t="shared" si="6"/>
        <v>4541.8999999999996</v>
      </c>
      <c r="J45" s="33">
        <f t="shared" si="7"/>
        <v>5824.5325599999987</v>
      </c>
    </row>
    <row r="46" spans="1:10" ht="33">
      <c r="A46" s="44" t="s">
        <v>119</v>
      </c>
      <c r="B46" s="41">
        <v>102513</v>
      </c>
      <c r="C46" s="48" t="s">
        <v>25</v>
      </c>
      <c r="D46" s="53" t="s">
        <v>153</v>
      </c>
      <c r="E46" s="50" t="s">
        <v>74</v>
      </c>
      <c r="F46" s="31">
        <v>0.72</v>
      </c>
      <c r="G46" s="32">
        <v>37.79</v>
      </c>
      <c r="H46" s="32">
        <v>48.461895999999996</v>
      </c>
      <c r="I46" s="32">
        <f t="shared" si="6"/>
        <v>27.2</v>
      </c>
      <c r="J46" s="33">
        <f t="shared" si="7"/>
        <v>34.892565119999993</v>
      </c>
    </row>
    <row r="47" spans="1:10" ht="16.5">
      <c r="A47" s="44" t="s">
        <v>120</v>
      </c>
      <c r="B47" s="41" t="s">
        <v>113</v>
      </c>
      <c r="C47" s="48" t="s">
        <v>28</v>
      </c>
      <c r="D47" s="53" t="s">
        <v>114</v>
      </c>
      <c r="E47" s="50" t="s">
        <v>30</v>
      </c>
      <c r="F47" s="31">
        <v>2</v>
      </c>
      <c r="G47" s="32">
        <v>1011.61</v>
      </c>
      <c r="H47" s="32">
        <v>1297.2886639999999</v>
      </c>
      <c r="I47" s="32">
        <f t="shared" si="6"/>
        <v>2023.22</v>
      </c>
      <c r="J47" s="33">
        <f t="shared" si="7"/>
        <v>2594.5773279999999</v>
      </c>
    </row>
    <row r="48" spans="1:10" ht="9.75" customHeight="1">
      <c r="A48" s="289"/>
      <c r="B48" s="290"/>
      <c r="C48" s="290"/>
      <c r="D48" s="290"/>
      <c r="E48" s="290"/>
      <c r="F48" s="290"/>
      <c r="G48" s="290"/>
      <c r="H48" s="290"/>
      <c r="I48" s="290"/>
      <c r="J48" s="291"/>
    </row>
    <row r="49" spans="1:10" s="8" customFormat="1" ht="12.75" customHeight="1">
      <c r="A49" s="43" t="s">
        <v>10</v>
      </c>
      <c r="B49" s="40"/>
      <c r="C49" s="47"/>
      <c r="D49" s="52" t="s">
        <v>131</v>
      </c>
      <c r="E49" s="49"/>
      <c r="F49" s="28"/>
      <c r="G49" s="29"/>
      <c r="H49" s="29"/>
      <c r="I49" s="29"/>
      <c r="J49" s="30"/>
    </row>
    <row r="50" spans="1:10" s="8" customFormat="1" ht="12.75" customHeight="1">
      <c r="A50" s="90"/>
      <c r="B50" s="91"/>
      <c r="C50" s="91"/>
      <c r="D50" s="91"/>
      <c r="E50" s="91"/>
      <c r="F50" s="91"/>
      <c r="G50" s="92"/>
      <c r="H50" s="252" t="s">
        <v>246</v>
      </c>
      <c r="I50" s="252"/>
      <c r="J50" s="36">
        <f>J51*5</f>
        <v>1553.88408</v>
      </c>
    </row>
    <row r="51" spans="1:10" s="8" customFormat="1" ht="12.75" customHeight="1">
      <c r="A51" s="45"/>
      <c r="B51" s="87"/>
      <c r="C51" s="89"/>
      <c r="D51" s="87"/>
      <c r="E51" s="88"/>
      <c r="F51" s="88"/>
      <c r="G51" s="89"/>
      <c r="H51" s="252" t="s">
        <v>247</v>
      </c>
      <c r="I51" s="252"/>
      <c r="J51" s="36">
        <f>SUM(J52:J53)</f>
        <v>310.776816</v>
      </c>
    </row>
    <row r="52" spans="1:10" ht="21" customHeight="1">
      <c r="A52" s="44" t="s">
        <v>132</v>
      </c>
      <c r="B52" s="41">
        <v>99814</v>
      </c>
      <c r="C52" s="48" t="s">
        <v>25</v>
      </c>
      <c r="D52" s="53" t="s">
        <v>156</v>
      </c>
      <c r="E52" s="50" t="s">
        <v>74</v>
      </c>
      <c r="F52" s="31">
        <v>72</v>
      </c>
      <c r="G52" s="32">
        <v>1.48</v>
      </c>
      <c r="H52" s="32">
        <v>1.8979519999999999</v>
      </c>
      <c r="I52" s="32">
        <f t="shared" ref="I52:I53" si="8">TRUNC(F52*G52,2)</f>
        <v>106.56</v>
      </c>
      <c r="J52" s="33">
        <f t="shared" ref="J52:J53" si="9">F52*H52</f>
        <v>136.65254399999998</v>
      </c>
    </row>
    <row r="53" spans="1:10" s="5" customFormat="1" ht="33">
      <c r="A53" s="44" t="s">
        <v>262</v>
      </c>
      <c r="B53" s="41">
        <v>97637</v>
      </c>
      <c r="C53" s="48" t="s">
        <v>25</v>
      </c>
      <c r="D53" s="53" t="s">
        <v>263</v>
      </c>
      <c r="E53" s="50" t="s">
        <v>74</v>
      </c>
      <c r="F53" s="31">
        <f>73</f>
        <v>73</v>
      </c>
      <c r="G53" s="32">
        <v>1.86</v>
      </c>
      <c r="H53" s="32">
        <v>2.3852640000000003</v>
      </c>
      <c r="I53" s="32">
        <f t="shared" si="8"/>
        <v>135.78</v>
      </c>
      <c r="J53" s="33">
        <f t="shared" si="9"/>
        <v>174.12427200000002</v>
      </c>
    </row>
    <row r="54" spans="1:10" ht="17.25" customHeight="1">
      <c r="A54" s="264" t="s">
        <v>251</v>
      </c>
      <c r="B54" s="265"/>
      <c r="C54" s="265"/>
      <c r="D54" s="265"/>
      <c r="E54" s="265"/>
      <c r="F54" s="265"/>
      <c r="G54" s="265"/>
      <c r="H54" s="266"/>
      <c r="I54" s="253">
        <f>J12+J20+J30+J42+J51</f>
        <v>242576.69527733332</v>
      </c>
      <c r="J54" s="254"/>
    </row>
    <row r="55" spans="1:10" ht="15.75" thickBot="1">
      <c r="A55" s="261" t="s">
        <v>253</v>
      </c>
      <c r="B55" s="262"/>
      <c r="C55" s="262"/>
      <c r="D55" s="262"/>
      <c r="E55" s="262"/>
      <c r="F55" s="262"/>
      <c r="G55" s="262"/>
      <c r="H55" s="263"/>
      <c r="I55" s="259">
        <f>242576.7*5</f>
        <v>1212883.5</v>
      </c>
      <c r="J55" s="260"/>
    </row>
    <row r="56" spans="1:10" ht="11.25" customHeight="1">
      <c r="A56" s="110"/>
      <c r="B56" s="110"/>
      <c r="C56" s="110"/>
      <c r="D56" s="110"/>
      <c r="E56" s="110"/>
      <c r="F56" s="110"/>
      <c r="G56" s="110"/>
      <c r="H56" s="110"/>
      <c r="I56" s="111"/>
      <c r="J56" s="111"/>
    </row>
    <row r="57" spans="1:10" ht="11.25" customHeight="1">
      <c r="A57" s="229" t="s">
        <v>135</v>
      </c>
      <c r="B57" s="229"/>
      <c r="C57" s="229"/>
      <c r="D57" s="229"/>
      <c r="E57" s="110"/>
      <c r="F57" s="110"/>
      <c r="G57" s="110"/>
      <c r="H57" s="110"/>
      <c r="I57" s="111"/>
      <c r="J57" s="111"/>
    </row>
    <row r="58" spans="1:10" ht="12" customHeight="1">
      <c r="A58" s="229" t="s">
        <v>136</v>
      </c>
      <c r="B58" s="229"/>
      <c r="C58" s="229"/>
      <c r="D58" s="229"/>
    </row>
  </sheetData>
  <mergeCells count="29">
    <mergeCell ref="A58:D58"/>
    <mergeCell ref="A54:H54"/>
    <mergeCell ref="A55:H55"/>
    <mergeCell ref="H51:I51"/>
    <mergeCell ref="I54:J54"/>
    <mergeCell ref="I55:J55"/>
    <mergeCell ref="A57:D57"/>
    <mergeCell ref="H50:I50"/>
    <mergeCell ref="H20:I20"/>
    <mergeCell ref="A48:J48"/>
    <mergeCell ref="A19:D19"/>
    <mergeCell ref="H19:I19"/>
    <mergeCell ref="H29:I29"/>
    <mergeCell ref="H30:I30"/>
    <mergeCell ref="H42:I42"/>
    <mergeCell ref="A27:J27"/>
    <mergeCell ref="A39:J39"/>
    <mergeCell ref="H41:I41"/>
    <mergeCell ref="D18:J18"/>
    <mergeCell ref="A2:J2"/>
    <mergeCell ref="A3:J3"/>
    <mergeCell ref="A4:J4"/>
    <mergeCell ref="A5:J5"/>
    <mergeCell ref="A6:J6"/>
    <mergeCell ref="A7:J7"/>
    <mergeCell ref="A8:J8"/>
    <mergeCell ref="H12:I12"/>
    <mergeCell ref="A11:D11"/>
    <mergeCell ref="H11:I11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7"/>
  <sheetViews>
    <sheetView view="pageBreakPreview" topLeftCell="A40" zoomScale="115" zoomScaleNormal="100" zoomScaleSheetLayoutView="115" workbookViewId="0">
      <selection activeCell="I54" sqref="I54:J54"/>
    </sheetView>
  </sheetViews>
  <sheetFormatPr defaultRowHeight="15"/>
  <cols>
    <col min="1" max="1" width="3.85546875" style="42" customWidth="1"/>
    <col min="2" max="2" width="5.7109375" style="39" customWidth="1"/>
    <col min="3" max="3" width="4.85546875" style="46" customWidth="1"/>
    <col min="4" max="4" width="26.85546875" style="51" customWidth="1"/>
    <col min="5" max="5" width="3.85546875" style="42" customWidth="1"/>
    <col min="6" max="6" width="6" style="26" customWidth="1"/>
    <col min="7" max="7" width="10.42578125" style="27" customWidth="1"/>
    <col min="8" max="8" width="11" style="27" customWidth="1"/>
    <col min="9" max="9" width="10.85546875" style="27" customWidth="1"/>
    <col min="10" max="10" width="13" style="27" customWidth="1"/>
    <col min="11" max="12" width="9.140625" customWidth="1"/>
  </cols>
  <sheetData>
    <row r="1" spans="1:10" ht="72" customHeight="1">
      <c r="A1" s="269"/>
      <c r="B1" s="270"/>
      <c r="C1" s="270"/>
      <c r="D1" s="270"/>
      <c r="E1" s="270"/>
      <c r="F1" s="270"/>
      <c r="G1" s="270"/>
      <c r="H1" s="270"/>
      <c r="I1" s="270"/>
      <c r="J1" s="271"/>
    </row>
    <row r="2" spans="1:10">
      <c r="A2" s="272" t="s">
        <v>250</v>
      </c>
      <c r="B2" s="273"/>
      <c r="C2" s="273"/>
      <c r="D2" s="273"/>
      <c r="E2" s="273"/>
      <c r="F2" s="273"/>
      <c r="G2" s="273"/>
      <c r="H2" s="273"/>
      <c r="I2" s="273"/>
      <c r="J2" s="274"/>
    </row>
    <row r="3" spans="1:10">
      <c r="A3" s="272" t="s">
        <v>202</v>
      </c>
      <c r="B3" s="273"/>
      <c r="C3" s="273"/>
      <c r="D3" s="273"/>
      <c r="E3" s="273"/>
      <c r="F3" s="273"/>
      <c r="G3" s="273"/>
      <c r="H3" s="273"/>
      <c r="I3" s="273"/>
      <c r="J3" s="274"/>
    </row>
    <row r="4" spans="1:10">
      <c r="A4" s="272" t="s">
        <v>248</v>
      </c>
      <c r="B4" s="273"/>
      <c r="C4" s="273"/>
      <c r="D4" s="273"/>
      <c r="E4" s="273"/>
      <c r="F4" s="273"/>
      <c r="G4" s="273"/>
      <c r="H4" s="273"/>
      <c r="I4" s="273"/>
      <c r="J4" s="274"/>
    </row>
    <row r="5" spans="1:10">
      <c r="A5" s="272" t="s">
        <v>203</v>
      </c>
      <c r="B5" s="273"/>
      <c r="C5" s="273"/>
      <c r="D5" s="273"/>
      <c r="E5" s="273"/>
      <c r="F5" s="273"/>
      <c r="G5" s="273"/>
      <c r="H5" s="273"/>
      <c r="I5" s="273"/>
      <c r="J5" s="274"/>
    </row>
    <row r="6" spans="1:10" ht="15.75" thickBot="1">
      <c r="A6" s="286" t="s">
        <v>306</v>
      </c>
      <c r="B6" s="287"/>
      <c r="C6" s="287"/>
      <c r="D6" s="287"/>
      <c r="E6" s="287"/>
      <c r="F6" s="287"/>
      <c r="G6" s="287"/>
      <c r="H6" s="287"/>
      <c r="I6" s="287"/>
      <c r="J6" s="288"/>
    </row>
    <row r="7" spans="1:10" ht="14.25" customHeight="1" thickBot="1">
      <c r="A7" s="277" t="s">
        <v>259</v>
      </c>
      <c r="B7" s="278"/>
      <c r="C7" s="278"/>
      <c r="D7" s="278"/>
      <c r="E7" s="278"/>
      <c r="F7" s="278"/>
      <c r="G7" s="278"/>
      <c r="H7" s="278"/>
      <c r="I7" s="278"/>
      <c r="J7" s="279"/>
    </row>
    <row r="8" spans="1:10" ht="19.5" customHeight="1">
      <c r="A8" s="81" t="s">
        <v>1</v>
      </c>
      <c r="B8" s="82" t="s">
        <v>13</v>
      </c>
      <c r="C8" s="82" t="s">
        <v>14</v>
      </c>
      <c r="D8" s="83" t="s">
        <v>15</v>
      </c>
      <c r="E8" s="82" t="s">
        <v>245</v>
      </c>
      <c r="F8" s="84" t="s">
        <v>17</v>
      </c>
      <c r="G8" s="85" t="s">
        <v>18</v>
      </c>
      <c r="H8" s="85" t="s">
        <v>19</v>
      </c>
      <c r="I8" s="85" t="s">
        <v>20</v>
      </c>
      <c r="J8" s="86" t="s">
        <v>21</v>
      </c>
    </row>
    <row r="9" spans="1:10" ht="15.75" customHeight="1">
      <c r="A9" s="43" t="s">
        <v>22</v>
      </c>
      <c r="B9" s="40"/>
      <c r="C9" s="47"/>
      <c r="D9" s="52" t="s">
        <v>23</v>
      </c>
      <c r="E9" s="49"/>
      <c r="F9" s="28"/>
      <c r="G9" s="29"/>
      <c r="H9" s="29"/>
      <c r="I9" s="29"/>
      <c r="J9" s="30"/>
    </row>
    <row r="10" spans="1:10" ht="15.75" customHeight="1">
      <c r="A10" s="280"/>
      <c r="B10" s="281"/>
      <c r="C10" s="281"/>
      <c r="D10" s="281"/>
      <c r="E10" s="88"/>
      <c r="F10" s="88"/>
      <c r="G10" s="88"/>
      <c r="H10" s="252" t="s">
        <v>246</v>
      </c>
      <c r="I10" s="252"/>
      <c r="J10" s="36">
        <f>J11*1</f>
        <v>21893.173104000001</v>
      </c>
    </row>
    <row r="11" spans="1:10" ht="15.75" customHeight="1">
      <c r="A11" s="109"/>
      <c r="B11" s="91"/>
      <c r="C11" s="92"/>
      <c r="D11" s="87"/>
      <c r="E11" s="88"/>
      <c r="F11" s="88"/>
      <c r="G11" s="88"/>
      <c r="H11" s="252" t="s">
        <v>247</v>
      </c>
      <c r="I11" s="252"/>
      <c r="J11" s="36">
        <f>SUM(J12:J15)</f>
        <v>21893.173104000001</v>
      </c>
    </row>
    <row r="12" spans="1:10" ht="15.75" customHeight="1">
      <c r="A12" s="44" t="s">
        <v>24</v>
      </c>
      <c r="B12" s="41">
        <v>90777</v>
      </c>
      <c r="C12" s="48" t="s">
        <v>25</v>
      </c>
      <c r="D12" s="53" t="s">
        <v>137</v>
      </c>
      <c r="E12" s="50" t="s">
        <v>138</v>
      </c>
      <c r="F12" s="31">
        <v>9.6964285714285712</v>
      </c>
      <c r="G12" s="32">
        <v>89.11</v>
      </c>
      <c r="H12" s="32">
        <v>114.274664</v>
      </c>
      <c r="I12" s="32">
        <f t="shared" ref="I12:I13" si="0">TRUNC(F12*G12,2)</f>
        <v>864.04</v>
      </c>
      <c r="J12" s="33">
        <f>F12*H12</f>
        <v>1108.0561170000001</v>
      </c>
    </row>
    <row r="13" spans="1:10" ht="16.5">
      <c r="A13" s="44" t="s">
        <v>26</v>
      </c>
      <c r="B13" s="41">
        <v>90776</v>
      </c>
      <c r="C13" s="48" t="s">
        <v>25</v>
      </c>
      <c r="D13" s="53" t="s">
        <v>139</v>
      </c>
      <c r="E13" s="50" t="s">
        <v>138</v>
      </c>
      <c r="F13" s="31">
        <v>16.160714285714285</v>
      </c>
      <c r="G13" s="32">
        <v>22.23</v>
      </c>
      <c r="H13" s="32">
        <v>28.507752</v>
      </c>
      <c r="I13" s="32">
        <f t="shared" si="0"/>
        <v>359.25</v>
      </c>
      <c r="J13" s="33">
        <f t="shared" ref="J13:J15" si="1">F13*H13</f>
        <v>460.70563499999997</v>
      </c>
    </row>
    <row r="14" spans="1:10" ht="16.5">
      <c r="A14" s="44" t="s">
        <v>229</v>
      </c>
      <c r="B14" s="41" t="s">
        <v>27</v>
      </c>
      <c r="C14" s="48" t="s">
        <v>28</v>
      </c>
      <c r="D14" s="53" t="s">
        <v>29</v>
      </c>
      <c r="E14" s="50" t="s">
        <v>30</v>
      </c>
      <c r="F14" s="31">
        <v>1</v>
      </c>
      <c r="G14" s="32">
        <v>1115.28</v>
      </c>
      <c r="H14" s="32">
        <v>1430.2350719999999</v>
      </c>
      <c r="I14" s="32">
        <f>TRUNC(F14*G14,2)</f>
        <v>1115.28</v>
      </c>
      <c r="J14" s="33">
        <f t="shared" si="1"/>
        <v>1430.2350719999999</v>
      </c>
    </row>
    <row r="15" spans="1:10" ht="17.25" customHeight="1">
      <c r="A15" s="44" t="s">
        <v>312</v>
      </c>
      <c r="B15" s="117">
        <v>98459</v>
      </c>
      <c r="C15" s="118" t="s">
        <v>25</v>
      </c>
      <c r="D15" s="119" t="s">
        <v>261</v>
      </c>
      <c r="E15" s="122" t="s">
        <v>74</v>
      </c>
      <c r="F15" s="31">
        <v>145</v>
      </c>
      <c r="G15" s="120">
        <v>101.61</v>
      </c>
      <c r="H15" s="121">
        <v>130.304664</v>
      </c>
      <c r="I15" s="32">
        <f>G15*F15</f>
        <v>14733.45</v>
      </c>
      <c r="J15" s="33">
        <f t="shared" si="1"/>
        <v>18894.17628</v>
      </c>
    </row>
    <row r="16" spans="1:10" s="5" customFormat="1" ht="12" customHeight="1">
      <c r="A16" s="93"/>
      <c r="B16" s="96"/>
      <c r="C16" s="96"/>
      <c r="D16" s="96"/>
      <c r="E16" s="96"/>
      <c r="F16" s="96"/>
      <c r="G16" s="96"/>
      <c r="H16" s="96"/>
      <c r="I16" s="96"/>
      <c r="J16" s="97"/>
    </row>
    <row r="17" spans="1:10" ht="15.75" customHeight="1">
      <c r="A17" s="43" t="s">
        <v>7</v>
      </c>
      <c r="B17" s="98"/>
      <c r="C17" s="99"/>
      <c r="D17" s="283" t="s">
        <v>32</v>
      </c>
      <c r="E17" s="284"/>
      <c r="F17" s="284"/>
      <c r="G17" s="284"/>
      <c r="H17" s="284"/>
      <c r="I17" s="284"/>
      <c r="J17" s="285"/>
    </row>
    <row r="18" spans="1:10" ht="15" customHeight="1">
      <c r="A18" s="280"/>
      <c r="B18" s="281"/>
      <c r="C18" s="281"/>
      <c r="D18" s="281"/>
      <c r="E18" s="88"/>
      <c r="F18" s="88"/>
      <c r="G18" s="88"/>
      <c r="H18" s="252" t="s">
        <v>246</v>
      </c>
      <c r="I18" s="252"/>
      <c r="J18" s="36">
        <f>J19*1</f>
        <v>217737.54235296001</v>
      </c>
    </row>
    <row r="19" spans="1:10" ht="15" customHeight="1">
      <c r="A19" s="45" t="s">
        <v>48</v>
      </c>
      <c r="B19" s="87"/>
      <c r="C19" s="89"/>
      <c r="D19" s="87" t="s">
        <v>49</v>
      </c>
      <c r="E19" s="88"/>
      <c r="F19" s="88"/>
      <c r="G19" s="89"/>
      <c r="H19" s="252" t="s">
        <v>247</v>
      </c>
      <c r="I19" s="252"/>
      <c r="J19" s="36">
        <f>SUM(J20:J25)</f>
        <v>217737.54235296001</v>
      </c>
    </row>
    <row r="20" spans="1:10" ht="33">
      <c r="A20" s="44" t="s">
        <v>50</v>
      </c>
      <c r="B20" s="41">
        <v>96522</v>
      </c>
      <c r="C20" s="48" t="s">
        <v>25</v>
      </c>
      <c r="D20" s="53" t="s">
        <v>265</v>
      </c>
      <c r="E20" s="50" t="s">
        <v>140</v>
      </c>
      <c r="F20" s="31">
        <v>7.33</v>
      </c>
      <c r="G20" s="32">
        <v>113.6</v>
      </c>
      <c r="H20" s="32">
        <v>145.68063999999998</v>
      </c>
      <c r="I20" s="32">
        <f t="shared" ref="I20:I25" si="2">TRUNC(F20*G20,2)</f>
        <v>832.68</v>
      </c>
      <c r="J20" s="33">
        <f t="shared" ref="J20:J25" si="3">F20*H20</f>
        <v>1067.8390912</v>
      </c>
    </row>
    <row r="21" spans="1:10" ht="18.75" customHeight="1">
      <c r="A21" s="44" t="s">
        <v>234</v>
      </c>
      <c r="B21" s="41">
        <v>92799</v>
      </c>
      <c r="C21" s="48" t="s">
        <v>25</v>
      </c>
      <c r="D21" s="53" t="s">
        <v>142</v>
      </c>
      <c r="E21" s="50" t="s">
        <v>141</v>
      </c>
      <c r="F21" s="31">
        <v>356.49</v>
      </c>
      <c r="G21" s="32">
        <v>14.18</v>
      </c>
      <c r="H21" s="32">
        <v>18.184432000000001</v>
      </c>
      <c r="I21" s="32">
        <f t="shared" si="2"/>
        <v>5055.0200000000004</v>
      </c>
      <c r="J21" s="33">
        <f t="shared" si="3"/>
        <v>6482.5681636800009</v>
      </c>
    </row>
    <row r="22" spans="1:10" ht="28.5" customHeight="1">
      <c r="A22" s="44" t="s">
        <v>235</v>
      </c>
      <c r="B22" s="41">
        <v>96544</v>
      </c>
      <c r="C22" s="48" t="s">
        <v>25</v>
      </c>
      <c r="D22" s="53" t="s">
        <v>264</v>
      </c>
      <c r="E22" s="50" t="s">
        <v>141</v>
      </c>
      <c r="F22" s="31">
        <v>802.1</v>
      </c>
      <c r="G22" s="32">
        <v>18.809999999999999</v>
      </c>
      <c r="H22" s="32">
        <v>24.121943999999999</v>
      </c>
      <c r="I22" s="32">
        <f t="shared" si="2"/>
        <v>15087.5</v>
      </c>
      <c r="J22" s="33">
        <f t="shared" si="3"/>
        <v>19348.2112824</v>
      </c>
    </row>
    <row r="23" spans="1:10" ht="33">
      <c r="A23" s="44" t="s">
        <v>236</v>
      </c>
      <c r="B23" s="41">
        <v>96556</v>
      </c>
      <c r="C23" s="48" t="s">
        <v>25</v>
      </c>
      <c r="D23" s="53" t="s">
        <v>143</v>
      </c>
      <c r="E23" s="50" t="s">
        <v>140</v>
      </c>
      <c r="F23" s="31">
        <v>7.33</v>
      </c>
      <c r="G23" s="32">
        <v>778.89</v>
      </c>
      <c r="H23" s="32">
        <v>998.84853599999997</v>
      </c>
      <c r="I23" s="32">
        <f t="shared" si="2"/>
        <v>5709.26</v>
      </c>
      <c r="J23" s="33">
        <f t="shared" si="3"/>
        <v>7321.5597688799999</v>
      </c>
    </row>
    <row r="24" spans="1:10" ht="16.5">
      <c r="A24" s="44" t="s">
        <v>51</v>
      </c>
      <c r="B24" s="57" t="s">
        <v>286</v>
      </c>
      <c r="C24" s="58" t="s">
        <v>268</v>
      </c>
      <c r="D24" s="53" t="s">
        <v>289</v>
      </c>
      <c r="E24" s="50" t="s">
        <v>30</v>
      </c>
      <c r="F24" s="31">
        <v>1</v>
      </c>
      <c r="G24" s="62">
        <f>COMPOSIÇÃO!G52</f>
        <v>37.81</v>
      </c>
      <c r="H24" s="32">
        <v>182284.31144000002</v>
      </c>
      <c r="I24" s="32">
        <f t="shared" si="2"/>
        <v>37.81</v>
      </c>
      <c r="J24" s="33">
        <f t="shared" si="3"/>
        <v>182284.31144000002</v>
      </c>
    </row>
    <row r="25" spans="1:10" ht="28.5" customHeight="1">
      <c r="A25" s="44" t="s">
        <v>237</v>
      </c>
      <c r="B25" s="41">
        <v>95241</v>
      </c>
      <c r="C25" s="48" t="s">
        <v>25</v>
      </c>
      <c r="D25" s="53" t="s">
        <v>144</v>
      </c>
      <c r="E25" s="50" t="s">
        <v>74</v>
      </c>
      <c r="F25" s="31">
        <v>32.85</v>
      </c>
      <c r="G25" s="32">
        <v>29.27</v>
      </c>
      <c r="H25" s="32">
        <v>37.535848000000001</v>
      </c>
      <c r="I25" s="32">
        <f t="shared" si="2"/>
        <v>961.51</v>
      </c>
      <c r="J25" s="33">
        <f t="shared" si="3"/>
        <v>1233.0526068000001</v>
      </c>
    </row>
    <row r="26" spans="1:10" ht="8.25" customHeight="1">
      <c r="A26" s="289"/>
      <c r="B26" s="290"/>
      <c r="C26" s="290"/>
      <c r="D26" s="290"/>
      <c r="E26" s="290"/>
      <c r="F26" s="290"/>
      <c r="G26" s="290"/>
      <c r="H26" s="290"/>
      <c r="I26" s="290"/>
      <c r="J26" s="291"/>
    </row>
    <row r="27" spans="1:10">
      <c r="A27" s="43" t="s">
        <v>8</v>
      </c>
      <c r="B27" s="105"/>
      <c r="C27" s="106"/>
      <c r="D27" s="98" t="s">
        <v>56</v>
      </c>
      <c r="E27" s="103"/>
      <c r="F27" s="103"/>
      <c r="G27" s="103"/>
      <c r="H27" s="103"/>
      <c r="I27" s="103"/>
      <c r="J27" s="104"/>
    </row>
    <row r="28" spans="1:10" ht="15.75" customHeight="1">
      <c r="A28" s="90"/>
      <c r="B28" s="91"/>
      <c r="C28" s="91"/>
      <c r="D28" s="91"/>
      <c r="E28" s="91"/>
      <c r="F28" s="91"/>
      <c r="G28" s="92"/>
      <c r="H28" s="252" t="s">
        <v>246</v>
      </c>
      <c r="I28" s="252"/>
      <c r="J28" s="36">
        <f>J29*1</f>
        <v>218422.93003738666</v>
      </c>
    </row>
    <row r="29" spans="1:10" ht="15" customHeight="1">
      <c r="A29" s="45" t="s">
        <v>86</v>
      </c>
      <c r="B29" s="87"/>
      <c r="C29" s="89"/>
      <c r="D29" s="87" t="s">
        <v>49</v>
      </c>
      <c r="E29" s="88"/>
      <c r="F29" s="88"/>
      <c r="G29" s="89"/>
      <c r="H29" s="252" t="s">
        <v>247</v>
      </c>
      <c r="I29" s="252"/>
      <c r="J29" s="36">
        <f>SUM(J30:J37)</f>
        <v>218422.93003738666</v>
      </c>
    </row>
    <row r="30" spans="1:10" ht="21.75" customHeight="1">
      <c r="A30" s="44" t="s">
        <v>87</v>
      </c>
      <c r="B30" s="41" t="s">
        <v>88</v>
      </c>
      <c r="C30" s="48" t="s">
        <v>28</v>
      </c>
      <c r="D30" s="53" t="s">
        <v>301</v>
      </c>
      <c r="E30" s="50" t="s">
        <v>30</v>
      </c>
      <c r="F30" s="31">
        <v>1</v>
      </c>
      <c r="G30" s="32">
        <v>21363.647999999997</v>
      </c>
      <c r="H30" s="32">
        <v>27396.742195199997</v>
      </c>
      <c r="I30" s="32">
        <v>21363.64</v>
      </c>
      <c r="J30" s="33">
        <v>27396.74</v>
      </c>
    </row>
    <row r="31" spans="1:10" ht="27.75" customHeight="1">
      <c r="A31" s="44" t="s">
        <v>89</v>
      </c>
      <c r="B31" s="41">
        <v>94216</v>
      </c>
      <c r="C31" s="48" t="s">
        <v>25</v>
      </c>
      <c r="D31" s="53" t="s">
        <v>145</v>
      </c>
      <c r="E31" s="50" t="s">
        <v>74</v>
      </c>
      <c r="F31" s="31">
        <v>144</v>
      </c>
      <c r="G31" s="32">
        <v>204.27</v>
      </c>
      <c r="H31" s="32">
        <v>261.955848</v>
      </c>
      <c r="I31" s="32">
        <f t="shared" ref="I31:I36" si="4">TRUNC(F31*G31,2)</f>
        <v>29414.880000000001</v>
      </c>
      <c r="J31" s="33">
        <f t="shared" ref="J31:J37" si="5">F31*H31</f>
        <v>37721.642112000001</v>
      </c>
    </row>
    <row r="32" spans="1:10" ht="29.25" customHeight="1">
      <c r="A32" s="44" t="s">
        <v>90</v>
      </c>
      <c r="B32" s="41">
        <v>100327</v>
      </c>
      <c r="C32" s="48" t="s">
        <v>25</v>
      </c>
      <c r="D32" s="53" t="s">
        <v>146</v>
      </c>
      <c r="E32" s="50" t="s">
        <v>147</v>
      </c>
      <c r="F32" s="31">
        <v>52.2</v>
      </c>
      <c r="G32" s="32">
        <v>67.91</v>
      </c>
      <c r="H32" s="32">
        <v>87.087783999999999</v>
      </c>
      <c r="I32" s="32">
        <f t="shared" si="4"/>
        <v>3544.9</v>
      </c>
      <c r="J32" s="33">
        <f t="shared" si="5"/>
        <v>4545.9823248000002</v>
      </c>
    </row>
    <row r="33" spans="1:10" ht="33">
      <c r="A33" s="44" t="s">
        <v>91</v>
      </c>
      <c r="B33" s="41">
        <v>94227</v>
      </c>
      <c r="C33" s="48" t="s">
        <v>25</v>
      </c>
      <c r="D33" s="53" t="s">
        <v>150</v>
      </c>
      <c r="E33" s="50" t="s">
        <v>147</v>
      </c>
      <c r="F33" s="31">
        <v>60</v>
      </c>
      <c r="G33" s="32">
        <v>75.48</v>
      </c>
      <c r="H33" s="32">
        <v>96.795552000000001</v>
      </c>
      <c r="I33" s="32">
        <f t="shared" si="4"/>
        <v>4528.8</v>
      </c>
      <c r="J33" s="33">
        <f t="shared" si="5"/>
        <v>5807.7331199999999</v>
      </c>
    </row>
    <row r="34" spans="1:10" ht="18.75" customHeight="1">
      <c r="A34" s="44" t="s">
        <v>92</v>
      </c>
      <c r="B34" s="41" t="s">
        <v>300</v>
      </c>
      <c r="C34" s="48" t="s">
        <v>299</v>
      </c>
      <c r="D34" s="53" t="s">
        <v>298</v>
      </c>
      <c r="E34" s="50" t="s">
        <v>74</v>
      </c>
      <c r="F34" s="31">
        <v>193.2</v>
      </c>
      <c r="G34" s="32">
        <v>280.08</v>
      </c>
      <c r="H34" s="32">
        <v>359.17459199999996</v>
      </c>
      <c r="I34" s="32">
        <f t="shared" si="4"/>
        <v>54111.45</v>
      </c>
      <c r="J34" s="33">
        <f t="shared" si="5"/>
        <v>69392.531174399992</v>
      </c>
    </row>
    <row r="35" spans="1:10" ht="43.5" customHeight="1">
      <c r="A35" s="44" t="s">
        <v>93</v>
      </c>
      <c r="B35" s="41">
        <v>100743</v>
      </c>
      <c r="C35" s="48" t="s">
        <v>25</v>
      </c>
      <c r="D35" s="53" t="s">
        <v>148</v>
      </c>
      <c r="E35" s="50" t="s">
        <v>74</v>
      </c>
      <c r="F35" s="31">
        <f>(34.83+144)+10%</f>
        <v>178.92999999999998</v>
      </c>
      <c r="G35" s="32">
        <v>8.86</v>
      </c>
      <c r="H35" s="32">
        <v>11.362063999999998</v>
      </c>
      <c r="I35" s="32">
        <f t="shared" si="4"/>
        <v>1585.31</v>
      </c>
      <c r="J35" s="33">
        <f t="shared" si="5"/>
        <v>2033.0141115199995</v>
      </c>
    </row>
    <row r="36" spans="1:10" ht="18.75" customHeight="1">
      <c r="A36" s="44" t="s">
        <v>94</v>
      </c>
      <c r="B36" s="41">
        <v>88311</v>
      </c>
      <c r="C36" s="48" t="s">
        <v>25</v>
      </c>
      <c r="D36" s="53" t="s">
        <v>149</v>
      </c>
      <c r="E36" s="50" t="s">
        <v>138</v>
      </c>
      <c r="F36" s="31">
        <v>2</v>
      </c>
      <c r="G36" s="32">
        <v>20.61</v>
      </c>
      <c r="H36" s="32">
        <v>26.430263999999998</v>
      </c>
      <c r="I36" s="32">
        <f t="shared" si="4"/>
        <v>41.22</v>
      </c>
      <c r="J36" s="33">
        <f t="shared" si="5"/>
        <v>52.860527999999995</v>
      </c>
    </row>
    <row r="37" spans="1:10" ht="16.5">
      <c r="A37" s="44" t="s">
        <v>216</v>
      </c>
      <c r="B37" s="41" t="s">
        <v>213</v>
      </c>
      <c r="C37" s="48" t="s">
        <v>214</v>
      </c>
      <c r="D37" s="53" t="s">
        <v>206</v>
      </c>
      <c r="E37" s="50" t="s">
        <v>30</v>
      </c>
      <c r="F37" s="31">
        <v>8</v>
      </c>
      <c r="G37" s="32">
        <v>6966.666666666667</v>
      </c>
      <c r="H37" s="32">
        <v>8934.0533333333333</v>
      </c>
      <c r="I37" s="32">
        <v>55733.33</v>
      </c>
      <c r="J37" s="33">
        <f t="shared" si="5"/>
        <v>71472.426666666666</v>
      </c>
    </row>
    <row r="38" spans="1:10" ht="10.5" customHeight="1">
      <c r="A38" s="289"/>
      <c r="B38" s="290"/>
      <c r="C38" s="290"/>
      <c r="D38" s="290"/>
      <c r="E38" s="290"/>
      <c r="F38" s="290"/>
      <c r="G38" s="290"/>
      <c r="H38" s="290"/>
      <c r="I38" s="290"/>
      <c r="J38" s="291"/>
    </row>
    <row r="39" spans="1:10" ht="15" customHeight="1">
      <c r="A39" s="43" t="s">
        <v>9</v>
      </c>
      <c r="B39" s="40"/>
      <c r="C39" s="47"/>
      <c r="D39" s="52" t="s">
        <v>100</v>
      </c>
      <c r="E39" s="49"/>
      <c r="F39" s="28"/>
      <c r="G39" s="29"/>
      <c r="H39" s="29"/>
      <c r="I39" s="29"/>
      <c r="J39" s="30"/>
    </row>
    <row r="40" spans="1:10" ht="15" customHeight="1">
      <c r="A40" s="90"/>
      <c r="B40" s="91"/>
      <c r="C40" s="91"/>
      <c r="D40" s="91"/>
      <c r="E40" s="91"/>
      <c r="F40" s="91"/>
      <c r="G40" s="92"/>
      <c r="H40" s="252" t="s">
        <v>246</v>
      </c>
      <c r="I40" s="252"/>
      <c r="J40" s="36">
        <f>J41*1</f>
        <v>52849.44498624</v>
      </c>
    </row>
    <row r="41" spans="1:10" ht="15" customHeight="1">
      <c r="A41" s="45" t="s">
        <v>121</v>
      </c>
      <c r="B41" s="87"/>
      <c r="C41" s="89"/>
      <c r="D41" s="87" t="s">
        <v>49</v>
      </c>
      <c r="E41" s="88"/>
      <c r="F41" s="88"/>
      <c r="G41" s="89"/>
      <c r="H41" s="252" t="s">
        <v>247</v>
      </c>
      <c r="I41" s="252"/>
      <c r="J41" s="36">
        <f>SUM(J42:J46)</f>
        <v>52849.44498624</v>
      </c>
    </row>
    <row r="42" spans="1:10" ht="45" customHeight="1">
      <c r="A42" s="44" t="s">
        <v>122</v>
      </c>
      <c r="B42" s="41">
        <v>103304</v>
      </c>
      <c r="C42" s="48" t="s">
        <v>25</v>
      </c>
      <c r="D42" s="53" t="s">
        <v>151</v>
      </c>
      <c r="E42" s="50" t="s">
        <v>152</v>
      </c>
      <c r="F42" s="31">
        <v>16</v>
      </c>
      <c r="G42" s="32">
        <v>1226.93</v>
      </c>
      <c r="H42" s="32">
        <v>1573.4150320000001</v>
      </c>
      <c r="I42" s="32">
        <f t="shared" ref="I42:I46" si="6">TRUNC(F42*G42,2)</f>
        <v>19630.88</v>
      </c>
      <c r="J42" s="33">
        <f t="shared" ref="J42:J46" si="7">F42*H42</f>
        <v>25174.640512000002</v>
      </c>
    </row>
    <row r="43" spans="1:10" ht="46.5" customHeight="1">
      <c r="A43" s="44" t="s">
        <v>123</v>
      </c>
      <c r="B43" s="41">
        <v>103307</v>
      </c>
      <c r="C43" s="48" t="s">
        <v>25</v>
      </c>
      <c r="D43" s="53" t="s">
        <v>154</v>
      </c>
      <c r="E43" s="50" t="s">
        <v>152</v>
      </c>
      <c r="F43" s="31">
        <v>8</v>
      </c>
      <c r="G43" s="32">
        <v>1302.3800000000001</v>
      </c>
      <c r="H43" s="32">
        <v>1670.1721120000002</v>
      </c>
      <c r="I43" s="32">
        <f t="shared" si="6"/>
        <v>10419.040000000001</v>
      </c>
      <c r="J43" s="33">
        <f t="shared" si="7"/>
        <v>13361.376896000002</v>
      </c>
    </row>
    <row r="44" spans="1:10" ht="28.5" customHeight="1">
      <c r="A44" s="44" t="s">
        <v>124</v>
      </c>
      <c r="B44" s="41">
        <v>101094</v>
      </c>
      <c r="C44" s="48" t="s">
        <v>25</v>
      </c>
      <c r="D44" s="53" t="s">
        <v>155</v>
      </c>
      <c r="E44" s="50" t="s">
        <v>147</v>
      </c>
      <c r="F44" s="31">
        <v>44</v>
      </c>
      <c r="G44" s="32">
        <v>206.45</v>
      </c>
      <c r="H44" s="32">
        <v>264.75147999999996</v>
      </c>
      <c r="I44" s="32">
        <f t="shared" si="6"/>
        <v>9083.7999999999993</v>
      </c>
      <c r="J44" s="33">
        <f t="shared" si="7"/>
        <v>11649.065119999997</v>
      </c>
    </row>
    <row r="45" spans="1:10" ht="28.5" customHeight="1">
      <c r="A45" s="44" t="s">
        <v>125</v>
      </c>
      <c r="B45" s="41">
        <v>102513</v>
      </c>
      <c r="C45" s="48" t="s">
        <v>25</v>
      </c>
      <c r="D45" s="53" t="s">
        <v>153</v>
      </c>
      <c r="E45" s="50" t="s">
        <v>74</v>
      </c>
      <c r="F45" s="31">
        <v>1.44</v>
      </c>
      <c r="G45" s="32">
        <v>37.79</v>
      </c>
      <c r="H45" s="32">
        <v>48.461895999999996</v>
      </c>
      <c r="I45" s="32">
        <f t="shared" si="6"/>
        <v>54.41</v>
      </c>
      <c r="J45" s="33">
        <f t="shared" si="7"/>
        <v>69.785130239999987</v>
      </c>
    </row>
    <row r="46" spans="1:10" ht="18.75" customHeight="1">
      <c r="A46" s="44" t="s">
        <v>126</v>
      </c>
      <c r="B46" s="41" t="s">
        <v>113</v>
      </c>
      <c r="C46" s="48" t="s">
        <v>28</v>
      </c>
      <c r="D46" s="53" t="s">
        <v>114</v>
      </c>
      <c r="E46" s="50" t="s">
        <v>30</v>
      </c>
      <c r="F46" s="31">
        <v>2</v>
      </c>
      <c r="G46" s="32">
        <v>1011.61</v>
      </c>
      <c r="H46" s="32">
        <v>1297.2886639999999</v>
      </c>
      <c r="I46" s="32">
        <f t="shared" si="6"/>
        <v>2023.22</v>
      </c>
      <c r="J46" s="33">
        <f t="shared" si="7"/>
        <v>2594.5773279999999</v>
      </c>
    </row>
    <row r="47" spans="1:10" ht="15.75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1"/>
    </row>
    <row r="48" spans="1:10" s="8" customFormat="1" ht="16.5" customHeight="1">
      <c r="A48" s="43" t="s">
        <v>10</v>
      </c>
      <c r="B48" s="40"/>
      <c r="C48" s="47"/>
      <c r="D48" s="52" t="s">
        <v>131</v>
      </c>
      <c r="E48" s="49"/>
      <c r="F48" s="28"/>
      <c r="G48" s="29"/>
      <c r="H48" s="29"/>
      <c r="I48" s="29"/>
      <c r="J48" s="30"/>
    </row>
    <row r="49" spans="1:10" s="8" customFormat="1" ht="12.75" customHeight="1">
      <c r="A49" s="90"/>
      <c r="B49" s="91"/>
      <c r="C49" s="91"/>
      <c r="D49" s="91"/>
      <c r="E49" s="91"/>
      <c r="F49" s="91"/>
      <c r="G49" s="92"/>
      <c r="H49" s="252" t="s">
        <v>246</v>
      </c>
      <c r="I49" s="252"/>
      <c r="J49" s="36">
        <f>J50*1</f>
        <v>619.16836799999999</v>
      </c>
    </row>
    <row r="50" spans="1:10" s="8" customFormat="1" ht="12.75" customHeight="1">
      <c r="A50" s="45"/>
      <c r="B50" s="87"/>
      <c r="C50" s="89"/>
      <c r="D50" s="87"/>
      <c r="E50" s="88"/>
      <c r="F50" s="88"/>
      <c r="G50" s="89"/>
      <c r="H50" s="252" t="s">
        <v>247</v>
      </c>
      <c r="I50" s="252"/>
      <c r="J50" s="36">
        <f>SUM(J51:J52)</f>
        <v>619.16836799999999</v>
      </c>
    </row>
    <row r="51" spans="1:10" ht="18.75" customHeight="1">
      <c r="A51" s="44" t="s">
        <v>132</v>
      </c>
      <c r="B51" s="41">
        <v>99814</v>
      </c>
      <c r="C51" s="48" t="s">
        <v>25</v>
      </c>
      <c r="D51" s="53" t="s">
        <v>156</v>
      </c>
      <c r="E51" s="50" t="s">
        <v>74</v>
      </c>
      <c r="F51" s="31">
        <v>144</v>
      </c>
      <c r="G51" s="32">
        <v>1.48</v>
      </c>
      <c r="H51" s="32">
        <v>1.8979519999999999</v>
      </c>
      <c r="I51" s="32">
        <f t="shared" ref="I51:I52" si="8">TRUNC(F51*G51,2)</f>
        <v>213.12</v>
      </c>
      <c r="J51" s="33">
        <f t="shared" ref="J51:J52" si="9">F51*H51</f>
        <v>273.30508799999996</v>
      </c>
    </row>
    <row r="52" spans="1:10" s="5" customFormat="1" ht="33">
      <c r="A52" s="44" t="s">
        <v>262</v>
      </c>
      <c r="B52" s="41">
        <v>97637</v>
      </c>
      <c r="C52" s="48" t="s">
        <v>25</v>
      </c>
      <c r="D52" s="53" t="s">
        <v>263</v>
      </c>
      <c r="E52" s="50" t="s">
        <v>74</v>
      </c>
      <c r="F52" s="31">
        <v>145</v>
      </c>
      <c r="G52" s="32">
        <v>1.86</v>
      </c>
      <c r="H52" s="32">
        <v>2.3852640000000003</v>
      </c>
      <c r="I52" s="32">
        <f t="shared" si="8"/>
        <v>269.7</v>
      </c>
      <c r="J52" s="33">
        <f t="shared" si="9"/>
        <v>345.86328000000003</v>
      </c>
    </row>
    <row r="53" spans="1:10" ht="17.25" customHeight="1">
      <c r="A53" s="264" t="s">
        <v>251</v>
      </c>
      <c r="B53" s="265"/>
      <c r="C53" s="265"/>
      <c r="D53" s="265"/>
      <c r="E53" s="265"/>
      <c r="F53" s="265"/>
      <c r="G53" s="265"/>
      <c r="H53" s="266"/>
      <c r="I53" s="253">
        <f>J50+J41+J29+J19+J11</f>
        <v>511522.25884858664</v>
      </c>
      <c r="J53" s="254"/>
    </row>
    <row r="54" spans="1:10" ht="15.75" thickBot="1">
      <c r="A54" s="261" t="s">
        <v>253</v>
      </c>
      <c r="B54" s="262"/>
      <c r="C54" s="262"/>
      <c r="D54" s="262"/>
      <c r="E54" s="262"/>
      <c r="F54" s="262"/>
      <c r="G54" s="262"/>
      <c r="H54" s="263"/>
      <c r="I54" s="259">
        <f>I53*1</f>
        <v>511522.25884858664</v>
      </c>
      <c r="J54" s="260"/>
    </row>
    <row r="55" spans="1:10" ht="12" customHeight="1">
      <c r="A55" s="299"/>
      <c r="B55" s="299"/>
      <c r="C55" s="299"/>
      <c r="D55" s="299"/>
    </row>
    <row r="56" spans="1:10" ht="9" customHeight="1">
      <c r="A56" s="229" t="s">
        <v>135</v>
      </c>
      <c r="B56" s="229"/>
      <c r="C56" s="229"/>
      <c r="D56" s="229"/>
    </row>
    <row r="57" spans="1:10" ht="9.75" customHeight="1">
      <c r="A57" s="229" t="s">
        <v>136</v>
      </c>
      <c r="B57" s="229"/>
      <c r="C57" s="229"/>
      <c r="D57" s="229"/>
    </row>
  </sheetData>
  <mergeCells count="30">
    <mergeCell ref="A10:D10"/>
    <mergeCell ref="H10:I10"/>
    <mergeCell ref="H49:I49"/>
    <mergeCell ref="H50:I50"/>
    <mergeCell ref="I54:J54"/>
    <mergeCell ref="I53:J53"/>
    <mergeCell ref="A55:D55"/>
    <mergeCell ref="A53:H53"/>
    <mergeCell ref="A54:H54"/>
    <mergeCell ref="H19:I19"/>
    <mergeCell ref="H29:I29"/>
    <mergeCell ref="H40:I40"/>
    <mergeCell ref="H28:I28"/>
    <mergeCell ref="A47:J47"/>
    <mergeCell ref="A56:D56"/>
    <mergeCell ref="A57:D57"/>
    <mergeCell ref="D17:J17"/>
    <mergeCell ref="A1:J1"/>
    <mergeCell ref="A2:J2"/>
    <mergeCell ref="A3:J3"/>
    <mergeCell ref="A4:J4"/>
    <mergeCell ref="A5:J5"/>
    <mergeCell ref="A6:J6"/>
    <mergeCell ref="H11:I11"/>
    <mergeCell ref="A7:J7"/>
    <mergeCell ref="A38:J38"/>
    <mergeCell ref="A26:J26"/>
    <mergeCell ref="H41:I41"/>
    <mergeCell ref="A18:D18"/>
    <mergeCell ref="H18:I18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3"/>
  <sheetViews>
    <sheetView view="pageBreakPreview" topLeftCell="A37" zoomScaleNormal="100" zoomScaleSheetLayoutView="100" workbookViewId="0">
      <selection activeCell="I50" sqref="I50:J50"/>
    </sheetView>
  </sheetViews>
  <sheetFormatPr defaultRowHeight="15"/>
  <cols>
    <col min="1" max="1" width="3.85546875" style="42" customWidth="1"/>
    <col min="2" max="2" width="5.7109375" style="39" customWidth="1"/>
    <col min="3" max="3" width="5.28515625" style="46" customWidth="1"/>
    <col min="4" max="4" width="26.85546875" style="51" customWidth="1"/>
    <col min="5" max="5" width="3.85546875" style="42" customWidth="1"/>
    <col min="6" max="6" width="6" style="26" customWidth="1"/>
    <col min="7" max="7" width="10.42578125" style="27" customWidth="1"/>
    <col min="8" max="8" width="11" style="27" customWidth="1"/>
    <col min="9" max="9" width="10.85546875" style="27" customWidth="1"/>
    <col min="10" max="10" width="13" style="27" customWidth="1"/>
    <col min="11" max="11" width="3.140625" customWidth="1"/>
    <col min="12" max="12" width="9.140625" customWidth="1"/>
  </cols>
  <sheetData>
    <row r="1" spans="1:10" ht="15.75" thickBot="1"/>
    <row r="2" spans="1:10" ht="72" customHeight="1">
      <c r="A2" s="269"/>
      <c r="B2" s="270"/>
      <c r="C2" s="270"/>
      <c r="D2" s="270"/>
      <c r="E2" s="270"/>
      <c r="F2" s="270"/>
      <c r="G2" s="270"/>
      <c r="H2" s="270"/>
      <c r="I2" s="270"/>
      <c r="J2" s="271"/>
    </row>
    <row r="3" spans="1:10">
      <c r="A3" s="272" t="s">
        <v>250</v>
      </c>
      <c r="B3" s="273"/>
      <c r="C3" s="273"/>
      <c r="D3" s="273"/>
      <c r="E3" s="273"/>
      <c r="F3" s="273"/>
      <c r="G3" s="273"/>
      <c r="H3" s="273"/>
      <c r="I3" s="273"/>
      <c r="J3" s="274"/>
    </row>
    <row r="4" spans="1:10">
      <c r="A4" s="272" t="s">
        <v>202</v>
      </c>
      <c r="B4" s="273"/>
      <c r="C4" s="273"/>
      <c r="D4" s="273"/>
      <c r="E4" s="273"/>
      <c r="F4" s="273"/>
      <c r="G4" s="273"/>
      <c r="H4" s="273"/>
      <c r="I4" s="273"/>
      <c r="J4" s="274"/>
    </row>
    <row r="5" spans="1:10">
      <c r="A5" s="272" t="s">
        <v>248</v>
      </c>
      <c r="B5" s="273"/>
      <c r="C5" s="273"/>
      <c r="D5" s="273"/>
      <c r="E5" s="273"/>
      <c r="F5" s="273"/>
      <c r="G5" s="273"/>
      <c r="H5" s="273"/>
      <c r="I5" s="273"/>
      <c r="J5" s="274"/>
    </row>
    <row r="6" spans="1:10">
      <c r="A6" s="272" t="s">
        <v>203</v>
      </c>
      <c r="B6" s="273"/>
      <c r="C6" s="273"/>
      <c r="D6" s="273"/>
      <c r="E6" s="273"/>
      <c r="F6" s="273"/>
      <c r="G6" s="273"/>
      <c r="H6" s="273"/>
      <c r="I6" s="273"/>
      <c r="J6" s="274"/>
    </row>
    <row r="7" spans="1:10" ht="15.75" thickBot="1">
      <c r="A7" s="286" t="s">
        <v>306</v>
      </c>
      <c r="B7" s="287"/>
      <c r="C7" s="287"/>
      <c r="D7" s="287"/>
      <c r="E7" s="287"/>
      <c r="F7" s="287"/>
      <c r="G7" s="287"/>
      <c r="H7" s="287"/>
      <c r="I7" s="287"/>
      <c r="J7" s="288"/>
    </row>
    <row r="8" spans="1:10" ht="14.25" customHeight="1" thickBot="1">
      <c r="A8" s="277" t="s">
        <v>260</v>
      </c>
      <c r="B8" s="278"/>
      <c r="C8" s="278"/>
      <c r="D8" s="278"/>
      <c r="E8" s="278"/>
      <c r="F8" s="278"/>
      <c r="G8" s="278"/>
      <c r="H8" s="278"/>
      <c r="I8" s="278"/>
      <c r="J8" s="279"/>
    </row>
    <row r="9" spans="1:10" ht="19.5" customHeight="1">
      <c r="A9" s="81" t="s">
        <v>1</v>
      </c>
      <c r="B9" s="82" t="s">
        <v>13</v>
      </c>
      <c r="C9" s="82" t="s">
        <v>14</v>
      </c>
      <c r="D9" s="83" t="s">
        <v>15</v>
      </c>
      <c r="E9" s="82" t="s">
        <v>245</v>
      </c>
      <c r="F9" s="84" t="s">
        <v>17</v>
      </c>
      <c r="G9" s="85" t="s">
        <v>18</v>
      </c>
      <c r="H9" s="85" t="s">
        <v>19</v>
      </c>
      <c r="I9" s="85" t="s">
        <v>20</v>
      </c>
      <c r="J9" s="86" t="s">
        <v>21</v>
      </c>
    </row>
    <row r="10" spans="1:10" ht="11.25" customHeight="1">
      <c r="A10" s="43" t="s">
        <v>22</v>
      </c>
      <c r="B10" s="40"/>
      <c r="C10" s="47"/>
      <c r="D10" s="52" t="s">
        <v>23</v>
      </c>
      <c r="E10" s="49"/>
      <c r="F10" s="28"/>
      <c r="G10" s="29"/>
      <c r="H10" s="29"/>
      <c r="I10" s="29"/>
      <c r="J10" s="30"/>
    </row>
    <row r="11" spans="1:10" ht="11.25" customHeight="1">
      <c r="A11" s="280"/>
      <c r="B11" s="281"/>
      <c r="C11" s="281"/>
      <c r="D11" s="281"/>
      <c r="E11" s="88"/>
      <c r="F11" s="88"/>
      <c r="G11" s="88"/>
      <c r="H11" s="252" t="s">
        <v>246</v>
      </c>
      <c r="I11" s="252"/>
      <c r="J11" s="36">
        <f>J12*6</f>
        <v>75067.423775999996</v>
      </c>
    </row>
    <row r="12" spans="1:10" ht="13.5" customHeight="1">
      <c r="A12" s="109"/>
      <c r="B12" s="91"/>
      <c r="C12" s="92"/>
      <c r="D12" s="87"/>
      <c r="E12" s="88"/>
      <c r="F12" s="88"/>
      <c r="G12" s="88"/>
      <c r="H12" s="252" t="s">
        <v>247</v>
      </c>
      <c r="I12" s="252"/>
      <c r="J12" s="36">
        <f>SUM(J13:J16)</f>
        <v>12511.237295999999</v>
      </c>
    </row>
    <row r="13" spans="1:10" ht="17.25" customHeight="1">
      <c r="A13" s="44" t="s">
        <v>24</v>
      </c>
      <c r="B13" s="41">
        <v>90777</v>
      </c>
      <c r="C13" s="48" t="s">
        <v>25</v>
      </c>
      <c r="D13" s="53" t="s">
        <v>137</v>
      </c>
      <c r="E13" s="50" t="s">
        <v>138</v>
      </c>
      <c r="F13" s="31">
        <v>9.6964285714285712</v>
      </c>
      <c r="G13" s="32">
        <v>89.11</v>
      </c>
      <c r="H13" s="32">
        <v>114.274664</v>
      </c>
      <c r="I13" s="32">
        <f t="shared" ref="I13:I14" si="0">TRUNC(F13*G13,2)</f>
        <v>864.04</v>
      </c>
      <c r="J13" s="33">
        <f>F13*H13</f>
        <v>1108.0561170000001</v>
      </c>
    </row>
    <row r="14" spans="1:10" ht="18.75" customHeight="1">
      <c r="A14" s="44" t="s">
        <v>26</v>
      </c>
      <c r="B14" s="41">
        <v>90776</v>
      </c>
      <c r="C14" s="48" t="s">
        <v>25</v>
      </c>
      <c r="D14" s="53" t="s">
        <v>139</v>
      </c>
      <c r="E14" s="50" t="s">
        <v>138</v>
      </c>
      <c r="F14" s="31">
        <v>16.160714285714285</v>
      </c>
      <c r="G14" s="32">
        <v>22.23</v>
      </c>
      <c r="H14" s="32">
        <v>28.507752</v>
      </c>
      <c r="I14" s="32">
        <f t="shared" si="0"/>
        <v>359.25</v>
      </c>
      <c r="J14" s="33">
        <f t="shared" ref="J14:J16" si="1">F14*H14</f>
        <v>460.70563499999997</v>
      </c>
    </row>
    <row r="15" spans="1:10" ht="16.5">
      <c r="A15" s="44" t="s">
        <v>229</v>
      </c>
      <c r="B15" s="41" t="s">
        <v>27</v>
      </c>
      <c r="C15" s="48" t="s">
        <v>28</v>
      </c>
      <c r="D15" s="53" t="s">
        <v>29</v>
      </c>
      <c r="E15" s="50" t="s">
        <v>30</v>
      </c>
      <c r="F15" s="31">
        <v>1</v>
      </c>
      <c r="G15" s="32">
        <v>1115.28</v>
      </c>
      <c r="H15" s="32">
        <v>1430.2350719999999</v>
      </c>
      <c r="I15" s="32">
        <f>TRUNC(F15*G15,2)</f>
        <v>1115.28</v>
      </c>
      <c r="J15" s="33">
        <f t="shared" si="1"/>
        <v>1430.2350719999999</v>
      </c>
    </row>
    <row r="16" spans="1:10" ht="16.5">
      <c r="A16" s="44" t="s">
        <v>312</v>
      </c>
      <c r="B16" s="117">
        <v>98459</v>
      </c>
      <c r="C16" s="118" t="s">
        <v>25</v>
      </c>
      <c r="D16" s="119" t="s">
        <v>261</v>
      </c>
      <c r="E16" s="122" t="s">
        <v>74</v>
      </c>
      <c r="F16" s="31">
        <v>73</v>
      </c>
      <c r="G16" s="120">
        <v>101.61</v>
      </c>
      <c r="H16" s="121">
        <v>130.304664</v>
      </c>
      <c r="I16" s="32">
        <f>G16*F16</f>
        <v>7417.53</v>
      </c>
      <c r="J16" s="33">
        <f t="shared" si="1"/>
        <v>9512.2404719999995</v>
      </c>
    </row>
    <row r="17" spans="1:11" s="5" customFormat="1" ht="12" customHeight="1">
      <c r="A17" s="93"/>
      <c r="B17" s="96"/>
      <c r="C17" s="96"/>
      <c r="D17" s="96"/>
      <c r="E17" s="96"/>
      <c r="F17" s="96"/>
      <c r="G17" s="96"/>
      <c r="H17" s="96"/>
      <c r="I17" s="96"/>
      <c r="J17" s="97"/>
    </row>
    <row r="18" spans="1:11" ht="15.75" customHeight="1">
      <c r="A18" s="43" t="s">
        <v>7</v>
      </c>
      <c r="B18" s="98"/>
      <c r="C18" s="99"/>
      <c r="D18" s="283" t="s">
        <v>32</v>
      </c>
      <c r="E18" s="284"/>
      <c r="F18" s="284"/>
      <c r="G18" s="284"/>
      <c r="H18" s="284"/>
      <c r="I18" s="284"/>
      <c r="J18" s="285"/>
    </row>
    <row r="19" spans="1:11" ht="15" customHeight="1">
      <c r="A19" s="280"/>
      <c r="B19" s="281"/>
      <c r="C19" s="281"/>
      <c r="D19" s="281"/>
      <c r="E19" s="88"/>
      <c r="F19" s="88"/>
      <c r="G19" s="88"/>
      <c r="H19" s="252" t="s">
        <v>246</v>
      </c>
      <c r="I19" s="252"/>
      <c r="J19" s="36">
        <f>J20*6</f>
        <v>427394.69897711999</v>
      </c>
    </row>
    <row r="20" spans="1:11" ht="15" customHeight="1">
      <c r="A20" s="45" t="s">
        <v>52</v>
      </c>
      <c r="B20" s="87"/>
      <c r="C20" s="89"/>
      <c r="D20" s="87" t="s">
        <v>53</v>
      </c>
      <c r="E20" s="88"/>
      <c r="F20" s="88"/>
      <c r="G20" s="89"/>
      <c r="H20" s="252" t="s">
        <v>247</v>
      </c>
      <c r="I20" s="252"/>
      <c r="J20" s="36">
        <f>SUM(J21:J26)</f>
        <v>71232.449829520003</v>
      </c>
    </row>
    <row r="21" spans="1:11" ht="35.25" customHeight="1">
      <c r="A21" s="44" t="s">
        <v>54</v>
      </c>
      <c r="B21" s="41">
        <v>96522</v>
      </c>
      <c r="C21" s="48" t="s">
        <v>25</v>
      </c>
      <c r="D21" s="53" t="s">
        <v>265</v>
      </c>
      <c r="E21" s="50" t="s">
        <v>140</v>
      </c>
      <c r="F21" s="31">
        <v>0.86</v>
      </c>
      <c r="G21" s="32">
        <v>113.6</v>
      </c>
      <c r="H21" s="32">
        <v>145.68063999999998</v>
      </c>
      <c r="I21" s="32">
        <f t="shared" ref="I21:I26" si="2">TRUNC(F21*G21,2)</f>
        <v>97.69</v>
      </c>
      <c r="J21" s="33">
        <f t="shared" ref="J21:J26" si="3">F21*H21</f>
        <v>125.28535039999998</v>
      </c>
    </row>
    <row r="22" spans="1:11" ht="18.75" customHeight="1">
      <c r="A22" s="44" t="s">
        <v>238</v>
      </c>
      <c r="B22" s="41">
        <v>92799</v>
      </c>
      <c r="C22" s="48" t="s">
        <v>25</v>
      </c>
      <c r="D22" s="53" t="s">
        <v>142</v>
      </c>
      <c r="E22" s="50" t="s">
        <v>141</v>
      </c>
      <c r="F22" s="31">
        <v>58.86</v>
      </c>
      <c r="G22" s="32">
        <v>14.18</v>
      </c>
      <c r="H22" s="32">
        <v>18.184432000000001</v>
      </c>
      <c r="I22" s="32">
        <f t="shared" si="2"/>
        <v>834.63</v>
      </c>
      <c r="J22" s="33">
        <f t="shared" si="3"/>
        <v>1070.33566752</v>
      </c>
    </row>
    <row r="23" spans="1:11" ht="28.5" customHeight="1">
      <c r="A23" s="44" t="s">
        <v>239</v>
      </c>
      <c r="B23" s="41">
        <v>96544</v>
      </c>
      <c r="C23" s="48" t="s">
        <v>25</v>
      </c>
      <c r="D23" s="53" t="s">
        <v>264</v>
      </c>
      <c r="E23" s="50" t="s">
        <v>141</v>
      </c>
      <c r="F23" s="31">
        <v>132.43</v>
      </c>
      <c r="G23" s="32">
        <v>18.809999999999999</v>
      </c>
      <c r="H23" s="32">
        <v>24.121943999999999</v>
      </c>
      <c r="I23" s="32">
        <f t="shared" si="2"/>
        <v>2491</v>
      </c>
      <c r="J23" s="33">
        <f t="shared" si="3"/>
        <v>3194.4690439199999</v>
      </c>
    </row>
    <row r="24" spans="1:11" s="55" customFormat="1" ht="30.75" customHeight="1">
      <c r="A24" s="44" t="s">
        <v>240</v>
      </c>
      <c r="B24" s="41">
        <v>96556</v>
      </c>
      <c r="C24" s="48" t="s">
        <v>25</v>
      </c>
      <c r="D24" s="53" t="s">
        <v>143</v>
      </c>
      <c r="E24" s="50" t="s">
        <v>140</v>
      </c>
      <c r="F24" s="31">
        <v>3.04</v>
      </c>
      <c r="G24" s="32">
        <v>778.89</v>
      </c>
      <c r="H24" s="32">
        <v>998.84853599999997</v>
      </c>
      <c r="I24" s="32">
        <f t="shared" si="2"/>
        <v>2367.8200000000002</v>
      </c>
      <c r="J24" s="33">
        <f t="shared" si="3"/>
        <v>3036.49954944</v>
      </c>
      <c r="K24"/>
    </row>
    <row r="25" spans="1:11" s="54" customFormat="1" ht="16.5">
      <c r="A25" s="44" t="s">
        <v>55</v>
      </c>
      <c r="B25" s="57" t="s">
        <v>288</v>
      </c>
      <c r="C25" s="58" t="s">
        <v>268</v>
      </c>
      <c r="D25" s="53" t="s">
        <v>280</v>
      </c>
      <c r="E25" s="50" t="s">
        <v>30</v>
      </c>
      <c r="F25" s="31">
        <v>1</v>
      </c>
      <c r="G25" s="62">
        <v>49670.74</v>
      </c>
      <c r="H25" s="32">
        <v>63697.756975999997</v>
      </c>
      <c r="I25" s="32">
        <v>49670.74</v>
      </c>
      <c r="J25" s="33">
        <v>63697.756975999997</v>
      </c>
      <c r="K25"/>
    </row>
    <row r="26" spans="1:11" s="54" customFormat="1" ht="27" customHeight="1">
      <c r="A26" s="44" t="s">
        <v>241</v>
      </c>
      <c r="B26" s="41">
        <v>95241</v>
      </c>
      <c r="C26" s="48" t="s">
        <v>25</v>
      </c>
      <c r="D26" s="53" t="s">
        <v>144</v>
      </c>
      <c r="E26" s="50" t="s">
        <v>74</v>
      </c>
      <c r="F26" s="31">
        <v>2.88</v>
      </c>
      <c r="G26" s="32">
        <v>29.27</v>
      </c>
      <c r="H26" s="32">
        <v>37.535848000000001</v>
      </c>
      <c r="I26" s="32">
        <f t="shared" si="2"/>
        <v>84.29</v>
      </c>
      <c r="J26" s="33">
        <f t="shared" si="3"/>
        <v>108.10324224</v>
      </c>
      <c r="K26"/>
    </row>
    <row r="27" spans="1:11" s="5" customFormat="1" ht="9" customHeight="1">
      <c r="A27" s="100"/>
      <c r="B27" s="101"/>
      <c r="C27" s="101"/>
      <c r="D27" s="101"/>
      <c r="E27" s="101"/>
      <c r="F27" s="101"/>
      <c r="G27" s="101"/>
      <c r="H27" s="102"/>
      <c r="I27" s="96"/>
      <c r="J27" s="97"/>
    </row>
    <row r="28" spans="1:11" ht="13.5" customHeight="1">
      <c r="A28" s="43" t="s">
        <v>8</v>
      </c>
      <c r="B28" s="105"/>
      <c r="C28" s="106"/>
      <c r="D28" s="98" t="s">
        <v>56</v>
      </c>
      <c r="E28" s="103"/>
      <c r="F28" s="103"/>
      <c r="G28" s="103"/>
      <c r="H28" s="103"/>
      <c r="I28" s="103"/>
      <c r="J28" s="104"/>
    </row>
    <row r="29" spans="1:11" ht="13.5" customHeight="1">
      <c r="A29" s="90"/>
      <c r="B29" s="91"/>
      <c r="C29" s="91"/>
      <c r="D29" s="91"/>
      <c r="E29" s="91"/>
      <c r="F29" s="91"/>
      <c r="G29" s="92"/>
      <c r="H29" s="252" t="s">
        <v>246</v>
      </c>
      <c r="I29" s="252"/>
      <c r="J29" s="36">
        <f>J30*6</f>
        <v>261892.38561472</v>
      </c>
    </row>
    <row r="30" spans="1:11" ht="13.5" customHeight="1">
      <c r="A30" s="45" t="s">
        <v>95</v>
      </c>
      <c r="B30" s="87"/>
      <c r="C30" s="89"/>
      <c r="D30" s="87" t="s">
        <v>53</v>
      </c>
      <c r="E30" s="88"/>
      <c r="F30" s="88"/>
      <c r="G30" s="89"/>
      <c r="H30" s="252" t="s">
        <v>247</v>
      </c>
      <c r="I30" s="252"/>
      <c r="J30" s="36">
        <f>SUM(J31:J34)</f>
        <v>43648.730935786669</v>
      </c>
    </row>
    <row r="31" spans="1:11" ht="17.25" customHeight="1">
      <c r="A31" s="44" t="s">
        <v>244</v>
      </c>
      <c r="B31" s="41">
        <v>40726</v>
      </c>
      <c r="C31" s="48" t="s">
        <v>302</v>
      </c>
      <c r="D31" s="53" t="s">
        <v>303</v>
      </c>
      <c r="E31" s="50" t="s">
        <v>147</v>
      </c>
      <c r="F31" s="31">
        <v>48</v>
      </c>
      <c r="G31" s="32">
        <v>152.29</v>
      </c>
      <c r="H31" s="32">
        <v>195.296696</v>
      </c>
      <c r="I31" s="32">
        <f t="shared" ref="I31:I33" si="4">TRUNC(F31*G31,2)</f>
        <v>7309.92</v>
      </c>
      <c r="J31" s="33">
        <f t="shared" ref="J31:J34" si="5">F31*H31</f>
        <v>9374.2414079999999</v>
      </c>
    </row>
    <row r="32" spans="1:11" ht="45" customHeight="1">
      <c r="A32" s="44" t="s">
        <v>96</v>
      </c>
      <c r="B32" s="41">
        <v>100743</v>
      </c>
      <c r="C32" s="48" t="s">
        <v>25</v>
      </c>
      <c r="D32" s="53" t="s">
        <v>148</v>
      </c>
      <c r="E32" s="50" t="s">
        <v>74</v>
      </c>
      <c r="F32" s="31">
        <v>110.58</v>
      </c>
      <c r="G32" s="32">
        <v>8.86</v>
      </c>
      <c r="H32" s="32">
        <v>11.362063999999998</v>
      </c>
      <c r="I32" s="32">
        <f t="shared" si="4"/>
        <v>979.73</v>
      </c>
      <c r="J32" s="33">
        <f t="shared" si="5"/>
        <v>1256.4170371199998</v>
      </c>
    </row>
    <row r="33" spans="1:10" ht="17.25" customHeight="1">
      <c r="A33" s="44" t="s">
        <v>97</v>
      </c>
      <c r="B33" s="41" t="s">
        <v>99</v>
      </c>
      <c r="C33" s="48" t="s">
        <v>294</v>
      </c>
      <c r="D33" s="53" t="s">
        <v>293</v>
      </c>
      <c r="E33" s="50" t="s">
        <v>74</v>
      </c>
      <c r="F33" s="31">
        <v>72</v>
      </c>
      <c r="G33" s="32">
        <v>164.08</v>
      </c>
      <c r="H33" s="32">
        <v>210.41619200000002</v>
      </c>
      <c r="I33" s="32">
        <f t="shared" si="4"/>
        <v>11813.76</v>
      </c>
      <c r="J33" s="33">
        <f t="shared" si="5"/>
        <v>15149.965824000003</v>
      </c>
    </row>
    <row r="34" spans="1:10" ht="16.5" customHeight="1">
      <c r="A34" s="44" t="s">
        <v>98</v>
      </c>
      <c r="B34" s="41" t="s">
        <v>213</v>
      </c>
      <c r="C34" s="48" t="s">
        <v>214</v>
      </c>
      <c r="D34" s="53" t="s">
        <v>206</v>
      </c>
      <c r="E34" s="50" t="s">
        <v>30</v>
      </c>
      <c r="F34" s="31">
        <v>2</v>
      </c>
      <c r="G34" s="32">
        <v>6966.666666666667</v>
      </c>
      <c r="H34" s="32">
        <v>8934.0533333333333</v>
      </c>
      <c r="I34" s="32">
        <v>13933.33</v>
      </c>
      <c r="J34" s="33">
        <f t="shared" si="5"/>
        <v>17868.106666666667</v>
      </c>
    </row>
    <row r="35" spans="1:10" s="5" customFormat="1" ht="9.75" customHeight="1">
      <c r="A35" s="107"/>
      <c r="B35" s="96"/>
      <c r="C35" s="96"/>
      <c r="D35" s="96"/>
      <c r="E35" s="96"/>
      <c r="F35" s="96"/>
      <c r="G35" s="96"/>
      <c r="H35" s="96"/>
      <c r="I35" s="96"/>
      <c r="J35" s="97"/>
    </row>
    <row r="36" spans="1:10" ht="12" customHeight="1">
      <c r="A36" s="43" t="s">
        <v>9</v>
      </c>
      <c r="B36" s="40"/>
      <c r="C36" s="47"/>
      <c r="D36" s="52" t="s">
        <v>100</v>
      </c>
      <c r="E36" s="49"/>
      <c r="F36" s="28"/>
      <c r="G36" s="29"/>
      <c r="H36" s="29"/>
      <c r="I36" s="29"/>
      <c r="J36" s="30"/>
    </row>
    <row r="37" spans="1:10" ht="12" customHeight="1">
      <c r="A37" s="90"/>
      <c r="B37" s="91"/>
      <c r="C37" s="91"/>
      <c r="D37" s="91"/>
      <c r="E37" s="91"/>
      <c r="F37" s="91"/>
      <c r="G37" s="92"/>
      <c r="H37" s="252" t="s">
        <v>246</v>
      </c>
      <c r="I37" s="252"/>
      <c r="J37" s="36">
        <f>J38*6</f>
        <v>153732.26534399998</v>
      </c>
    </row>
    <row r="38" spans="1:10" ht="12.75" customHeight="1">
      <c r="A38" s="45"/>
      <c r="B38" s="87"/>
      <c r="C38" s="89"/>
      <c r="D38" s="87" t="s">
        <v>53</v>
      </c>
      <c r="E38" s="88"/>
      <c r="F38" s="88"/>
      <c r="G38" s="89"/>
      <c r="H38" s="252" t="s">
        <v>247</v>
      </c>
      <c r="I38" s="252"/>
      <c r="J38" s="36">
        <f>SUM(J39:J41)</f>
        <v>25622.044223999997</v>
      </c>
    </row>
    <row r="39" spans="1:10" ht="43.5" customHeight="1">
      <c r="A39" s="44" t="s">
        <v>101</v>
      </c>
      <c r="B39" s="41">
        <v>103304</v>
      </c>
      <c r="C39" s="48" t="s">
        <v>25</v>
      </c>
      <c r="D39" s="53" t="s">
        <v>151</v>
      </c>
      <c r="E39" s="50" t="s">
        <v>152</v>
      </c>
      <c r="F39" s="31">
        <v>8</v>
      </c>
      <c r="G39" s="32">
        <v>1226.93</v>
      </c>
      <c r="H39" s="32">
        <v>1573.4150320000001</v>
      </c>
      <c r="I39" s="32">
        <f t="shared" ref="I39:I41" si="6">TRUNC(F39*G39,2)</f>
        <v>9815.44</v>
      </c>
      <c r="J39" s="33">
        <f t="shared" ref="J39:J41" si="7">F39*H39</f>
        <v>12587.320256000001</v>
      </c>
    </row>
    <row r="40" spans="1:10" ht="42.75" customHeight="1">
      <c r="A40" s="44" t="s">
        <v>104</v>
      </c>
      <c r="B40" s="41">
        <v>103307</v>
      </c>
      <c r="C40" s="48" t="s">
        <v>25</v>
      </c>
      <c r="D40" s="53" t="s">
        <v>154</v>
      </c>
      <c r="E40" s="50" t="s">
        <v>152</v>
      </c>
      <c r="F40" s="31">
        <v>4</v>
      </c>
      <c r="G40" s="32">
        <v>1302.3800000000001</v>
      </c>
      <c r="H40" s="32">
        <v>1670.1721120000002</v>
      </c>
      <c r="I40" s="32">
        <f t="shared" si="6"/>
        <v>5209.5200000000004</v>
      </c>
      <c r="J40" s="33">
        <f t="shared" si="7"/>
        <v>6680.6884480000008</v>
      </c>
    </row>
    <row r="41" spans="1:10" ht="27" customHeight="1">
      <c r="A41" s="44" t="s">
        <v>107</v>
      </c>
      <c r="B41" s="41">
        <v>101094</v>
      </c>
      <c r="C41" s="48" t="s">
        <v>25</v>
      </c>
      <c r="D41" s="53" t="s">
        <v>155</v>
      </c>
      <c r="E41" s="50" t="s">
        <v>147</v>
      </c>
      <c r="F41" s="31">
        <v>24</v>
      </c>
      <c r="G41" s="32">
        <v>206.45</v>
      </c>
      <c r="H41" s="32">
        <v>264.75147999999996</v>
      </c>
      <c r="I41" s="32">
        <f t="shared" si="6"/>
        <v>4954.8</v>
      </c>
      <c r="J41" s="33">
        <f t="shared" si="7"/>
        <v>6354.0355199999995</v>
      </c>
    </row>
    <row r="42" spans="1:10" s="5" customFormat="1" ht="8.25" customHeight="1">
      <c r="A42" s="107"/>
      <c r="B42" s="96"/>
      <c r="C42" s="96"/>
      <c r="D42" s="96"/>
      <c r="E42" s="96"/>
      <c r="F42" s="96"/>
      <c r="G42" s="96"/>
      <c r="H42" s="96"/>
      <c r="I42" s="96"/>
      <c r="J42" s="97"/>
    </row>
    <row r="43" spans="1:10" s="8" customFormat="1" ht="12.75" customHeight="1">
      <c r="A43" s="43" t="s">
        <v>10</v>
      </c>
      <c r="B43" s="40"/>
      <c r="C43" s="47"/>
      <c r="D43" s="52" t="s">
        <v>131</v>
      </c>
      <c r="E43" s="49"/>
      <c r="F43" s="28"/>
      <c r="G43" s="29"/>
      <c r="H43" s="29"/>
      <c r="I43" s="29"/>
      <c r="J43" s="30"/>
    </row>
    <row r="44" spans="1:10" s="8" customFormat="1" ht="13.5" customHeight="1">
      <c r="A44" s="90"/>
      <c r="B44" s="91"/>
      <c r="C44" s="91"/>
      <c r="D44" s="91"/>
      <c r="E44" s="91"/>
      <c r="F44" s="91"/>
      <c r="G44" s="92"/>
      <c r="H44" s="252" t="s">
        <v>246</v>
      </c>
      <c r="I44" s="252"/>
      <c r="J44" s="36">
        <f>J45*6</f>
        <v>1864.6608959999999</v>
      </c>
    </row>
    <row r="45" spans="1:10" s="8" customFormat="1" ht="12.75" customHeight="1">
      <c r="A45" s="45"/>
      <c r="B45" s="87"/>
      <c r="C45" s="89"/>
      <c r="D45" s="87"/>
      <c r="E45" s="88"/>
      <c r="F45" s="88"/>
      <c r="G45" s="89"/>
      <c r="H45" s="252" t="s">
        <v>247</v>
      </c>
      <c r="I45" s="252"/>
      <c r="J45" s="36">
        <f>SUM(J46:J47)</f>
        <v>310.776816</v>
      </c>
    </row>
    <row r="46" spans="1:10" ht="18" customHeight="1">
      <c r="A46" s="44" t="s">
        <v>132</v>
      </c>
      <c r="B46" s="41">
        <v>99814</v>
      </c>
      <c r="C46" s="48" t="s">
        <v>25</v>
      </c>
      <c r="D46" s="53" t="s">
        <v>156</v>
      </c>
      <c r="E46" s="50" t="s">
        <v>74</v>
      </c>
      <c r="F46" s="31">
        <v>72</v>
      </c>
      <c r="G46" s="32">
        <v>1.48</v>
      </c>
      <c r="H46" s="32">
        <v>1.8979519999999999</v>
      </c>
      <c r="I46" s="32">
        <f t="shared" ref="I46:I47" si="8">TRUNC(F46*G46,2)</f>
        <v>106.56</v>
      </c>
      <c r="J46" s="33">
        <f t="shared" ref="J46:J47" si="9">F46*H46</f>
        <v>136.65254399999998</v>
      </c>
    </row>
    <row r="47" spans="1:10" s="5" customFormat="1" ht="27.75" customHeight="1">
      <c r="A47" s="44" t="s">
        <v>262</v>
      </c>
      <c r="B47" s="41">
        <v>97637</v>
      </c>
      <c r="C47" s="48" t="s">
        <v>25</v>
      </c>
      <c r="D47" s="53" t="s">
        <v>263</v>
      </c>
      <c r="E47" s="50" t="s">
        <v>74</v>
      </c>
      <c r="F47" s="31">
        <f>73</f>
        <v>73</v>
      </c>
      <c r="G47" s="32">
        <v>1.86</v>
      </c>
      <c r="H47" s="32">
        <v>2.3852640000000003</v>
      </c>
      <c r="I47" s="32">
        <f t="shared" si="8"/>
        <v>135.78</v>
      </c>
      <c r="J47" s="33">
        <f t="shared" si="9"/>
        <v>174.12427200000002</v>
      </c>
    </row>
    <row r="48" spans="1:10" ht="13.5" customHeight="1">
      <c r="A48" s="295" t="s">
        <v>251</v>
      </c>
      <c r="B48" s="296"/>
      <c r="C48" s="296"/>
      <c r="D48" s="296"/>
      <c r="E48" s="296"/>
      <c r="F48" s="296"/>
      <c r="G48" s="296"/>
      <c r="H48" s="296"/>
      <c r="I48" s="297">
        <f>J12+J20+J30+J38+J45</f>
        <v>153325.23910130665</v>
      </c>
      <c r="J48" s="298"/>
    </row>
    <row r="49" spans="1:10" ht="15.75" hidden="1" customHeight="1">
      <c r="A49" s="295" t="s">
        <v>252</v>
      </c>
      <c r="B49" s="296"/>
      <c r="C49" s="296"/>
      <c r="D49" s="296"/>
      <c r="E49" s="296"/>
      <c r="F49" s="296"/>
      <c r="G49" s="296"/>
      <c r="H49" s="296"/>
      <c r="I49" s="297">
        <f>TRUNC(I48*(1-11%),2)</f>
        <v>136459.46</v>
      </c>
      <c r="J49" s="298"/>
    </row>
    <row r="50" spans="1:10" ht="13.5" customHeight="1">
      <c r="A50" s="295" t="s">
        <v>253</v>
      </c>
      <c r="B50" s="296"/>
      <c r="C50" s="296"/>
      <c r="D50" s="296"/>
      <c r="E50" s="296"/>
      <c r="F50" s="296"/>
      <c r="G50" s="296"/>
      <c r="H50" s="296"/>
      <c r="I50" s="297">
        <f>153325.24*6</f>
        <v>919951.44</v>
      </c>
      <c r="J50" s="298"/>
    </row>
    <row r="51" spans="1:10" ht="12.75" hidden="1" customHeight="1" thickBot="1">
      <c r="A51" s="300" t="s">
        <v>134</v>
      </c>
      <c r="B51" s="301"/>
      <c r="C51" s="301"/>
      <c r="D51" s="301"/>
      <c r="E51" s="301"/>
      <c r="F51" s="301"/>
      <c r="G51" s="301"/>
      <c r="H51" s="301"/>
      <c r="I51" s="302">
        <f>TRUNC(I49*(1-11%),2)</f>
        <v>121448.91</v>
      </c>
      <c r="J51" s="303"/>
    </row>
    <row r="52" spans="1:10" ht="10.5" customHeight="1">
      <c r="A52" s="304" t="s">
        <v>135</v>
      </c>
      <c r="B52" s="304"/>
      <c r="C52" s="304"/>
      <c r="D52" s="304"/>
    </row>
    <row r="53" spans="1:10" ht="8.25" customHeight="1">
      <c r="A53" s="304" t="s">
        <v>136</v>
      </c>
      <c r="B53" s="304"/>
      <c r="C53" s="304"/>
      <c r="D53" s="304"/>
    </row>
  </sheetData>
  <mergeCells count="30">
    <mergeCell ref="H20:I20"/>
    <mergeCell ref="A49:H49"/>
    <mergeCell ref="I49:J49"/>
    <mergeCell ref="A48:H48"/>
    <mergeCell ref="H29:I29"/>
    <mergeCell ref="H38:I38"/>
    <mergeCell ref="H37:I37"/>
    <mergeCell ref="H30:I30"/>
    <mergeCell ref="H44:I44"/>
    <mergeCell ref="H45:I45"/>
    <mergeCell ref="I48:J48"/>
    <mergeCell ref="A2:J2"/>
    <mergeCell ref="A3:J3"/>
    <mergeCell ref="A4:J4"/>
    <mergeCell ref="A5:J5"/>
    <mergeCell ref="A6:J6"/>
    <mergeCell ref="A7:J7"/>
    <mergeCell ref="A8:J8"/>
    <mergeCell ref="H12:I12"/>
    <mergeCell ref="A19:D19"/>
    <mergeCell ref="H19:I19"/>
    <mergeCell ref="A11:D11"/>
    <mergeCell ref="H11:I11"/>
    <mergeCell ref="D18:J18"/>
    <mergeCell ref="I50:J50"/>
    <mergeCell ref="A51:H51"/>
    <mergeCell ref="I51:J51"/>
    <mergeCell ref="A52:D52"/>
    <mergeCell ref="A53:D53"/>
    <mergeCell ref="A50:H50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110"/>
  <sheetViews>
    <sheetView view="pageBreakPreview" topLeftCell="A448" zoomScale="120" zoomScaleNormal="130" zoomScaleSheetLayoutView="120" workbookViewId="0">
      <selection activeCell="D496" sqref="D496:D497"/>
    </sheetView>
  </sheetViews>
  <sheetFormatPr defaultRowHeight="15"/>
  <cols>
    <col min="1" max="1" width="1" customWidth="1"/>
    <col min="2" max="2" width="7.85546875" customWidth="1"/>
    <col min="3" max="3" width="8.5703125" style="4" customWidth="1"/>
    <col min="4" max="4" width="30.5703125" style="63" customWidth="1"/>
    <col min="5" max="5" width="6.85546875" style="4" customWidth="1"/>
    <col min="6" max="6" width="7.7109375" style="6" customWidth="1"/>
    <col min="7" max="7" width="12.28515625" style="56" customWidth="1"/>
    <col min="8" max="8" width="16.28515625" style="7" customWidth="1"/>
    <col min="9" max="9" width="4.28515625" customWidth="1"/>
  </cols>
  <sheetData>
    <row r="1" spans="2:9" ht="10.5" customHeight="1" thickBot="1"/>
    <row r="2" spans="2:9" ht="74.25" customHeight="1">
      <c r="B2" s="269"/>
      <c r="C2" s="270"/>
      <c r="D2" s="270"/>
      <c r="E2" s="270"/>
      <c r="F2" s="270"/>
      <c r="G2" s="270"/>
      <c r="H2" s="271"/>
      <c r="I2" s="197"/>
    </row>
    <row r="3" spans="2:9">
      <c r="B3" s="272" t="s">
        <v>250</v>
      </c>
      <c r="C3" s="273"/>
      <c r="D3" s="273"/>
      <c r="E3" s="273"/>
      <c r="F3" s="273"/>
      <c r="G3" s="273"/>
      <c r="H3" s="274"/>
      <c r="I3" s="198"/>
    </row>
    <row r="4" spans="2:9">
      <c r="B4" s="272" t="s">
        <v>202</v>
      </c>
      <c r="C4" s="273"/>
      <c r="D4" s="273"/>
      <c r="E4" s="273"/>
      <c r="F4" s="273"/>
      <c r="G4" s="273"/>
      <c r="H4" s="274"/>
      <c r="I4" s="198"/>
    </row>
    <row r="5" spans="2:9">
      <c r="B5" s="272" t="s">
        <v>248</v>
      </c>
      <c r="C5" s="273"/>
      <c r="D5" s="273"/>
      <c r="E5" s="273"/>
      <c r="F5" s="273"/>
      <c r="G5" s="273"/>
      <c r="H5" s="274"/>
      <c r="I5" s="198"/>
    </row>
    <row r="6" spans="2:9">
      <c r="B6" s="272" t="s">
        <v>203</v>
      </c>
      <c r="C6" s="273"/>
      <c r="D6" s="273"/>
      <c r="E6" s="273"/>
      <c r="F6" s="273"/>
      <c r="G6" s="273"/>
      <c r="H6" s="274"/>
      <c r="I6" s="198"/>
    </row>
    <row r="7" spans="2:9" ht="15.75" thickBot="1">
      <c r="B7" s="275" t="s">
        <v>306</v>
      </c>
      <c r="C7" s="276"/>
      <c r="D7" s="276"/>
      <c r="E7" s="276"/>
      <c r="F7" s="276"/>
      <c r="G7" s="276"/>
      <c r="H7" s="307"/>
      <c r="I7" s="198"/>
    </row>
    <row r="8" spans="2:9" ht="15.75" thickBot="1">
      <c r="B8" s="277" t="s">
        <v>309</v>
      </c>
      <c r="C8" s="278"/>
      <c r="D8" s="278"/>
      <c r="E8" s="278"/>
      <c r="F8" s="278"/>
      <c r="G8" s="278"/>
      <c r="H8" s="279"/>
      <c r="I8" s="199"/>
    </row>
    <row r="9" spans="2:9" ht="26.25" customHeight="1" thickBot="1">
      <c r="B9" s="207" t="s">
        <v>310</v>
      </c>
      <c r="C9" s="160" t="s">
        <v>13</v>
      </c>
      <c r="D9" s="161" t="s">
        <v>157</v>
      </c>
      <c r="E9" s="162" t="s">
        <v>16</v>
      </c>
      <c r="F9" s="163" t="s">
        <v>17</v>
      </c>
      <c r="G9" s="208" t="s">
        <v>158</v>
      </c>
      <c r="H9" s="164" t="s">
        <v>159</v>
      </c>
    </row>
    <row r="10" spans="2:9" s="8" customFormat="1">
      <c r="B10" s="308" t="s">
        <v>27</v>
      </c>
      <c r="C10" s="309"/>
      <c r="D10" s="165" t="s">
        <v>29</v>
      </c>
      <c r="E10" s="176" t="s">
        <v>74</v>
      </c>
      <c r="F10" s="166" t="s">
        <v>160</v>
      </c>
      <c r="G10" s="167"/>
      <c r="H10" s="168">
        <v>1405.22</v>
      </c>
    </row>
    <row r="11" spans="2:9" ht="28.5" customHeight="1">
      <c r="B11" s="72" t="s">
        <v>25</v>
      </c>
      <c r="C11" s="138">
        <v>4813</v>
      </c>
      <c r="D11" s="53" t="s">
        <v>161</v>
      </c>
      <c r="E11" s="64" t="s">
        <v>74</v>
      </c>
      <c r="F11" s="31">
        <v>2</v>
      </c>
      <c r="G11" s="65">
        <v>445</v>
      </c>
      <c r="H11" s="66">
        <f>F11*G11</f>
        <v>890</v>
      </c>
    </row>
    <row r="12" spans="2:9" ht="19.5" customHeight="1">
      <c r="B12" s="72" t="s">
        <v>25</v>
      </c>
      <c r="C12" s="138">
        <v>4115</v>
      </c>
      <c r="D12" s="53" t="s">
        <v>162</v>
      </c>
      <c r="E12" s="64" t="s">
        <v>147</v>
      </c>
      <c r="F12" s="31">
        <v>10</v>
      </c>
      <c r="G12" s="65">
        <v>29.53</v>
      </c>
      <c r="H12" s="66">
        <f t="shared" ref="H12:H13" si="0">F12*G12</f>
        <v>295.3</v>
      </c>
    </row>
    <row r="13" spans="2:9" ht="15.75" thickBot="1">
      <c r="B13" s="73" t="s">
        <v>25</v>
      </c>
      <c r="C13" s="139">
        <v>88316</v>
      </c>
      <c r="D13" s="74" t="s">
        <v>163</v>
      </c>
      <c r="E13" s="67" t="s">
        <v>138</v>
      </c>
      <c r="F13" s="68">
        <v>16</v>
      </c>
      <c r="G13" s="69">
        <v>16.02</v>
      </c>
      <c r="H13" s="66">
        <f t="shared" si="0"/>
        <v>256.32</v>
      </c>
    </row>
    <row r="14" spans="2:9" ht="15.75" thickBot="1">
      <c r="B14" s="200"/>
      <c r="C14" s="123"/>
      <c r="D14" s="51"/>
      <c r="E14" s="123"/>
      <c r="F14" s="140"/>
      <c r="G14" s="141"/>
      <c r="H14" s="201"/>
    </row>
    <row r="15" spans="2:9" s="8" customFormat="1">
      <c r="B15" s="310" t="s">
        <v>68</v>
      </c>
      <c r="C15" s="311"/>
      <c r="D15" s="165" t="s">
        <v>58</v>
      </c>
      <c r="E15" s="176" t="s">
        <v>30</v>
      </c>
      <c r="F15" s="166" t="s">
        <v>160</v>
      </c>
      <c r="G15" s="167"/>
      <c r="H15" s="168">
        <f>SUM(H16:H20)</f>
        <v>2670.4559999999997</v>
      </c>
    </row>
    <row r="16" spans="2:9" ht="23.25" customHeight="1">
      <c r="B16" s="72" t="s">
        <v>25</v>
      </c>
      <c r="C16" s="173">
        <v>43106</v>
      </c>
      <c r="D16" s="53" t="s">
        <v>304</v>
      </c>
      <c r="E16" s="64" t="s">
        <v>141</v>
      </c>
      <c r="F16" s="31">
        <v>92.16</v>
      </c>
      <c r="G16" s="65">
        <v>17.850000000000001</v>
      </c>
      <c r="H16" s="66">
        <f t="shared" ref="H16:H20" si="1">F16*G16</f>
        <v>1645.056</v>
      </c>
    </row>
    <row r="17" spans="2:8" ht="20.25" customHeight="1">
      <c r="B17" s="72" t="s">
        <v>25</v>
      </c>
      <c r="C17" s="173">
        <v>88278</v>
      </c>
      <c r="D17" s="53" t="s">
        <v>164</v>
      </c>
      <c r="E17" s="64" t="s">
        <v>138</v>
      </c>
      <c r="F17" s="31">
        <v>8</v>
      </c>
      <c r="G17" s="65">
        <v>14.42</v>
      </c>
      <c r="H17" s="66">
        <f t="shared" si="1"/>
        <v>115.36</v>
      </c>
    </row>
    <row r="18" spans="2:8" ht="20.25" customHeight="1">
      <c r="B18" s="126" t="s">
        <v>25</v>
      </c>
      <c r="C18" s="127">
        <v>100717</v>
      </c>
      <c r="D18" s="129" t="s">
        <v>281</v>
      </c>
      <c r="E18" s="179" t="s">
        <v>74</v>
      </c>
      <c r="F18" s="177">
        <v>18</v>
      </c>
      <c r="G18" s="180">
        <v>7.49</v>
      </c>
      <c r="H18" s="181">
        <f t="shared" si="1"/>
        <v>134.82</v>
      </c>
    </row>
    <row r="19" spans="2:8" ht="41.25">
      <c r="B19" s="126" t="s">
        <v>25</v>
      </c>
      <c r="C19" s="135">
        <v>100758</v>
      </c>
      <c r="D19" s="129" t="s">
        <v>274</v>
      </c>
      <c r="E19" s="135" t="s">
        <v>74</v>
      </c>
      <c r="F19" s="178">
        <v>18</v>
      </c>
      <c r="G19" s="136">
        <v>37.81</v>
      </c>
      <c r="H19" s="133">
        <f t="shared" si="1"/>
        <v>680.58</v>
      </c>
    </row>
    <row r="20" spans="2:8" ht="20.25" customHeight="1" thickBot="1">
      <c r="B20" s="151" t="s">
        <v>25</v>
      </c>
      <c r="C20" s="174">
        <v>88240</v>
      </c>
      <c r="D20" s="175" t="s">
        <v>273</v>
      </c>
      <c r="E20" s="182" t="s">
        <v>138</v>
      </c>
      <c r="F20" s="185">
        <v>8</v>
      </c>
      <c r="G20" s="183">
        <v>11.83</v>
      </c>
      <c r="H20" s="184">
        <f t="shared" si="1"/>
        <v>94.64</v>
      </c>
    </row>
    <row r="21" spans="2:8" s="8" customFormat="1">
      <c r="B21" s="308" t="s">
        <v>79</v>
      </c>
      <c r="C21" s="309"/>
      <c r="D21" s="165" t="s">
        <v>58</v>
      </c>
      <c r="E21" s="176" t="s">
        <v>30</v>
      </c>
      <c r="F21" s="166" t="s">
        <v>160</v>
      </c>
      <c r="G21" s="167"/>
      <c r="H21" s="168">
        <f>SUM(H22:H26)</f>
        <v>10681.823999999999</v>
      </c>
    </row>
    <row r="22" spans="2:8" ht="24" customHeight="1">
      <c r="B22" s="72" t="s">
        <v>25</v>
      </c>
      <c r="C22" s="173">
        <v>43106</v>
      </c>
      <c r="D22" s="53" t="s">
        <v>304</v>
      </c>
      <c r="E22" s="64" t="s">
        <v>141</v>
      </c>
      <c r="F22" s="31">
        <v>368.64</v>
      </c>
      <c r="G22" s="65">
        <v>17.850000000000001</v>
      </c>
      <c r="H22" s="66">
        <f t="shared" ref="H22:H26" si="2">F22*G22</f>
        <v>6580.2240000000002</v>
      </c>
    </row>
    <row r="23" spans="2:8" ht="20.25" customHeight="1">
      <c r="B23" s="72" t="s">
        <v>25</v>
      </c>
      <c r="C23" s="173">
        <v>88278</v>
      </c>
      <c r="D23" s="53" t="s">
        <v>164</v>
      </c>
      <c r="E23" s="64" t="s">
        <v>138</v>
      </c>
      <c r="F23" s="31">
        <f>8*4</f>
        <v>32</v>
      </c>
      <c r="G23" s="65">
        <v>14.42</v>
      </c>
      <c r="H23" s="66">
        <f t="shared" si="2"/>
        <v>461.44</v>
      </c>
    </row>
    <row r="24" spans="2:8" ht="20.25" customHeight="1">
      <c r="B24" s="126" t="s">
        <v>25</v>
      </c>
      <c r="C24" s="127">
        <v>100717</v>
      </c>
      <c r="D24" s="129" t="s">
        <v>281</v>
      </c>
      <c r="E24" s="179" t="s">
        <v>74</v>
      </c>
      <c r="F24" s="177">
        <v>72</v>
      </c>
      <c r="G24" s="180">
        <v>7.49</v>
      </c>
      <c r="H24" s="181">
        <f t="shared" si="2"/>
        <v>539.28</v>
      </c>
    </row>
    <row r="25" spans="2:8" ht="41.25">
      <c r="B25" s="126" t="s">
        <v>25</v>
      </c>
      <c r="C25" s="135">
        <v>100758</v>
      </c>
      <c r="D25" s="129" t="s">
        <v>274</v>
      </c>
      <c r="E25" s="135" t="s">
        <v>74</v>
      </c>
      <c r="F25" s="178">
        <v>72</v>
      </c>
      <c r="G25" s="136">
        <v>37.81</v>
      </c>
      <c r="H25" s="133">
        <f t="shared" si="2"/>
        <v>2722.32</v>
      </c>
    </row>
    <row r="26" spans="2:8" ht="20.25" customHeight="1" thickBot="1">
      <c r="B26" s="151" t="s">
        <v>25</v>
      </c>
      <c r="C26" s="174">
        <v>88240</v>
      </c>
      <c r="D26" s="175" t="s">
        <v>273</v>
      </c>
      <c r="E26" s="182" t="s">
        <v>138</v>
      </c>
      <c r="F26" s="185">
        <v>32</v>
      </c>
      <c r="G26" s="183">
        <v>11.83</v>
      </c>
      <c r="H26" s="184">
        <f t="shared" si="2"/>
        <v>378.56</v>
      </c>
    </row>
    <row r="27" spans="2:8" s="8" customFormat="1">
      <c r="B27" s="308" t="s">
        <v>88</v>
      </c>
      <c r="C27" s="309"/>
      <c r="D27" s="165" t="s">
        <v>58</v>
      </c>
      <c r="E27" s="176" t="s">
        <v>30</v>
      </c>
      <c r="F27" s="166" t="s">
        <v>160</v>
      </c>
      <c r="G27" s="167"/>
      <c r="H27" s="168">
        <f>SUM(H28:H32)</f>
        <v>21363.647999999997</v>
      </c>
    </row>
    <row r="28" spans="2:8" ht="21.75" customHeight="1">
      <c r="B28" s="72" t="s">
        <v>25</v>
      </c>
      <c r="C28" s="173">
        <v>43106</v>
      </c>
      <c r="D28" s="53" t="s">
        <v>304</v>
      </c>
      <c r="E28" s="64" t="s">
        <v>141</v>
      </c>
      <c r="F28" s="31">
        <v>737.28</v>
      </c>
      <c r="G28" s="65">
        <v>17.850000000000001</v>
      </c>
      <c r="H28" s="66">
        <f t="shared" ref="H28:H32" si="3">F28*G28</f>
        <v>13160.448</v>
      </c>
    </row>
    <row r="29" spans="2:8" ht="18.75" customHeight="1">
      <c r="B29" s="72" t="s">
        <v>25</v>
      </c>
      <c r="C29" s="173">
        <v>88278</v>
      </c>
      <c r="D29" s="53" t="s">
        <v>164</v>
      </c>
      <c r="E29" s="64" t="s">
        <v>138</v>
      </c>
      <c r="F29" s="31">
        <f>8*8</f>
        <v>64</v>
      </c>
      <c r="G29" s="65">
        <v>14.42</v>
      </c>
      <c r="H29" s="66">
        <f t="shared" si="3"/>
        <v>922.88</v>
      </c>
    </row>
    <row r="30" spans="2:8" ht="18.75" customHeight="1">
      <c r="B30" s="126" t="s">
        <v>25</v>
      </c>
      <c r="C30" s="127">
        <v>100717</v>
      </c>
      <c r="D30" s="129" t="s">
        <v>281</v>
      </c>
      <c r="E30" s="179" t="s">
        <v>74</v>
      </c>
      <c r="F30" s="177">
        <v>144</v>
      </c>
      <c r="G30" s="180">
        <v>7.49</v>
      </c>
      <c r="H30" s="181">
        <f t="shared" si="3"/>
        <v>1078.56</v>
      </c>
    </row>
    <row r="31" spans="2:8" ht="41.25">
      <c r="B31" s="126" t="s">
        <v>25</v>
      </c>
      <c r="C31" s="135">
        <v>100758</v>
      </c>
      <c r="D31" s="129" t="s">
        <v>274</v>
      </c>
      <c r="E31" s="135" t="s">
        <v>74</v>
      </c>
      <c r="F31" s="178">
        <v>144</v>
      </c>
      <c r="G31" s="136">
        <v>37.81</v>
      </c>
      <c r="H31" s="133">
        <f t="shared" si="3"/>
        <v>5444.64</v>
      </c>
    </row>
    <row r="32" spans="2:8" ht="17.25" thickBot="1">
      <c r="B32" s="151" t="s">
        <v>25</v>
      </c>
      <c r="C32" s="174">
        <v>88240</v>
      </c>
      <c r="D32" s="175" t="s">
        <v>273</v>
      </c>
      <c r="E32" s="182" t="s">
        <v>138</v>
      </c>
      <c r="F32" s="185">
        <v>64</v>
      </c>
      <c r="G32" s="183">
        <v>11.83</v>
      </c>
      <c r="H32" s="184">
        <f t="shared" si="3"/>
        <v>757.12</v>
      </c>
    </row>
    <row r="33" spans="2:8" ht="15.75" thickBot="1">
      <c r="B33" s="200"/>
      <c r="C33" s="123"/>
      <c r="D33" s="51"/>
      <c r="E33" s="123"/>
      <c r="F33" s="140"/>
      <c r="G33" s="141"/>
      <c r="H33" s="201"/>
    </row>
    <row r="34" spans="2:8" s="8" customFormat="1">
      <c r="B34" s="308" t="s">
        <v>113</v>
      </c>
      <c r="C34" s="309"/>
      <c r="D34" s="165" t="s">
        <v>114</v>
      </c>
      <c r="E34" s="176" t="s">
        <v>30</v>
      </c>
      <c r="F34" s="166" t="s">
        <v>160</v>
      </c>
      <c r="G34" s="167"/>
      <c r="H34" s="168">
        <f>SUM(H35:H38)</f>
        <v>1011.6184000000001</v>
      </c>
    </row>
    <row r="35" spans="2:8">
      <c r="B35" s="72" t="s">
        <v>25</v>
      </c>
      <c r="C35" s="138">
        <v>6111</v>
      </c>
      <c r="D35" s="53" t="s">
        <v>165</v>
      </c>
      <c r="E35" s="64" t="s">
        <v>138</v>
      </c>
      <c r="F35" s="31">
        <v>16</v>
      </c>
      <c r="G35" s="65">
        <v>11.05</v>
      </c>
      <c r="H35" s="66">
        <f t="shared" ref="H35:H38" si="4">F35*G35</f>
        <v>176.8</v>
      </c>
    </row>
    <row r="36" spans="2:8">
      <c r="B36" s="72" t="s">
        <v>25</v>
      </c>
      <c r="C36" s="138">
        <v>88309</v>
      </c>
      <c r="D36" s="53" t="s">
        <v>166</v>
      </c>
      <c r="E36" s="64" t="s">
        <v>138</v>
      </c>
      <c r="F36" s="31">
        <v>16</v>
      </c>
      <c r="G36" s="65">
        <v>19.98</v>
      </c>
      <c r="H36" s="66">
        <f t="shared" si="4"/>
        <v>319.68</v>
      </c>
    </row>
    <row r="37" spans="2:8" ht="35.25" customHeight="1">
      <c r="B37" s="72" t="s">
        <v>25</v>
      </c>
      <c r="C37" s="138">
        <v>94992</v>
      </c>
      <c r="D37" s="53" t="s">
        <v>167</v>
      </c>
      <c r="E37" s="64" t="s">
        <v>74</v>
      </c>
      <c r="F37" s="31">
        <v>2.64</v>
      </c>
      <c r="G37" s="65">
        <v>101.16</v>
      </c>
      <c r="H37" s="66">
        <f t="shared" si="4"/>
        <v>267.06240000000003</v>
      </c>
    </row>
    <row r="38" spans="2:8" ht="20.25" customHeight="1" thickBot="1">
      <c r="B38" s="73" t="s">
        <v>25</v>
      </c>
      <c r="C38" s="139">
        <v>101094</v>
      </c>
      <c r="D38" s="74" t="s">
        <v>155</v>
      </c>
      <c r="E38" s="67" t="s">
        <v>147</v>
      </c>
      <c r="F38" s="68">
        <v>1.2</v>
      </c>
      <c r="G38" s="69">
        <v>206.73</v>
      </c>
      <c r="H38" s="70">
        <f t="shared" si="4"/>
        <v>248.07599999999996</v>
      </c>
    </row>
    <row r="39" spans="2:8" ht="10.5" customHeight="1" thickBot="1">
      <c r="B39" s="200"/>
      <c r="C39" s="123"/>
      <c r="D39" s="51"/>
      <c r="E39" s="123"/>
      <c r="F39" s="140"/>
      <c r="G39" s="141"/>
      <c r="H39" s="201"/>
    </row>
    <row r="40" spans="2:8">
      <c r="B40" s="308" t="s">
        <v>205</v>
      </c>
      <c r="C40" s="309"/>
      <c r="D40" s="165" t="s">
        <v>206</v>
      </c>
      <c r="E40" s="176" t="s">
        <v>30</v>
      </c>
      <c r="F40" s="166" t="s">
        <v>160</v>
      </c>
      <c r="G40" s="167"/>
      <c r="H40" s="168">
        <f>(SUM(H41:H43)/3)</f>
        <v>6966.666666666667</v>
      </c>
    </row>
    <row r="41" spans="2:8">
      <c r="B41" s="169" t="s">
        <v>28</v>
      </c>
      <c r="C41" s="138" t="s">
        <v>210</v>
      </c>
      <c r="D41" s="53" t="s">
        <v>207</v>
      </c>
      <c r="E41" s="64" t="s">
        <v>30</v>
      </c>
      <c r="F41" s="31">
        <v>1</v>
      </c>
      <c r="G41" s="65">
        <v>6700</v>
      </c>
      <c r="H41" s="66">
        <f t="shared" ref="H41:H43" si="5">F41*G41</f>
        <v>6700</v>
      </c>
    </row>
    <row r="42" spans="2:8">
      <c r="B42" s="169" t="s">
        <v>28</v>
      </c>
      <c r="C42" s="138" t="s">
        <v>210</v>
      </c>
      <c r="D42" s="53" t="s">
        <v>208</v>
      </c>
      <c r="E42" s="64" t="s">
        <v>30</v>
      </c>
      <c r="F42" s="31">
        <v>1</v>
      </c>
      <c r="G42" s="65">
        <v>7200</v>
      </c>
      <c r="H42" s="66">
        <f t="shared" si="5"/>
        <v>7200</v>
      </c>
    </row>
    <row r="43" spans="2:8" ht="15.75" thickBot="1">
      <c r="B43" s="169" t="s">
        <v>28</v>
      </c>
      <c r="C43" s="139" t="s">
        <v>210</v>
      </c>
      <c r="D43" s="74" t="s">
        <v>209</v>
      </c>
      <c r="E43" s="67" t="s">
        <v>30</v>
      </c>
      <c r="F43" s="68">
        <v>1</v>
      </c>
      <c r="G43" s="69">
        <v>7000</v>
      </c>
      <c r="H43" s="70">
        <f t="shared" si="5"/>
        <v>7000</v>
      </c>
    </row>
    <row r="44" spans="2:8" ht="15.75" thickBot="1">
      <c r="B44" s="200"/>
      <c r="C44" s="123"/>
      <c r="D44" s="51"/>
      <c r="E44" s="124"/>
      <c r="F44" s="37"/>
      <c r="G44" s="71"/>
      <c r="H44" s="202"/>
    </row>
    <row r="45" spans="2:8" ht="15" customHeight="1">
      <c r="B45" s="305" t="s">
        <v>282</v>
      </c>
      <c r="C45" s="306"/>
      <c r="D45" s="146" t="s">
        <v>275</v>
      </c>
      <c r="E45" s="147" t="s">
        <v>269</v>
      </c>
      <c r="F45" s="186">
        <v>1</v>
      </c>
      <c r="G45" s="148"/>
      <c r="H45" s="149">
        <f>TRUNC(SUM(H46:H53),2)</f>
        <v>9851.68</v>
      </c>
    </row>
    <row r="46" spans="2:8" ht="30" customHeight="1">
      <c r="B46" s="150" t="s">
        <v>25</v>
      </c>
      <c r="C46" s="128">
        <v>101176</v>
      </c>
      <c r="D46" s="129" t="s">
        <v>270</v>
      </c>
      <c r="E46" s="128" t="s">
        <v>147</v>
      </c>
      <c r="F46" s="187">
        <v>0.8</v>
      </c>
      <c r="G46" s="130">
        <v>145.26</v>
      </c>
      <c r="H46" s="131">
        <f t="shared" ref="H46:H53" si="6">F46*G46</f>
        <v>116.208</v>
      </c>
    </row>
    <row r="47" spans="2:8" ht="58.5" customHeight="1">
      <c r="B47" s="126" t="s">
        <v>25</v>
      </c>
      <c r="C47" s="127">
        <v>100766</v>
      </c>
      <c r="D47" s="129" t="s">
        <v>271</v>
      </c>
      <c r="E47" s="41" t="s">
        <v>141</v>
      </c>
      <c r="F47" s="178">
        <f>103.71+15%</f>
        <v>103.86</v>
      </c>
      <c r="G47" s="132">
        <v>17</v>
      </c>
      <c r="H47" s="133">
        <f t="shared" si="6"/>
        <v>1765.62</v>
      </c>
    </row>
    <row r="48" spans="2:8" ht="45.75" customHeight="1">
      <c r="B48" s="126" t="s">
        <v>25</v>
      </c>
      <c r="C48" s="127">
        <v>100764</v>
      </c>
      <c r="D48" s="134" t="s">
        <v>272</v>
      </c>
      <c r="E48" s="41" t="s">
        <v>141</v>
      </c>
      <c r="F48" s="178">
        <f>170.09+15%</f>
        <v>170.24</v>
      </c>
      <c r="G48" s="132">
        <v>16.91</v>
      </c>
      <c r="H48" s="133">
        <f t="shared" si="6"/>
        <v>2878.7584000000002</v>
      </c>
    </row>
    <row r="49" spans="2:8" ht="20.25" customHeight="1">
      <c r="B49" s="126" t="s">
        <v>25</v>
      </c>
      <c r="C49" s="128">
        <v>88278</v>
      </c>
      <c r="D49" s="129" t="s">
        <v>164</v>
      </c>
      <c r="E49" s="41" t="s">
        <v>138</v>
      </c>
      <c r="F49" s="178">
        <v>160</v>
      </c>
      <c r="G49" s="132">
        <v>14.42</v>
      </c>
      <c r="H49" s="133">
        <f t="shared" si="6"/>
        <v>2307.1999999999998</v>
      </c>
    </row>
    <row r="50" spans="2:8" ht="19.5" customHeight="1">
      <c r="B50" s="126" t="s">
        <v>25</v>
      </c>
      <c r="C50" s="127">
        <v>88240</v>
      </c>
      <c r="D50" s="129" t="s">
        <v>273</v>
      </c>
      <c r="E50" s="41" t="s">
        <v>138</v>
      </c>
      <c r="F50" s="178">
        <v>160</v>
      </c>
      <c r="G50" s="132">
        <v>11.83</v>
      </c>
      <c r="H50" s="133">
        <f t="shared" si="6"/>
        <v>1892.8</v>
      </c>
    </row>
    <row r="51" spans="2:8" ht="18.75" customHeight="1">
      <c r="B51" s="126" t="s">
        <v>25</v>
      </c>
      <c r="C51" s="127">
        <v>100717</v>
      </c>
      <c r="D51" s="129" t="s">
        <v>281</v>
      </c>
      <c r="E51" s="41" t="s">
        <v>74</v>
      </c>
      <c r="F51" s="178">
        <v>13.81</v>
      </c>
      <c r="G51" s="132">
        <v>7.49</v>
      </c>
      <c r="H51" s="133">
        <f t="shared" si="6"/>
        <v>103.43690000000001</v>
      </c>
    </row>
    <row r="52" spans="2:8" ht="43.5" customHeight="1">
      <c r="B52" s="126" t="s">
        <v>25</v>
      </c>
      <c r="C52" s="135">
        <v>100758</v>
      </c>
      <c r="D52" s="129" t="s">
        <v>274</v>
      </c>
      <c r="E52" s="135" t="s">
        <v>74</v>
      </c>
      <c r="F52" s="178">
        <v>13.818</v>
      </c>
      <c r="G52" s="136">
        <v>37.81</v>
      </c>
      <c r="H52" s="133">
        <f t="shared" si="6"/>
        <v>522.45857999999998</v>
      </c>
    </row>
    <row r="53" spans="2:8" ht="15.75" thickBot="1">
      <c r="B53" s="151" t="s">
        <v>25</v>
      </c>
      <c r="C53" s="137">
        <v>6111</v>
      </c>
      <c r="D53" s="152" t="s">
        <v>165</v>
      </c>
      <c r="E53" s="137" t="s">
        <v>138</v>
      </c>
      <c r="F53" s="188">
        <v>24</v>
      </c>
      <c r="G53" s="153">
        <v>11.05</v>
      </c>
      <c r="H53" s="154">
        <f t="shared" si="6"/>
        <v>265.20000000000005</v>
      </c>
    </row>
    <row r="54" spans="2:8" ht="15.75" thickBot="1">
      <c r="B54" s="200"/>
      <c r="C54" s="123"/>
      <c r="D54" s="51"/>
      <c r="E54" s="124"/>
      <c r="F54" s="37"/>
      <c r="G54" s="71"/>
      <c r="H54" s="202"/>
    </row>
    <row r="55" spans="2:8" ht="28.5" customHeight="1">
      <c r="B55" s="305" t="s">
        <v>284</v>
      </c>
      <c r="C55" s="306"/>
      <c r="D55" s="146" t="s">
        <v>276</v>
      </c>
      <c r="E55" s="147" t="s">
        <v>269</v>
      </c>
      <c r="F55" s="186">
        <v>1</v>
      </c>
      <c r="G55" s="148"/>
      <c r="H55" s="149">
        <f>TRUNC(SUM(H56:H63),2)</f>
        <v>10705.53</v>
      </c>
    </row>
    <row r="56" spans="2:8" ht="33" customHeight="1">
      <c r="B56" s="150" t="s">
        <v>25</v>
      </c>
      <c r="C56" s="128">
        <v>101176</v>
      </c>
      <c r="D56" s="129" t="s">
        <v>270</v>
      </c>
      <c r="E56" s="128" t="s">
        <v>147</v>
      </c>
      <c r="F56" s="187">
        <v>0.8</v>
      </c>
      <c r="G56" s="130">
        <v>145.26</v>
      </c>
      <c r="H56" s="131">
        <f t="shared" ref="H56:H63" si="7">F56*G56</f>
        <v>116.208</v>
      </c>
    </row>
    <row r="57" spans="2:8" ht="66">
      <c r="B57" s="126" t="s">
        <v>25</v>
      </c>
      <c r="C57" s="127">
        <v>100766</v>
      </c>
      <c r="D57" s="129" t="s">
        <v>271</v>
      </c>
      <c r="E57" s="41" t="s">
        <v>141</v>
      </c>
      <c r="F57" s="178">
        <f>103.71+15%</f>
        <v>103.86</v>
      </c>
      <c r="G57" s="132">
        <v>17</v>
      </c>
      <c r="H57" s="133">
        <f t="shared" si="7"/>
        <v>1765.62</v>
      </c>
    </row>
    <row r="58" spans="2:8" ht="49.5">
      <c r="B58" s="126" t="s">
        <v>25</v>
      </c>
      <c r="C58" s="127">
        <v>100764</v>
      </c>
      <c r="D58" s="134" t="s">
        <v>272</v>
      </c>
      <c r="E58" s="41" t="s">
        <v>141</v>
      </c>
      <c r="F58" s="178">
        <f>202.41+15%</f>
        <v>202.56</v>
      </c>
      <c r="G58" s="132">
        <v>16.91</v>
      </c>
      <c r="H58" s="133">
        <f t="shared" si="7"/>
        <v>3425.2896000000001</v>
      </c>
    </row>
    <row r="59" spans="2:8" ht="18.75" customHeight="1">
      <c r="B59" s="126" t="s">
        <v>25</v>
      </c>
      <c r="C59" s="128">
        <v>88278</v>
      </c>
      <c r="D59" s="129" t="s">
        <v>164</v>
      </c>
      <c r="E59" s="41" t="s">
        <v>138</v>
      </c>
      <c r="F59" s="178">
        <v>168</v>
      </c>
      <c r="G59" s="132">
        <v>14.42</v>
      </c>
      <c r="H59" s="133">
        <f t="shared" si="7"/>
        <v>2422.56</v>
      </c>
    </row>
    <row r="60" spans="2:8" ht="18" customHeight="1">
      <c r="B60" s="126" t="s">
        <v>25</v>
      </c>
      <c r="C60" s="127">
        <v>88240</v>
      </c>
      <c r="D60" s="129" t="s">
        <v>273</v>
      </c>
      <c r="E60" s="41" t="s">
        <v>138</v>
      </c>
      <c r="F60" s="178">
        <v>168</v>
      </c>
      <c r="G60" s="132">
        <v>11.83</v>
      </c>
      <c r="H60" s="133">
        <f t="shared" si="7"/>
        <v>1987.44</v>
      </c>
    </row>
    <row r="61" spans="2:8" ht="17.25" customHeight="1">
      <c r="B61" s="126" t="s">
        <v>25</v>
      </c>
      <c r="C61" s="127">
        <v>100717</v>
      </c>
      <c r="D61" s="129" t="s">
        <v>281</v>
      </c>
      <c r="E61" s="41" t="s">
        <v>74</v>
      </c>
      <c r="F61" s="178">
        <v>15.965</v>
      </c>
      <c r="G61" s="132">
        <v>7.49</v>
      </c>
      <c r="H61" s="133">
        <f t="shared" si="7"/>
        <v>119.57785</v>
      </c>
    </row>
    <row r="62" spans="2:8" ht="42.75" customHeight="1">
      <c r="B62" s="126" t="s">
        <v>25</v>
      </c>
      <c r="C62" s="135">
        <v>100758</v>
      </c>
      <c r="D62" s="129" t="s">
        <v>274</v>
      </c>
      <c r="E62" s="135" t="s">
        <v>74</v>
      </c>
      <c r="F62" s="178">
        <v>15.965</v>
      </c>
      <c r="G62" s="136">
        <v>37.81</v>
      </c>
      <c r="H62" s="133">
        <f t="shared" si="7"/>
        <v>603.63665000000003</v>
      </c>
    </row>
    <row r="63" spans="2:8" ht="15.75" thickBot="1">
      <c r="B63" s="151" t="s">
        <v>25</v>
      </c>
      <c r="C63" s="137">
        <v>6111</v>
      </c>
      <c r="D63" s="152" t="s">
        <v>165</v>
      </c>
      <c r="E63" s="137" t="s">
        <v>138</v>
      </c>
      <c r="F63" s="188">
        <v>24</v>
      </c>
      <c r="G63" s="153">
        <v>11.05</v>
      </c>
      <c r="H63" s="154">
        <f t="shared" si="7"/>
        <v>265.20000000000005</v>
      </c>
    </row>
    <row r="64" spans="2:8" ht="15.75" thickBot="1">
      <c r="B64" s="200"/>
      <c r="C64" s="142"/>
      <c r="D64" s="143"/>
      <c r="E64" s="142"/>
      <c r="F64" s="144"/>
      <c r="G64" s="145"/>
      <c r="H64" s="203"/>
    </row>
    <row r="65" spans="2:8" ht="15" customHeight="1">
      <c r="B65" s="305" t="s">
        <v>285</v>
      </c>
      <c r="C65" s="306"/>
      <c r="D65" s="146" t="s">
        <v>277</v>
      </c>
      <c r="E65" s="147" t="s">
        <v>269</v>
      </c>
      <c r="F65" s="186">
        <v>1</v>
      </c>
      <c r="G65" s="148"/>
      <c r="H65" s="149">
        <f>TRUNC(SUM(H66:H73),2)</f>
        <v>18311.66</v>
      </c>
    </row>
    <row r="66" spans="2:8" ht="27.75" customHeight="1">
      <c r="B66" s="150" t="s">
        <v>25</v>
      </c>
      <c r="C66" s="128">
        <v>101176</v>
      </c>
      <c r="D66" s="129" t="s">
        <v>270</v>
      </c>
      <c r="E66" s="128" t="s">
        <v>147</v>
      </c>
      <c r="F66" s="187">
        <v>1.6</v>
      </c>
      <c r="G66" s="130">
        <v>145.26</v>
      </c>
      <c r="H66" s="131">
        <f t="shared" ref="H66:H73" si="8">F66*G66</f>
        <v>232.416</v>
      </c>
    </row>
    <row r="67" spans="2:8" ht="60.75" customHeight="1">
      <c r="B67" s="126" t="s">
        <v>25</v>
      </c>
      <c r="C67" s="127">
        <v>100766</v>
      </c>
      <c r="D67" s="129" t="s">
        <v>271</v>
      </c>
      <c r="E67" s="41" t="s">
        <v>141</v>
      </c>
      <c r="F67" s="178">
        <v>132.30000000000001</v>
      </c>
      <c r="G67" s="132">
        <v>17</v>
      </c>
      <c r="H67" s="133">
        <f t="shared" si="8"/>
        <v>2249.1000000000004</v>
      </c>
    </row>
    <row r="68" spans="2:8" ht="49.5">
      <c r="B68" s="126" t="s">
        <v>25</v>
      </c>
      <c r="C68" s="127">
        <v>100764</v>
      </c>
      <c r="D68" s="134" t="s">
        <v>272</v>
      </c>
      <c r="E68" s="41" t="s">
        <v>141</v>
      </c>
      <c r="F68" s="178">
        <v>442.83</v>
      </c>
      <c r="G68" s="132">
        <v>16.91</v>
      </c>
      <c r="H68" s="133">
        <f t="shared" si="8"/>
        <v>7488.2552999999998</v>
      </c>
    </row>
    <row r="69" spans="2:8" ht="18" customHeight="1">
      <c r="B69" s="126" t="s">
        <v>25</v>
      </c>
      <c r="C69" s="128">
        <v>88278</v>
      </c>
      <c r="D69" s="129" t="s">
        <v>164</v>
      </c>
      <c r="E69" s="41" t="s">
        <v>138</v>
      </c>
      <c r="F69" s="178">
        <v>224</v>
      </c>
      <c r="G69" s="132">
        <v>14.42</v>
      </c>
      <c r="H69" s="133">
        <f t="shared" si="8"/>
        <v>3230.08</v>
      </c>
    </row>
    <row r="70" spans="2:8" ht="18.75" customHeight="1">
      <c r="B70" s="126" t="s">
        <v>25</v>
      </c>
      <c r="C70" s="127">
        <v>88240</v>
      </c>
      <c r="D70" s="129" t="s">
        <v>273</v>
      </c>
      <c r="E70" s="41" t="s">
        <v>138</v>
      </c>
      <c r="F70" s="178">
        <v>224</v>
      </c>
      <c r="G70" s="132">
        <v>11.83</v>
      </c>
      <c r="H70" s="133">
        <f t="shared" si="8"/>
        <v>2649.92</v>
      </c>
    </row>
    <row r="71" spans="2:8" ht="16.5">
      <c r="B71" s="126" t="s">
        <v>25</v>
      </c>
      <c r="C71" s="127">
        <v>100717</v>
      </c>
      <c r="D71" s="129" t="s">
        <v>281</v>
      </c>
      <c r="E71" s="41" t="s">
        <v>74</v>
      </c>
      <c r="F71" s="178">
        <v>34.832000000000001</v>
      </c>
      <c r="G71" s="132">
        <v>7.49</v>
      </c>
      <c r="H71" s="133">
        <f t="shared" si="8"/>
        <v>260.89168000000001</v>
      </c>
    </row>
    <row r="72" spans="2:8" ht="42" customHeight="1">
      <c r="B72" s="126" t="s">
        <v>25</v>
      </c>
      <c r="C72" s="135">
        <v>100758</v>
      </c>
      <c r="D72" s="129" t="s">
        <v>274</v>
      </c>
      <c r="E72" s="135" t="s">
        <v>74</v>
      </c>
      <c r="F72" s="178">
        <v>34.832000000000001</v>
      </c>
      <c r="G72" s="136">
        <v>37.81</v>
      </c>
      <c r="H72" s="133">
        <f t="shared" si="8"/>
        <v>1316.99792</v>
      </c>
    </row>
    <row r="73" spans="2:8" ht="15.75" thickBot="1">
      <c r="B73" s="151" t="s">
        <v>25</v>
      </c>
      <c r="C73" s="137">
        <v>6111</v>
      </c>
      <c r="D73" s="152" t="s">
        <v>165</v>
      </c>
      <c r="E73" s="137" t="s">
        <v>138</v>
      </c>
      <c r="F73" s="188">
        <f>40*2</f>
        <v>80</v>
      </c>
      <c r="G73" s="153">
        <v>11.05</v>
      </c>
      <c r="H73" s="154">
        <f t="shared" si="8"/>
        <v>884</v>
      </c>
    </row>
    <row r="74" spans="2:8" ht="15.75" thickBot="1">
      <c r="B74" s="200"/>
      <c r="C74" s="123"/>
      <c r="H74" s="204"/>
    </row>
    <row r="75" spans="2:8" ht="15" customHeight="1">
      <c r="B75" s="305" t="s">
        <v>287</v>
      </c>
      <c r="C75" s="306"/>
      <c r="D75" s="146" t="s">
        <v>278</v>
      </c>
      <c r="E75" s="147" t="s">
        <v>269</v>
      </c>
      <c r="F75" s="186">
        <v>1</v>
      </c>
      <c r="G75" s="148"/>
      <c r="H75" s="149">
        <f>TRUNC(SUM(H76:H83),2)</f>
        <v>71129.649999999994</v>
      </c>
    </row>
    <row r="76" spans="2:8" ht="26.25" customHeight="1">
      <c r="B76" s="150" t="s">
        <v>25</v>
      </c>
      <c r="C76" s="128">
        <v>101176</v>
      </c>
      <c r="D76" s="129" t="s">
        <v>270</v>
      </c>
      <c r="E76" s="128" t="s">
        <v>147</v>
      </c>
      <c r="F76" s="187">
        <v>4</v>
      </c>
      <c r="G76" s="130">
        <v>145.26</v>
      </c>
      <c r="H76" s="131">
        <f t="shared" ref="H76:H83" si="9">F76*G76</f>
        <v>581.04</v>
      </c>
    </row>
    <row r="77" spans="2:8" ht="60.75" customHeight="1">
      <c r="B77" s="126" t="s">
        <v>25</v>
      </c>
      <c r="C77" s="127">
        <v>100766</v>
      </c>
      <c r="D77" s="129" t="s">
        <v>271</v>
      </c>
      <c r="E77" s="41" t="s">
        <v>141</v>
      </c>
      <c r="F77" s="178">
        <f>132.3*4</f>
        <v>529.20000000000005</v>
      </c>
      <c r="G77" s="132">
        <v>17</v>
      </c>
      <c r="H77" s="133">
        <f t="shared" si="9"/>
        <v>8996.4000000000015</v>
      </c>
    </row>
    <row r="78" spans="2:8" ht="42.75" customHeight="1">
      <c r="B78" s="126" t="s">
        <v>25</v>
      </c>
      <c r="C78" s="127">
        <v>100764</v>
      </c>
      <c r="D78" s="134" t="s">
        <v>272</v>
      </c>
      <c r="E78" s="41" t="s">
        <v>141</v>
      </c>
      <c r="F78" s="178">
        <f>442.83*4</f>
        <v>1771.32</v>
      </c>
      <c r="G78" s="132">
        <v>16.91</v>
      </c>
      <c r="H78" s="133">
        <f t="shared" si="9"/>
        <v>29953.021199999999</v>
      </c>
    </row>
    <row r="79" spans="2:8" ht="18" customHeight="1">
      <c r="B79" s="126" t="s">
        <v>25</v>
      </c>
      <c r="C79" s="128">
        <v>88278</v>
      </c>
      <c r="D79" s="129" t="s">
        <v>164</v>
      </c>
      <c r="E79" s="41" t="s">
        <v>138</v>
      </c>
      <c r="F79" s="178">
        <f>224*4</f>
        <v>896</v>
      </c>
      <c r="G79" s="132">
        <v>14.42</v>
      </c>
      <c r="H79" s="133">
        <f t="shared" si="9"/>
        <v>12920.32</v>
      </c>
    </row>
    <row r="80" spans="2:8" ht="18" customHeight="1">
      <c r="B80" s="126" t="s">
        <v>25</v>
      </c>
      <c r="C80" s="127">
        <v>88240</v>
      </c>
      <c r="D80" s="129" t="s">
        <v>273</v>
      </c>
      <c r="E80" s="41" t="s">
        <v>138</v>
      </c>
      <c r="F80" s="178">
        <f>224*4</f>
        <v>896</v>
      </c>
      <c r="G80" s="132">
        <v>11.83</v>
      </c>
      <c r="H80" s="133">
        <f t="shared" si="9"/>
        <v>10599.68</v>
      </c>
    </row>
    <row r="81" spans="2:8" ht="18" customHeight="1">
      <c r="B81" s="126" t="s">
        <v>25</v>
      </c>
      <c r="C81" s="127">
        <v>100717</v>
      </c>
      <c r="D81" s="129" t="s">
        <v>281</v>
      </c>
      <c r="E81" s="41" t="s">
        <v>74</v>
      </c>
      <c r="F81" s="178">
        <f>34.83*4</f>
        <v>139.32</v>
      </c>
      <c r="G81" s="132">
        <v>7.49</v>
      </c>
      <c r="H81" s="133">
        <f t="shared" si="9"/>
        <v>1043.5067999999999</v>
      </c>
    </row>
    <row r="82" spans="2:8" ht="42.75" customHeight="1">
      <c r="B82" s="126" t="s">
        <v>25</v>
      </c>
      <c r="C82" s="135">
        <v>100758</v>
      </c>
      <c r="D82" s="129" t="s">
        <v>274</v>
      </c>
      <c r="E82" s="135" t="s">
        <v>74</v>
      </c>
      <c r="F82" s="178">
        <f>34.83*4</f>
        <v>139.32</v>
      </c>
      <c r="G82" s="136">
        <v>37.81</v>
      </c>
      <c r="H82" s="133">
        <f t="shared" si="9"/>
        <v>5267.6891999999998</v>
      </c>
    </row>
    <row r="83" spans="2:8" ht="15.75" thickBot="1">
      <c r="B83" s="151" t="s">
        <v>25</v>
      </c>
      <c r="C83" s="137">
        <v>6111</v>
      </c>
      <c r="D83" s="152" t="s">
        <v>165</v>
      </c>
      <c r="E83" s="137" t="s">
        <v>138</v>
      </c>
      <c r="F83" s="188">
        <f>40*4</f>
        <v>160</v>
      </c>
      <c r="G83" s="153">
        <v>11.05</v>
      </c>
      <c r="H83" s="154">
        <f t="shared" si="9"/>
        <v>1768</v>
      </c>
    </row>
    <row r="84" spans="2:8" ht="15.75" thickBot="1">
      <c r="B84" s="200"/>
      <c r="H84" s="204"/>
    </row>
    <row r="85" spans="2:8" ht="15" customHeight="1">
      <c r="B85" s="305" t="s">
        <v>286</v>
      </c>
      <c r="C85" s="306"/>
      <c r="D85" s="146" t="s">
        <v>279</v>
      </c>
      <c r="E85" s="147" t="s">
        <v>269</v>
      </c>
      <c r="F85" s="186">
        <v>1</v>
      </c>
      <c r="G85" s="148"/>
      <c r="H85" s="149">
        <f>TRUNC(SUM(H86:H93),2)</f>
        <v>142143.1</v>
      </c>
    </row>
    <row r="86" spans="2:8" ht="27" customHeight="1">
      <c r="B86" s="150" t="s">
        <v>25</v>
      </c>
      <c r="C86" s="128">
        <v>101176</v>
      </c>
      <c r="D86" s="129" t="s">
        <v>270</v>
      </c>
      <c r="E86" s="128" t="s">
        <v>147</v>
      </c>
      <c r="F86" s="187">
        <v>7.2</v>
      </c>
      <c r="G86" s="130">
        <v>145.26</v>
      </c>
      <c r="H86" s="131">
        <f t="shared" ref="H86:H93" si="10">F86*G86</f>
        <v>1045.8720000000001</v>
      </c>
    </row>
    <row r="87" spans="2:8" ht="66">
      <c r="B87" s="126" t="s">
        <v>25</v>
      </c>
      <c r="C87" s="127">
        <v>100766</v>
      </c>
      <c r="D87" s="129" t="s">
        <v>271</v>
      </c>
      <c r="E87" s="41" t="s">
        <v>141</v>
      </c>
      <c r="F87" s="178">
        <f>132.3*8</f>
        <v>1058.4000000000001</v>
      </c>
      <c r="G87" s="132">
        <v>17</v>
      </c>
      <c r="H87" s="133">
        <f t="shared" si="10"/>
        <v>17992.800000000003</v>
      </c>
    </row>
    <row r="88" spans="2:8" ht="49.5">
      <c r="B88" s="126" t="s">
        <v>25</v>
      </c>
      <c r="C88" s="127">
        <v>100764</v>
      </c>
      <c r="D88" s="134" t="s">
        <v>272</v>
      </c>
      <c r="E88" s="41" t="s">
        <v>141</v>
      </c>
      <c r="F88" s="178">
        <f>442.83*8</f>
        <v>3542.64</v>
      </c>
      <c r="G88" s="132">
        <v>16.91</v>
      </c>
      <c r="H88" s="133">
        <f t="shared" si="10"/>
        <v>59906.042399999998</v>
      </c>
    </row>
    <row r="89" spans="2:8" ht="21.75" customHeight="1">
      <c r="B89" s="126" t="s">
        <v>25</v>
      </c>
      <c r="C89" s="128">
        <v>88278</v>
      </c>
      <c r="D89" s="129" t="s">
        <v>164</v>
      </c>
      <c r="E89" s="41" t="s">
        <v>138</v>
      </c>
      <c r="F89" s="178">
        <f>224*8</f>
        <v>1792</v>
      </c>
      <c r="G89" s="132">
        <v>14.42</v>
      </c>
      <c r="H89" s="133">
        <f t="shared" si="10"/>
        <v>25840.639999999999</v>
      </c>
    </row>
    <row r="90" spans="2:8" ht="20.25" customHeight="1">
      <c r="B90" s="126" t="s">
        <v>25</v>
      </c>
      <c r="C90" s="127">
        <v>88240</v>
      </c>
      <c r="D90" s="129" t="s">
        <v>273</v>
      </c>
      <c r="E90" s="41" t="s">
        <v>138</v>
      </c>
      <c r="F90" s="178">
        <f>224*8</f>
        <v>1792</v>
      </c>
      <c r="G90" s="132">
        <v>11.83</v>
      </c>
      <c r="H90" s="133">
        <f t="shared" si="10"/>
        <v>21199.360000000001</v>
      </c>
    </row>
    <row r="91" spans="2:8" ht="19.5" customHeight="1">
      <c r="B91" s="126" t="s">
        <v>25</v>
      </c>
      <c r="C91" s="127">
        <v>100717</v>
      </c>
      <c r="D91" s="129" t="s">
        <v>281</v>
      </c>
      <c r="E91" s="41" t="s">
        <v>74</v>
      </c>
      <c r="F91" s="178">
        <f>34.83*8</f>
        <v>278.64</v>
      </c>
      <c r="G91" s="132">
        <v>7.49</v>
      </c>
      <c r="H91" s="133">
        <f t="shared" si="10"/>
        <v>2087.0135999999998</v>
      </c>
    </row>
    <row r="92" spans="2:8" ht="42" customHeight="1">
      <c r="B92" s="126" t="s">
        <v>25</v>
      </c>
      <c r="C92" s="135">
        <v>100758</v>
      </c>
      <c r="D92" s="129" t="s">
        <v>274</v>
      </c>
      <c r="E92" s="135" t="s">
        <v>74</v>
      </c>
      <c r="F92" s="178">
        <f>34.83*8</f>
        <v>278.64</v>
      </c>
      <c r="G92" s="136">
        <v>37.81</v>
      </c>
      <c r="H92" s="133">
        <f t="shared" si="10"/>
        <v>10535.3784</v>
      </c>
    </row>
    <row r="93" spans="2:8" ht="15.75" thickBot="1">
      <c r="B93" s="151" t="s">
        <v>25</v>
      </c>
      <c r="C93" s="137">
        <v>6111</v>
      </c>
      <c r="D93" s="152" t="s">
        <v>165</v>
      </c>
      <c r="E93" s="137" t="s">
        <v>138</v>
      </c>
      <c r="F93" s="188">
        <f>40*8</f>
        <v>320</v>
      </c>
      <c r="G93" s="153">
        <v>11.05</v>
      </c>
      <c r="H93" s="154">
        <f t="shared" si="10"/>
        <v>3536</v>
      </c>
    </row>
    <row r="94" spans="2:8" ht="15.75" thickBot="1">
      <c r="B94" s="205"/>
      <c r="C94" s="156"/>
      <c r="D94" s="157"/>
      <c r="E94" s="156"/>
      <c r="F94" s="189"/>
      <c r="G94" s="158"/>
      <c r="H94" s="206"/>
    </row>
    <row r="95" spans="2:8" ht="18" customHeight="1">
      <c r="B95" s="305" t="s">
        <v>288</v>
      </c>
      <c r="C95" s="306"/>
      <c r="D95" s="146" t="s">
        <v>280</v>
      </c>
      <c r="E95" s="147" t="s">
        <v>269</v>
      </c>
      <c r="F95" s="186">
        <v>1</v>
      </c>
      <c r="G95" s="148"/>
      <c r="H95" s="149">
        <f>TRUNC(SUM(H96:H103),2)</f>
        <v>49670.74</v>
      </c>
    </row>
    <row r="96" spans="2:8" ht="26.25" customHeight="1">
      <c r="B96" s="150" t="s">
        <v>25</v>
      </c>
      <c r="C96" s="128">
        <v>101176</v>
      </c>
      <c r="D96" s="129" t="s">
        <v>270</v>
      </c>
      <c r="E96" s="128" t="s">
        <v>147</v>
      </c>
      <c r="F96" s="187">
        <v>5.4</v>
      </c>
      <c r="G96" s="130">
        <v>145.26</v>
      </c>
      <c r="H96" s="131">
        <f t="shared" ref="H96:H103" si="11">F96*G96</f>
        <v>784.404</v>
      </c>
    </row>
    <row r="97" spans="2:8" ht="58.5" customHeight="1">
      <c r="B97" s="126" t="s">
        <v>25</v>
      </c>
      <c r="C97" s="127">
        <v>100766</v>
      </c>
      <c r="D97" s="129" t="s">
        <v>271</v>
      </c>
      <c r="E97" s="41" t="s">
        <v>141</v>
      </c>
      <c r="F97" s="178">
        <v>550.4</v>
      </c>
      <c r="G97" s="132">
        <v>17</v>
      </c>
      <c r="H97" s="133">
        <f t="shared" si="11"/>
        <v>9356.7999999999993</v>
      </c>
    </row>
    <row r="98" spans="2:8" ht="41.25" customHeight="1">
      <c r="B98" s="126" t="s">
        <v>25</v>
      </c>
      <c r="C98" s="127">
        <v>100764</v>
      </c>
      <c r="D98" s="134" t="s">
        <v>272</v>
      </c>
      <c r="E98" s="41" t="s">
        <v>141</v>
      </c>
      <c r="F98" s="178">
        <v>1164.42</v>
      </c>
      <c r="G98" s="132">
        <v>16.91</v>
      </c>
      <c r="H98" s="133">
        <f t="shared" si="11"/>
        <v>19690.342200000003</v>
      </c>
    </row>
    <row r="99" spans="2:8" ht="19.5" customHeight="1">
      <c r="B99" s="126" t="s">
        <v>25</v>
      </c>
      <c r="C99" s="128">
        <v>88278</v>
      </c>
      <c r="D99" s="129" t="s">
        <v>164</v>
      </c>
      <c r="E99" s="41" t="s">
        <v>138</v>
      </c>
      <c r="F99" s="178">
        <f>224*2</f>
        <v>448</v>
      </c>
      <c r="G99" s="132">
        <v>14.42</v>
      </c>
      <c r="H99" s="133">
        <f t="shared" si="11"/>
        <v>6460.16</v>
      </c>
    </row>
    <row r="100" spans="2:8" ht="18" customHeight="1">
      <c r="B100" s="126" t="s">
        <v>25</v>
      </c>
      <c r="C100" s="127">
        <v>88240</v>
      </c>
      <c r="D100" s="129" t="s">
        <v>273</v>
      </c>
      <c r="E100" s="41" t="s">
        <v>138</v>
      </c>
      <c r="F100" s="178">
        <f>224*2</f>
        <v>448</v>
      </c>
      <c r="G100" s="132">
        <v>11.83</v>
      </c>
      <c r="H100" s="133">
        <f t="shared" si="11"/>
        <v>5299.84</v>
      </c>
    </row>
    <row r="101" spans="2:8" ht="19.5" customHeight="1">
      <c r="B101" s="126" t="s">
        <v>25</v>
      </c>
      <c r="C101" s="127">
        <v>100717</v>
      </c>
      <c r="D101" s="129" t="s">
        <v>281</v>
      </c>
      <c r="E101" s="41" t="s">
        <v>74</v>
      </c>
      <c r="F101" s="178">
        <f>34.83*4</f>
        <v>139.32</v>
      </c>
      <c r="G101" s="132">
        <v>7.49</v>
      </c>
      <c r="H101" s="133">
        <f t="shared" si="11"/>
        <v>1043.5067999999999</v>
      </c>
    </row>
    <row r="102" spans="2:8" ht="44.25" customHeight="1">
      <c r="B102" s="126" t="s">
        <v>25</v>
      </c>
      <c r="C102" s="135">
        <v>100758</v>
      </c>
      <c r="D102" s="129" t="s">
        <v>274</v>
      </c>
      <c r="E102" s="135" t="s">
        <v>74</v>
      </c>
      <c r="F102" s="178">
        <f>34.83*4</f>
        <v>139.32</v>
      </c>
      <c r="G102" s="136">
        <v>37.81</v>
      </c>
      <c r="H102" s="133">
        <f t="shared" si="11"/>
        <v>5267.6891999999998</v>
      </c>
    </row>
    <row r="103" spans="2:8" ht="15.75" thickBot="1">
      <c r="B103" s="151" t="s">
        <v>25</v>
      </c>
      <c r="C103" s="137">
        <v>6111</v>
      </c>
      <c r="D103" s="152" t="s">
        <v>165</v>
      </c>
      <c r="E103" s="137" t="s">
        <v>138</v>
      </c>
      <c r="F103" s="188">
        <v>160</v>
      </c>
      <c r="G103" s="153">
        <v>11.05</v>
      </c>
      <c r="H103" s="154">
        <f t="shared" si="11"/>
        <v>1768</v>
      </c>
    </row>
    <row r="104" spans="2:8" ht="7.5" customHeight="1">
      <c r="B104" s="155"/>
      <c r="C104" s="156"/>
      <c r="D104" s="157"/>
      <c r="E104" s="156"/>
      <c r="F104" s="189"/>
      <c r="G104" s="158"/>
      <c r="H104" s="159"/>
    </row>
    <row r="105" spans="2:8" ht="9" customHeight="1">
      <c r="B105" s="304" t="s">
        <v>135</v>
      </c>
      <c r="C105" s="304"/>
      <c r="D105" s="304"/>
      <c r="E105" s="304"/>
      <c r="F105" s="189"/>
      <c r="G105" s="158"/>
      <c r="H105" s="159"/>
    </row>
    <row r="106" spans="2:8" ht="9.75" customHeight="1">
      <c r="B106" s="304" t="s">
        <v>136</v>
      </c>
      <c r="C106" s="304"/>
      <c r="D106" s="304"/>
      <c r="E106" s="304"/>
      <c r="F106" s="189"/>
      <c r="G106" s="158"/>
      <c r="H106" s="159"/>
    </row>
    <row r="107" spans="2:8">
      <c r="B107" s="155"/>
      <c r="C107" s="156"/>
      <c r="D107" s="157"/>
      <c r="E107" s="156"/>
      <c r="F107" s="189"/>
      <c r="G107" s="158"/>
      <c r="H107" s="159"/>
    </row>
    <row r="108" spans="2:8">
      <c r="B108" s="155"/>
      <c r="C108" s="156"/>
      <c r="D108" s="157"/>
      <c r="E108" s="156"/>
      <c r="F108" s="189"/>
      <c r="G108" s="158"/>
      <c r="H108" s="159"/>
    </row>
    <row r="109" spans="2:8">
      <c r="B109" s="155"/>
      <c r="C109" s="156"/>
      <c r="D109" s="157"/>
      <c r="E109" s="156"/>
      <c r="F109" s="189"/>
      <c r="G109" s="158"/>
      <c r="H109" s="159"/>
    </row>
    <row r="110" spans="2:8">
      <c r="B110" s="155"/>
      <c r="C110" s="156"/>
      <c r="D110" s="157"/>
      <c r="E110" s="156"/>
      <c r="F110" s="189"/>
      <c r="G110" s="158"/>
      <c r="H110" s="159"/>
    </row>
  </sheetData>
  <mergeCells count="21">
    <mergeCell ref="B105:E105"/>
    <mergeCell ref="B106:E106"/>
    <mergeCell ref="B2:H2"/>
    <mergeCell ref="B3:H3"/>
    <mergeCell ref="B4:H4"/>
    <mergeCell ref="B5:H5"/>
    <mergeCell ref="B6:H6"/>
    <mergeCell ref="B7:H7"/>
    <mergeCell ref="B8:H8"/>
    <mergeCell ref="B21:C21"/>
    <mergeCell ref="B15:C15"/>
    <mergeCell ref="B10:C10"/>
    <mergeCell ref="B95:C95"/>
    <mergeCell ref="B40:C40"/>
    <mergeCell ref="B34:C34"/>
    <mergeCell ref="B27:C27"/>
    <mergeCell ref="B45:C45"/>
    <mergeCell ref="B55:C55"/>
    <mergeCell ref="B65:C65"/>
    <mergeCell ref="B75:C75"/>
    <mergeCell ref="B85:C8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RESUMO</vt:lpstr>
      <vt:lpstr>ORÇAMENTO COMPLETO</vt:lpstr>
      <vt:lpstr>ORÇAMENTO MOD.1</vt:lpstr>
      <vt:lpstr>ORÇAMENTO MOD.2</vt:lpstr>
      <vt:lpstr>ORÇAMENTO MOD.4</vt:lpstr>
      <vt:lpstr>ORÇAMENTO MOD.5</vt:lpstr>
      <vt:lpstr>ORÇAMENTO MOD.6</vt:lpstr>
      <vt:lpstr>ORÇAMENTO COBERTURA</vt:lpstr>
      <vt:lpstr>COMPOSIÇÃO</vt:lpstr>
      <vt:lpstr>BDI</vt:lpstr>
      <vt:lpstr>COMPOSIÇÃO!Area_de_impressao</vt:lpstr>
      <vt:lpstr>'ORÇAMENTO COBERTURA'!Area_de_impressao</vt:lpstr>
      <vt:lpstr>'ORÇAMENTO COMPLETO'!Area_de_impressao</vt:lpstr>
      <vt:lpstr>'ORÇAMENTO MOD.1'!Area_de_impressao</vt:lpstr>
      <vt:lpstr>'ORÇAMENTO MOD.2'!Area_de_impressao</vt:lpstr>
      <vt:lpstr>'ORÇAMENTO MOD.4'!Area_de_impressao</vt:lpstr>
      <vt:lpstr>'ORÇAMENTO MOD.5'!Area_de_impressao</vt:lpstr>
      <vt:lpstr>'ORÇAMENTO MOD.6'!Area_de_impressao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Emilly Ferreira Santos</dc:creator>
  <cp:lastModifiedBy>Aline Arantes Correa</cp:lastModifiedBy>
  <cp:lastPrinted>2022-10-19T18:16:39Z</cp:lastPrinted>
  <dcterms:created xsi:type="dcterms:W3CDTF">2022-08-19T16:33:04Z</dcterms:created>
  <dcterms:modified xsi:type="dcterms:W3CDTF">2022-12-01T19:23:12Z</dcterms:modified>
</cp:coreProperties>
</file>